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\\sed\zagvid\Рішення 2021\07.10.2021 пз\"/>
    </mc:Choice>
  </mc:AlternateContent>
  <bookViews>
    <workbookView xWindow="0" yWindow="0" windowWidth="28800" windowHeight="12435" tabRatio="583" activeTab="8"/>
  </bookViews>
  <sheets>
    <sheet name="d1" sheetId="188" r:id="rId1"/>
    <sheet name="d2" sheetId="172" r:id="rId2"/>
    <sheet name="d3" sheetId="165" r:id="rId3"/>
    <sheet name="d4" sheetId="107" r:id="rId4"/>
    <sheet name="d5" sheetId="170" r:id="rId5"/>
    <sheet name="d6" sheetId="184" r:id="rId6"/>
    <sheet name="d7" sheetId="167" r:id="rId7"/>
    <sheet name="d8" sheetId="108" r:id="rId8"/>
    <sheet name="d9" sheetId="153" r:id="rId9"/>
    <sheet name="d1-ч" sheetId="189" r:id="rId10"/>
    <sheet name="d3-ч" sheetId="190" r:id="rId11"/>
    <sheet name="d3-07" sheetId="193" r:id="rId12"/>
    <sheet name="Р-07" sheetId="191" r:id="rId13"/>
    <sheet name="d1-07" sheetId="192" r:id="rId14"/>
    <sheet name="Р1-07" sheetId="194" r:id="rId15"/>
  </sheets>
  <externalReferences>
    <externalReference r:id="rId16"/>
  </externalReferences>
  <definedNames>
    <definedName name="_GoBack" localSheetId="5">'d6'!#REF!</definedName>
    <definedName name="_xlnm.Print_Titles" localSheetId="2">'d3'!$12:$15</definedName>
    <definedName name="_xlnm.Print_Titles" localSheetId="11">'d3-07'!$12:$15</definedName>
    <definedName name="_xlnm.Print_Titles" localSheetId="10">'d3-ч'!$12:$15</definedName>
    <definedName name="_xlnm.Print_Titles" localSheetId="5">'d6'!$10:$11</definedName>
    <definedName name="_xlnm.Print_Titles" localSheetId="6">'d7'!$12:$14</definedName>
    <definedName name="_xlnm.Print_Titles" localSheetId="12">'Р-07'!$12:$15</definedName>
    <definedName name="_xlnm.Print_Area" localSheetId="0">'d1'!$A$1:$F$134</definedName>
    <definedName name="_xlnm.Print_Area" localSheetId="13">'d1-07'!$A$1:$F$125</definedName>
    <definedName name="_xlnm.Print_Area" localSheetId="9">'d1-ч'!$A$1:$F$132</definedName>
    <definedName name="_xlnm.Print_Area" localSheetId="1">'d2'!$A$1:$F$55</definedName>
    <definedName name="_xlnm.Print_Area" localSheetId="2">'d3'!$A$1:$P$362</definedName>
    <definedName name="_xlnm.Print_Area" localSheetId="11">'d3-07'!$A$1:$P$334</definedName>
    <definedName name="_xlnm.Print_Area" localSheetId="10">'d3-ч'!$A$1:$P$352</definedName>
    <definedName name="_xlnm.Print_Area" localSheetId="3">'d4'!$B$1:$Q$25</definedName>
    <definedName name="_xlnm.Print_Area" localSheetId="4">'d5'!$A$1:$D$97</definedName>
    <definedName name="_xlnm.Print_Area" localSheetId="5">'d6'!$B$1:$K$326</definedName>
    <definedName name="_xlnm.Print_Area" localSheetId="6">'d7'!$A$1:$J$269</definedName>
    <definedName name="_xlnm.Print_Area" localSheetId="7">'d8'!$A$1:$D$38</definedName>
    <definedName name="_xlnm.Print_Area" localSheetId="8">'d9'!$A$1:$F$34</definedName>
    <definedName name="_xlnm.Print_Area" localSheetId="12">'Р-07'!$A$1:$P$357</definedName>
    <definedName name="_xlnm.Print_Area" localSheetId="14">'Р1-07'!$A$1:$F$134</definedName>
    <definedName name="С16" localSheetId="0">#REF!</definedName>
    <definedName name="С16" localSheetId="13">#REF!</definedName>
    <definedName name="С16" localSheetId="9">#REF!</definedName>
    <definedName name="С16" localSheetId="1">#REF!</definedName>
    <definedName name="С16" localSheetId="4">#REF!</definedName>
    <definedName name="С16" localSheetId="5">#REF!</definedName>
    <definedName name="С16" localSheetId="6">#REF!</definedName>
    <definedName name="С16" localSheetId="8">#REF!</definedName>
    <definedName name="С16" localSheetId="14">#REF!</definedName>
    <definedName name="С16">#REF!</definedName>
  </definedNames>
  <calcPr calcId="152511"/>
</workbook>
</file>

<file path=xl/calcChain.xml><?xml version="1.0" encoding="utf-8"?>
<calcChain xmlns="http://schemas.openxmlformats.org/spreadsheetml/2006/main">
  <c r="F350" i="165" l="1"/>
  <c r="H239" i="167"/>
  <c r="F316" i="165"/>
  <c r="H32" i="167" l="1"/>
  <c r="D76" i="170"/>
  <c r="F40" i="165"/>
  <c r="F22" i="165"/>
  <c r="J358" i="165"/>
  <c r="J368" i="165" s="1"/>
  <c r="P358" i="165"/>
  <c r="K46" i="165"/>
  <c r="K110" i="165"/>
  <c r="J105" i="184"/>
  <c r="J42" i="184"/>
  <c r="J170" i="184"/>
  <c r="K205" i="165"/>
  <c r="F138" i="165"/>
  <c r="D87" i="170"/>
  <c r="J307" i="184"/>
  <c r="K322" i="165"/>
  <c r="O358" i="165"/>
  <c r="K358" i="165"/>
  <c r="F358" i="165"/>
  <c r="D17" i="188"/>
  <c r="D16" i="188"/>
  <c r="J141" i="184"/>
  <c r="J140" i="184"/>
  <c r="J286" i="184"/>
  <c r="K283" i="165"/>
  <c r="K19" i="165" l="1"/>
  <c r="F180" i="165"/>
  <c r="F155" i="165"/>
  <c r="H155" i="165"/>
  <c r="H358" i="165"/>
  <c r="D30" i="108" l="1"/>
  <c r="D17" i="108"/>
  <c r="N358" i="165"/>
  <c r="J369" i="165"/>
  <c r="L358" i="165"/>
  <c r="H54" i="165"/>
  <c r="N54" i="165"/>
  <c r="F128" i="194"/>
  <c r="E128" i="194"/>
  <c r="D128" i="194"/>
  <c r="C128" i="194"/>
  <c r="F127" i="194"/>
  <c r="E127" i="194"/>
  <c r="D127" i="194"/>
  <c r="C127" i="194"/>
  <c r="F126" i="194"/>
  <c r="E126" i="194"/>
  <c r="D126" i="194"/>
  <c r="C126" i="194"/>
  <c r="F125" i="194"/>
  <c r="E125" i="194"/>
  <c r="D125" i="194"/>
  <c r="C125" i="194"/>
  <c r="F124" i="194"/>
  <c r="E124" i="194"/>
  <c r="D124" i="194"/>
  <c r="C124" i="194"/>
  <c r="F123" i="194"/>
  <c r="E123" i="194"/>
  <c r="D123" i="194"/>
  <c r="C123" i="194"/>
  <c r="F122" i="194"/>
  <c r="E122" i="194"/>
  <c r="D122" i="194"/>
  <c r="C122" i="194"/>
  <c r="F121" i="194"/>
  <c r="E121" i="194"/>
  <c r="D121" i="194"/>
  <c r="C121" i="194"/>
  <c r="F120" i="194"/>
  <c r="E120" i="194"/>
  <c r="D120" i="194"/>
  <c r="C120" i="194"/>
  <c r="F119" i="194"/>
  <c r="E119" i="194"/>
  <c r="D119" i="194"/>
  <c r="C119" i="194"/>
  <c r="F118" i="194"/>
  <c r="E118" i="194"/>
  <c r="D118" i="194"/>
  <c r="C118" i="194"/>
  <c r="F117" i="194"/>
  <c r="E117" i="194"/>
  <c r="D117" i="194"/>
  <c r="C117" i="194"/>
  <c r="F116" i="194"/>
  <c r="E116" i="194"/>
  <c r="D116" i="194"/>
  <c r="C116" i="194"/>
  <c r="F115" i="194"/>
  <c r="E115" i="194"/>
  <c r="D115" i="194"/>
  <c r="C115" i="194"/>
  <c r="F114" i="194"/>
  <c r="E114" i="194"/>
  <c r="D114" i="194"/>
  <c r="C114" i="194"/>
  <c r="F113" i="194"/>
  <c r="E113" i="194"/>
  <c r="D113" i="194"/>
  <c r="C113" i="194"/>
  <c r="F112" i="194"/>
  <c r="E112" i="194"/>
  <c r="D112" i="194"/>
  <c r="C112" i="194"/>
  <c r="F111" i="194"/>
  <c r="E111" i="194"/>
  <c r="D111" i="194"/>
  <c r="C111" i="194"/>
  <c r="F110" i="194"/>
  <c r="E110" i="194"/>
  <c r="D110" i="194"/>
  <c r="C110" i="194"/>
  <c r="F109" i="194"/>
  <c r="E109" i="194"/>
  <c r="D109" i="194"/>
  <c r="C109" i="194"/>
  <c r="F108" i="194"/>
  <c r="E108" i="194"/>
  <c r="D108" i="194"/>
  <c r="C108" i="194"/>
  <c r="F107" i="194"/>
  <c r="E107" i="194"/>
  <c r="D107" i="194"/>
  <c r="C107" i="194"/>
  <c r="F106" i="194"/>
  <c r="E106" i="194"/>
  <c r="D106" i="194"/>
  <c r="C106" i="194"/>
  <c r="F105" i="194"/>
  <c r="E105" i="194"/>
  <c r="D105" i="194"/>
  <c r="C105" i="194"/>
  <c r="F104" i="194"/>
  <c r="E104" i="194"/>
  <c r="D104" i="194"/>
  <c r="C104" i="194"/>
  <c r="F103" i="194"/>
  <c r="E103" i="194"/>
  <c r="D103" i="194"/>
  <c r="C103" i="194"/>
  <c r="F102" i="194"/>
  <c r="E102" i="194"/>
  <c r="D102" i="194"/>
  <c r="C102" i="194"/>
  <c r="F101" i="194"/>
  <c r="E101" i="194"/>
  <c r="D101" i="194"/>
  <c r="C101" i="194"/>
  <c r="F100" i="194"/>
  <c r="E100" i="194"/>
  <c r="D100" i="194"/>
  <c r="C100" i="194"/>
  <c r="F99" i="194"/>
  <c r="E99" i="194"/>
  <c r="D99" i="194"/>
  <c r="C99" i="194"/>
  <c r="F98" i="194"/>
  <c r="E98" i="194"/>
  <c r="D98" i="194"/>
  <c r="C98" i="194"/>
  <c r="F95" i="194"/>
  <c r="E95" i="194"/>
  <c r="D95" i="194"/>
  <c r="C95" i="194"/>
  <c r="F93" i="194"/>
  <c r="E93" i="194"/>
  <c r="D93" i="194"/>
  <c r="C93" i="194"/>
  <c r="F92" i="194"/>
  <c r="E92" i="194"/>
  <c r="D92" i="194"/>
  <c r="C92" i="194"/>
  <c r="F91" i="194"/>
  <c r="E91" i="194"/>
  <c r="D91" i="194"/>
  <c r="C91" i="194"/>
  <c r="F90" i="194"/>
  <c r="E90" i="194"/>
  <c r="D90" i="194"/>
  <c r="C90" i="194"/>
  <c r="F89" i="194"/>
  <c r="E89" i="194"/>
  <c r="D89" i="194"/>
  <c r="C89" i="194"/>
  <c r="F88" i="194"/>
  <c r="E88" i="194"/>
  <c r="D88" i="194"/>
  <c r="C88" i="194"/>
  <c r="F87" i="194"/>
  <c r="E87" i="194"/>
  <c r="D87" i="194"/>
  <c r="C87" i="194"/>
  <c r="F86" i="194"/>
  <c r="E86" i="194"/>
  <c r="D86" i="194"/>
  <c r="C86" i="194"/>
  <c r="F84" i="194"/>
  <c r="E84" i="194"/>
  <c r="D84" i="194"/>
  <c r="C84" i="194"/>
  <c r="F83" i="194"/>
  <c r="E83" i="194"/>
  <c r="D83" i="194"/>
  <c r="C83" i="194"/>
  <c r="F82" i="194"/>
  <c r="E82" i="194"/>
  <c r="D82" i="194"/>
  <c r="C82" i="194"/>
  <c r="F81" i="194"/>
  <c r="E81" i="194"/>
  <c r="D81" i="194"/>
  <c r="C81" i="194"/>
  <c r="F80" i="194"/>
  <c r="E80" i="194"/>
  <c r="D80" i="194"/>
  <c r="C80" i="194"/>
  <c r="F79" i="194"/>
  <c r="E79" i="194"/>
  <c r="D79" i="194"/>
  <c r="C79" i="194"/>
  <c r="F78" i="194"/>
  <c r="E78" i="194"/>
  <c r="D78" i="194"/>
  <c r="C78" i="194"/>
  <c r="F77" i="194"/>
  <c r="E77" i="194"/>
  <c r="D77" i="194"/>
  <c r="C77" i="194"/>
  <c r="F76" i="194"/>
  <c r="E76" i="194"/>
  <c r="D76" i="194"/>
  <c r="C76" i="194"/>
  <c r="F75" i="194"/>
  <c r="E75" i="194"/>
  <c r="D75" i="194"/>
  <c r="C75" i="194"/>
  <c r="F74" i="194"/>
  <c r="E74" i="194"/>
  <c r="D74" i="194"/>
  <c r="C74" i="194"/>
  <c r="F73" i="194"/>
  <c r="E73" i="194"/>
  <c r="D73" i="194"/>
  <c r="C73" i="194"/>
  <c r="F72" i="194"/>
  <c r="E72" i="194"/>
  <c r="D72" i="194"/>
  <c r="C72" i="194"/>
  <c r="F71" i="194"/>
  <c r="E71" i="194"/>
  <c r="D71" i="194"/>
  <c r="C71" i="194"/>
  <c r="F70" i="194"/>
  <c r="E70" i="194"/>
  <c r="D70" i="194"/>
  <c r="C70" i="194"/>
  <c r="F69" i="194"/>
  <c r="E69" i="194"/>
  <c r="D69" i="194"/>
  <c r="C69" i="194"/>
  <c r="F68" i="194"/>
  <c r="E68" i="194"/>
  <c r="D68" i="194"/>
  <c r="C68" i="194"/>
  <c r="F67" i="194"/>
  <c r="E67" i="194"/>
  <c r="D67" i="194"/>
  <c r="C67" i="194"/>
  <c r="F66" i="194"/>
  <c r="E66" i="194"/>
  <c r="D66" i="194"/>
  <c r="C66" i="194"/>
  <c r="F65" i="194"/>
  <c r="E65" i="194"/>
  <c r="D65" i="194"/>
  <c r="C65" i="194"/>
  <c r="F64" i="194"/>
  <c r="E64" i="194"/>
  <c r="D64" i="194"/>
  <c r="C64" i="194"/>
  <c r="F63" i="194"/>
  <c r="E63" i="194"/>
  <c r="D63" i="194"/>
  <c r="C63" i="194"/>
  <c r="F62" i="194"/>
  <c r="E62" i="194"/>
  <c r="D62" i="194"/>
  <c r="C62" i="194"/>
  <c r="F61" i="194"/>
  <c r="E61" i="194"/>
  <c r="D61" i="194"/>
  <c r="C61" i="194"/>
  <c r="F60" i="194"/>
  <c r="E60" i="194"/>
  <c r="D60" i="194"/>
  <c r="C60" i="194"/>
  <c r="F59" i="194"/>
  <c r="E59" i="194"/>
  <c r="D59" i="194"/>
  <c r="C59" i="194"/>
  <c r="F58" i="194"/>
  <c r="E58" i="194"/>
  <c r="D58" i="194"/>
  <c r="C58" i="194"/>
  <c r="F57" i="194"/>
  <c r="E57" i="194"/>
  <c r="D57" i="194"/>
  <c r="C57" i="194"/>
  <c r="F56" i="194"/>
  <c r="E56" i="194"/>
  <c r="D56" i="194"/>
  <c r="C56" i="194"/>
  <c r="F54" i="194"/>
  <c r="E54" i="194"/>
  <c r="D54" i="194"/>
  <c r="C54" i="194"/>
  <c r="F53" i="194"/>
  <c r="E53" i="194"/>
  <c r="D53" i="194"/>
  <c r="C53" i="194"/>
  <c r="F52" i="194"/>
  <c r="E52" i="194"/>
  <c r="D52" i="194"/>
  <c r="C52" i="194"/>
  <c r="F51" i="194"/>
  <c r="E51" i="194"/>
  <c r="D51" i="194"/>
  <c r="C51" i="194"/>
  <c r="F50" i="194"/>
  <c r="E50" i="194"/>
  <c r="D50" i="194"/>
  <c r="C50" i="194"/>
  <c r="F49" i="194"/>
  <c r="E49" i="194"/>
  <c r="D49" i="194"/>
  <c r="C49" i="194"/>
  <c r="F48" i="194"/>
  <c r="E48" i="194"/>
  <c r="D48" i="194"/>
  <c r="C48" i="194"/>
  <c r="F47" i="194"/>
  <c r="E47" i="194"/>
  <c r="D47" i="194"/>
  <c r="C47" i="194"/>
  <c r="C37" i="194"/>
  <c r="D37" i="194"/>
  <c r="E37" i="194"/>
  <c r="F37" i="194"/>
  <c r="C38" i="194"/>
  <c r="D38" i="194"/>
  <c r="E38" i="194"/>
  <c r="F38" i="194"/>
  <c r="C39" i="194"/>
  <c r="D39" i="194"/>
  <c r="E39" i="194"/>
  <c r="F39" i="194"/>
  <c r="C40" i="194"/>
  <c r="D40" i="194"/>
  <c r="E40" i="194"/>
  <c r="F40" i="194"/>
  <c r="C41" i="194"/>
  <c r="D41" i="194"/>
  <c r="E41" i="194"/>
  <c r="F41" i="194"/>
  <c r="C42" i="194"/>
  <c r="D42" i="194"/>
  <c r="E42" i="194"/>
  <c r="F42" i="194"/>
  <c r="C43" i="194"/>
  <c r="D43" i="194"/>
  <c r="E43" i="194"/>
  <c r="F43" i="194"/>
  <c r="C44" i="194"/>
  <c r="D44" i="194"/>
  <c r="E44" i="194"/>
  <c r="F44" i="194"/>
  <c r="C45" i="194"/>
  <c r="D45" i="194"/>
  <c r="E45" i="194"/>
  <c r="F45" i="194"/>
  <c r="C46" i="194"/>
  <c r="D46" i="194"/>
  <c r="E46" i="194"/>
  <c r="F46" i="194"/>
  <c r="C32" i="194"/>
  <c r="D32" i="194"/>
  <c r="E32" i="194"/>
  <c r="F32" i="194"/>
  <c r="C33" i="194"/>
  <c r="D33" i="194"/>
  <c r="E33" i="194"/>
  <c r="F33" i="194"/>
  <c r="C34" i="194"/>
  <c r="D34" i="194"/>
  <c r="E34" i="194"/>
  <c r="F34" i="194"/>
  <c r="C35" i="194"/>
  <c r="D35" i="194"/>
  <c r="E35" i="194"/>
  <c r="F35" i="194"/>
  <c r="C36" i="194"/>
  <c r="D36" i="194"/>
  <c r="E36" i="194"/>
  <c r="F36" i="194"/>
  <c r="C23" i="194"/>
  <c r="D23" i="194"/>
  <c r="E23" i="194"/>
  <c r="F23" i="194"/>
  <c r="C24" i="194"/>
  <c r="D24" i="194"/>
  <c r="E24" i="194"/>
  <c r="F24" i="194"/>
  <c r="C25" i="194"/>
  <c r="D25" i="194"/>
  <c r="E25" i="194"/>
  <c r="F25" i="194"/>
  <c r="C26" i="194"/>
  <c r="D26" i="194"/>
  <c r="E26" i="194"/>
  <c r="F26" i="194"/>
  <c r="C27" i="194"/>
  <c r="D27" i="194"/>
  <c r="E27" i="194"/>
  <c r="F27" i="194"/>
  <c r="C28" i="194"/>
  <c r="D28" i="194"/>
  <c r="E28" i="194"/>
  <c r="F28" i="194"/>
  <c r="C29" i="194"/>
  <c r="D29" i="194"/>
  <c r="E29" i="194"/>
  <c r="F29" i="194"/>
  <c r="C30" i="194"/>
  <c r="D30" i="194"/>
  <c r="E30" i="194"/>
  <c r="F30" i="194"/>
  <c r="C31" i="194"/>
  <c r="D31" i="194"/>
  <c r="E31" i="194"/>
  <c r="F31" i="194"/>
  <c r="C18" i="194"/>
  <c r="D18" i="194"/>
  <c r="E18" i="194"/>
  <c r="F18" i="194"/>
  <c r="C19" i="194"/>
  <c r="D19" i="194"/>
  <c r="E19" i="194"/>
  <c r="F19" i="194"/>
  <c r="C20" i="194"/>
  <c r="D20" i="194"/>
  <c r="E20" i="194"/>
  <c r="F20" i="194"/>
  <c r="C21" i="194"/>
  <c r="D21" i="194"/>
  <c r="E21" i="194"/>
  <c r="F21" i="194"/>
  <c r="C22" i="194"/>
  <c r="D22" i="194"/>
  <c r="E22" i="194"/>
  <c r="F22" i="194"/>
  <c r="E11" i="194"/>
  <c r="F11" i="194"/>
  <c r="F17" i="194"/>
  <c r="E17" i="194"/>
  <c r="D17" i="194"/>
  <c r="F16" i="194"/>
  <c r="E16" i="194"/>
  <c r="D16" i="194"/>
  <c r="F15" i="194"/>
  <c r="E15" i="194"/>
  <c r="D15" i="194"/>
  <c r="C15" i="194"/>
  <c r="F14" i="194"/>
  <c r="E14" i="194"/>
  <c r="D14" i="194"/>
  <c r="C14" i="194"/>
  <c r="F13" i="194"/>
  <c r="E13" i="194"/>
  <c r="F12" i="194"/>
  <c r="E12" i="194"/>
  <c r="F292" i="165"/>
  <c r="P355" i="191"/>
  <c r="O355" i="191"/>
  <c r="N355" i="191"/>
  <c r="M355" i="191"/>
  <c r="L355" i="191"/>
  <c r="K355" i="191"/>
  <c r="J355" i="191"/>
  <c r="I355" i="191"/>
  <c r="H355" i="191"/>
  <c r="G355" i="191"/>
  <c r="F355" i="191"/>
  <c r="E355" i="191"/>
  <c r="P354" i="191"/>
  <c r="O354" i="191"/>
  <c r="N354" i="191"/>
  <c r="M354" i="191"/>
  <c r="L354" i="191"/>
  <c r="K354" i="191"/>
  <c r="J354" i="191"/>
  <c r="I354" i="191"/>
  <c r="H354" i="191"/>
  <c r="G354" i="191"/>
  <c r="F354" i="191"/>
  <c r="E354" i="191"/>
  <c r="P353" i="191"/>
  <c r="O353" i="191"/>
  <c r="N353" i="191"/>
  <c r="M353" i="191"/>
  <c r="L353" i="191"/>
  <c r="K353" i="191"/>
  <c r="J353" i="191"/>
  <c r="I353" i="191"/>
  <c r="H353" i="191"/>
  <c r="G353" i="191"/>
  <c r="F353" i="191"/>
  <c r="E353" i="191"/>
  <c r="P352" i="191"/>
  <c r="O352" i="191"/>
  <c r="N352" i="191"/>
  <c r="M352" i="191"/>
  <c r="L352" i="191"/>
  <c r="K352" i="191"/>
  <c r="J352" i="191"/>
  <c r="I352" i="191"/>
  <c r="H352" i="191"/>
  <c r="G352" i="191"/>
  <c r="F352" i="191"/>
  <c r="E352" i="191"/>
  <c r="P351" i="191"/>
  <c r="O351" i="191"/>
  <c r="N351" i="191"/>
  <c r="M351" i="191"/>
  <c r="L351" i="191"/>
  <c r="K351" i="191"/>
  <c r="J351" i="191"/>
  <c r="I351" i="191"/>
  <c r="H351" i="191"/>
  <c r="G351" i="191"/>
  <c r="F351" i="191"/>
  <c r="E351" i="191"/>
  <c r="O350" i="191"/>
  <c r="N350" i="191"/>
  <c r="M350" i="191"/>
  <c r="L350" i="191"/>
  <c r="K350" i="191"/>
  <c r="J350" i="191"/>
  <c r="I350" i="191"/>
  <c r="H350" i="191"/>
  <c r="G350" i="191"/>
  <c r="F350" i="191"/>
  <c r="O349" i="191"/>
  <c r="N349" i="191"/>
  <c r="M349" i="191"/>
  <c r="L349" i="191"/>
  <c r="K349" i="191"/>
  <c r="J349" i="191"/>
  <c r="I349" i="191"/>
  <c r="H349" i="191"/>
  <c r="G349" i="191"/>
  <c r="P348" i="191"/>
  <c r="O348" i="191"/>
  <c r="N348" i="191"/>
  <c r="M348" i="191"/>
  <c r="L348" i="191"/>
  <c r="K348" i="191"/>
  <c r="J348" i="191"/>
  <c r="I348" i="191"/>
  <c r="H348" i="191"/>
  <c r="G348" i="191"/>
  <c r="F348" i="191"/>
  <c r="E348" i="191"/>
  <c r="P347" i="191"/>
  <c r="O347" i="191"/>
  <c r="N347" i="191"/>
  <c r="M347" i="191"/>
  <c r="L347" i="191"/>
  <c r="K347" i="191"/>
  <c r="J347" i="191"/>
  <c r="I347" i="191"/>
  <c r="H347" i="191"/>
  <c r="G347" i="191"/>
  <c r="F347" i="191"/>
  <c r="E347" i="191"/>
  <c r="P346" i="191"/>
  <c r="O346" i="191"/>
  <c r="N346" i="191"/>
  <c r="M346" i="191"/>
  <c r="L346" i="191"/>
  <c r="K346" i="191"/>
  <c r="J346" i="191"/>
  <c r="I346" i="191"/>
  <c r="H346" i="191"/>
  <c r="G346" i="191"/>
  <c r="F346" i="191"/>
  <c r="E346" i="191"/>
  <c r="P343" i="191"/>
  <c r="O343" i="191"/>
  <c r="N343" i="191"/>
  <c r="M343" i="191"/>
  <c r="L343" i="191"/>
  <c r="K343" i="191"/>
  <c r="J343" i="191"/>
  <c r="I343" i="191"/>
  <c r="H343" i="191"/>
  <c r="G343" i="191"/>
  <c r="F343" i="191"/>
  <c r="E343" i="191"/>
  <c r="P342" i="191"/>
  <c r="O342" i="191"/>
  <c r="N342" i="191"/>
  <c r="M342" i="191"/>
  <c r="L342" i="191"/>
  <c r="K342" i="191"/>
  <c r="J342" i="191"/>
  <c r="I342" i="191"/>
  <c r="H342" i="191"/>
  <c r="G342" i="191"/>
  <c r="F342" i="191"/>
  <c r="E342" i="191"/>
  <c r="P341" i="191"/>
  <c r="O341" i="191"/>
  <c r="N341" i="191"/>
  <c r="M341" i="191"/>
  <c r="L341" i="191"/>
  <c r="K341" i="191"/>
  <c r="J341" i="191"/>
  <c r="I341" i="191"/>
  <c r="H341" i="191"/>
  <c r="G341" i="191"/>
  <c r="F341" i="191"/>
  <c r="E341" i="191"/>
  <c r="P340" i="191"/>
  <c r="O340" i="191"/>
  <c r="N340" i="191"/>
  <c r="M340" i="191"/>
  <c r="L340" i="191"/>
  <c r="K340" i="191"/>
  <c r="J340" i="191"/>
  <c r="I340" i="191"/>
  <c r="H340" i="191"/>
  <c r="G340" i="191"/>
  <c r="F340" i="191"/>
  <c r="E340" i="191"/>
  <c r="P339" i="191"/>
  <c r="O339" i="191"/>
  <c r="N339" i="191"/>
  <c r="M339" i="191"/>
  <c r="L339" i="191"/>
  <c r="K339" i="191"/>
  <c r="J339" i="191"/>
  <c r="I339" i="191"/>
  <c r="H339" i="191"/>
  <c r="G339" i="191"/>
  <c r="F339" i="191"/>
  <c r="E339" i="191"/>
  <c r="P338" i="191"/>
  <c r="O338" i="191"/>
  <c r="N338" i="191"/>
  <c r="M338" i="191"/>
  <c r="L338" i="191"/>
  <c r="K338" i="191"/>
  <c r="J338" i="191"/>
  <c r="I338" i="191"/>
  <c r="H338" i="191"/>
  <c r="G338" i="191"/>
  <c r="F338" i="191"/>
  <c r="E338" i="191"/>
  <c r="P337" i="191"/>
  <c r="O337" i="191"/>
  <c r="N337" i="191"/>
  <c r="M337" i="191"/>
  <c r="L337" i="191"/>
  <c r="K337" i="191"/>
  <c r="J337" i="191"/>
  <c r="I337" i="191"/>
  <c r="H337" i="191"/>
  <c r="G337" i="191"/>
  <c r="F337" i="191"/>
  <c r="E337" i="191"/>
  <c r="P334" i="191"/>
  <c r="O334" i="191"/>
  <c r="N334" i="191"/>
  <c r="M334" i="191"/>
  <c r="L334" i="191"/>
  <c r="K334" i="191"/>
  <c r="J334" i="191"/>
  <c r="I334" i="191"/>
  <c r="H334" i="191"/>
  <c r="G334" i="191"/>
  <c r="F334" i="191"/>
  <c r="E334" i="191"/>
  <c r="P333" i="191"/>
  <c r="O333" i="191"/>
  <c r="N333" i="191"/>
  <c r="M333" i="191"/>
  <c r="L333" i="191"/>
  <c r="K333" i="191"/>
  <c r="J333" i="191"/>
  <c r="I333" i="191"/>
  <c r="H333" i="191"/>
  <c r="G333" i="191"/>
  <c r="F333" i="191"/>
  <c r="E333" i="191"/>
  <c r="P332" i="191"/>
  <c r="O332" i="191"/>
  <c r="N332" i="191"/>
  <c r="M332" i="191"/>
  <c r="L332" i="191"/>
  <c r="K332" i="191"/>
  <c r="J332" i="191"/>
  <c r="I332" i="191"/>
  <c r="H332" i="191"/>
  <c r="G332" i="191"/>
  <c r="F332" i="191"/>
  <c r="E332" i="191"/>
  <c r="P331" i="191"/>
  <c r="O331" i="191"/>
  <c r="N331" i="191"/>
  <c r="M331" i="191"/>
  <c r="L331" i="191"/>
  <c r="K331" i="191"/>
  <c r="J331" i="191"/>
  <c r="I331" i="191"/>
  <c r="H331" i="191"/>
  <c r="G331" i="191"/>
  <c r="F331" i="191"/>
  <c r="E331" i="191"/>
  <c r="P330" i="191"/>
  <c r="O330" i="191"/>
  <c r="N330" i="191"/>
  <c r="M330" i="191"/>
  <c r="L330" i="191"/>
  <c r="K330" i="191"/>
  <c r="J330" i="191"/>
  <c r="I330" i="191"/>
  <c r="H330" i="191"/>
  <c r="G330" i="191"/>
  <c r="F330" i="191"/>
  <c r="E330" i="191"/>
  <c r="P329" i="191"/>
  <c r="O329" i="191"/>
  <c r="N329" i="191"/>
  <c r="M329" i="191"/>
  <c r="L329" i="191"/>
  <c r="K329" i="191"/>
  <c r="J329" i="191"/>
  <c r="I329" i="191"/>
  <c r="H329" i="191"/>
  <c r="G329" i="191"/>
  <c r="F329" i="191"/>
  <c r="E329" i="191"/>
  <c r="P328" i="191"/>
  <c r="O328" i="191"/>
  <c r="N328" i="191"/>
  <c r="M328" i="191"/>
  <c r="L328" i="191"/>
  <c r="K328" i="191"/>
  <c r="J328" i="191"/>
  <c r="I328" i="191"/>
  <c r="H328" i="191"/>
  <c r="G328" i="191"/>
  <c r="F328" i="191"/>
  <c r="E328" i="191"/>
  <c r="P327" i="191"/>
  <c r="O327" i="191"/>
  <c r="N327" i="191"/>
  <c r="M327" i="191"/>
  <c r="L327" i="191"/>
  <c r="K327" i="191"/>
  <c r="J327" i="191"/>
  <c r="I327" i="191"/>
  <c r="H327" i="191"/>
  <c r="G327" i="191"/>
  <c r="F327" i="191"/>
  <c r="E327" i="191"/>
  <c r="P326" i="191"/>
  <c r="O326" i="191"/>
  <c r="N326" i="191"/>
  <c r="M326" i="191"/>
  <c r="L326" i="191"/>
  <c r="K326" i="191"/>
  <c r="J326" i="191"/>
  <c r="I326" i="191"/>
  <c r="H326" i="191"/>
  <c r="G326" i="191"/>
  <c r="F326" i="191"/>
  <c r="E326" i="191"/>
  <c r="P325" i="191"/>
  <c r="O325" i="191"/>
  <c r="N325" i="191"/>
  <c r="M325" i="191"/>
  <c r="L325" i="191"/>
  <c r="K325" i="191"/>
  <c r="J325" i="191"/>
  <c r="I325" i="191"/>
  <c r="H325" i="191"/>
  <c r="G325" i="191"/>
  <c r="F325" i="191"/>
  <c r="E325" i="191"/>
  <c r="N322" i="191"/>
  <c r="M322" i="191"/>
  <c r="L322" i="191"/>
  <c r="K322" i="191"/>
  <c r="I322" i="191"/>
  <c r="H322" i="191"/>
  <c r="G322" i="191"/>
  <c r="F322" i="191"/>
  <c r="E322" i="191"/>
  <c r="N321" i="191"/>
  <c r="M321" i="191"/>
  <c r="L321" i="191"/>
  <c r="I321" i="191"/>
  <c r="H321" i="191"/>
  <c r="G321" i="191"/>
  <c r="F321" i="191"/>
  <c r="E321" i="191"/>
  <c r="N320" i="191"/>
  <c r="M320" i="191"/>
  <c r="L320" i="191"/>
  <c r="I320" i="191"/>
  <c r="H320" i="191"/>
  <c r="G320" i="191"/>
  <c r="F320" i="191"/>
  <c r="E320" i="191"/>
  <c r="P319" i="191"/>
  <c r="O319" i="191"/>
  <c r="N319" i="191"/>
  <c r="M319" i="191"/>
  <c r="L319" i="191"/>
  <c r="K319" i="191"/>
  <c r="J319" i="191"/>
  <c r="I319" i="191"/>
  <c r="H319" i="191"/>
  <c r="G319" i="191"/>
  <c r="F319" i="191"/>
  <c r="E319" i="191"/>
  <c r="P318" i="191"/>
  <c r="O318" i="191"/>
  <c r="N318" i="191"/>
  <c r="M318" i="191"/>
  <c r="L318" i="191"/>
  <c r="K318" i="191"/>
  <c r="J318" i="191"/>
  <c r="I318" i="191"/>
  <c r="H318" i="191"/>
  <c r="G318" i="191"/>
  <c r="F318" i="191"/>
  <c r="E318" i="191"/>
  <c r="P317" i="191"/>
  <c r="O317" i="191"/>
  <c r="N317" i="191"/>
  <c r="M317" i="191"/>
  <c r="L317" i="191"/>
  <c r="K317" i="191"/>
  <c r="J317" i="191"/>
  <c r="I317" i="191"/>
  <c r="H317" i="191"/>
  <c r="G317" i="191"/>
  <c r="F317" i="191"/>
  <c r="E317" i="191"/>
  <c r="O316" i="191"/>
  <c r="N316" i="191"/>
  <c r="M316" i="191"/>
  <c r="L316" i="191"/>
  <c r="K316" i="191"/>
  <c r="J316" i="191"/>
  <c r="I316" i="191"/>
  <c r="H316" i="191"/>
  <c r="G316" i="191"/>
  <c r="F316" i="191"/>
  <c r="O315" i="191"/>
  <c r="N315" i="191"/>
  <c r="M315" i="191"/>
  <c r="L315" i="191"/>
  <c r="K315" i="191"/>
  <c r="J315" i="191"/>
  <c r="I315" i="191"/>
  <c r="H315" i="191"/>
  <c r="G315" i="191"/>
  <c r="P314" i="191"/>
  <c r="O314" i="191"/>
  <c r="N314" i="191"/>
  <c r="M314" i="191"/>
  <c r="L314" i="191"/>
  <c r="K314" i="191"/>
  <c r="J314" i="191"/>
  <c r="I314" i="191"/>
  <c r="H314" i="191"/>
  <c r="G314" i="191"/>
  <c r="F314" i="191"/>
  <c r="E314" i="191"/>
  <c r="P313" i="191"/>
  <c r="O313" i="191"/>
  <c r="N313" i="191"/>
  <c r="M313" i="191"/>
  <c r="L313" i="191"/>
  <c r="K313" i="191"/>
  <c r="J313" i="191"/>
  <c r="I313" i="191"/>
  <c r="H313" i="191"/>
  <c r="G313" i="191"/>
  <c r="F313" i="191"/>
  <c r="E313" i="191"/>
  <c r="O312" i="191"/>
  <c r="N312" i="191"/>
  <c r="M312" i="191"/>
  <c r="L312" i="191"/>
  <c r="K312" i="191"/>
  <c r="J312" i="191"/>
  <c r="I312" i="191"/>
  <c r="H312" i="191"/>
  <c r="G312" i="191"/>
  <c r="P309" i="191"/>
  <c r="O309" i="191"/>
  <c r="N309" i="191"/>
  <c r="M309" i="191"/>
  <c r="L309" i="191"/>
  <c r="K309" i="191"/>
  <c r="J309" i="191"/>
  <c r="I309" i="191"/>
  <c r="H309" i="191"/>
  <c r="G309" i="191"/>
  <c r="F309" i="191"/>
  <c r="E309" i="191"/>
  <c r="P308" i="191"/>
  <c r="O308" i="191"/>
  <c r="N308" i="191"/>
  <c r="M308" i="191"/>
  <c r="L308" i="191"/>
  <c r="K308" i="191"/>
  <c r="J308" i="191"/>
  <c r="I308" i="191"/>
  <c r="H308" i="191"/>
  <c r="G308" i="191"/>
  <c r="F308" i="191"/>
  <c r="E308" i="191"/>
  <c r="P307" i="191"/>
  <c r="O307" i="191"/>
  <c r="N307" i="191"/>
  <c r="M307" i="191"/>
  <c r="L307" i="191"/>
  <c r="K307" i="191"/>
  <c r="J307" i="191"/>
  <c r="I307" i="191"/>
  <c r="H307" i="191"/>
  <c r="G307" i="191"/>
  <c r="F307" i="191"/>
  <c r="E307" i="191"/>
  <c r="P306" i="191"/>
  <c r="O306" i="191"/>
  <c r="N306" i="191"/>
  <c r="M306" i="191"/>
  <c r="L306" i="191"/>
  <c r="K306" i="191"/>
  <c r="J306" i="191"/>
  <c r="I306" i="191"/>
  <c r="H306" i="191"/>
  <c r="G306" i="191"/>
  <c r="F306" i="191"/>
  <c r="E306" i="191"/>
  <c r="P305" i="191"/>
  <c r="O305" i="191"/>
  <c r="N305" i="191"/>
  <c r="M305" i="191"/>
  <c r="L305" i="191"/>
  <c r="K305" i="191"/>
  <c r="J305" i="191"/>
  <c r="I305" i="191"/>
  <c r="H305" i="191"/>
  <c r="G305" i="191"/>
  <c r="F305" i="191"/>
  <c r="E305" i="191"/>
  <c r="P304" i="191"/>
  <c r="O304" i="191"/>
  <c r="N304" i="191"/>
  <c r="M304" i="191"/>
  <c r="L304" i="191"/>
  <c r="K304" i="191"/>
  <c r="J304" i="191"/>
  <c r="I304" i="191"/>
  <c r="H304" i="191"/>
  <c r="G304" i="191"/>
  <c r="F304" i="191"/>
  <c r="E304" i="191"/>
  <c r="P303" i="191"/>
  <c r="O303" i="191"/>
  <c r="N303" i="191"/>
  <c r="M303" i="191"/>
  <c r="L303" i="191"/>
  <c r="K303" i="191"/>
  <c r="J303" i="191"/>
  <c r="I303" i="191"/>
  <c r="H303" i="191"/>
  <c r="G303" i="191"/>
  <c r="F303" i="191"/>
  <c r="E303" i="191"/>
  <c r="P302" i="191"/>
  <c r="O302" i="191"/>
  <c r="N302" i="191"/>
  <c r="M302" i="191"/>
  <c r="L302" i="191"/>
  <c r="K302" i="191"/>
  <c r="J302" i="191"/>
  <c r="I302" i="191"/>
  <c r="H302" i="191"/>
  <c r="G302" i="191"/>
  <c r="F302" i="191"/>
  <c r="E302" i="191"/>
  <c r="P301" i="191"/>
  <c r="O301" i="191"/>
  <c r="N301" i="191"/>
  <c r="M301" i="191"/>
  <c r="L301" i="191"/>
  <c r="K301" i="191"/>
  <c r="J301" i="191"/>
  <c r="I301" i="191"/>
  <c r="H301" i="191"/>
  <c r="G301" i="191"/>
  <c r="F301" i="191"/>
  <c r="E301" i="191"/>
  <c r="P300" i="191"/>
  <c r="O300" i="191"/>
  <c r="N300" i="191"/>
  <c r="M300" i="191"/>
  <c r="L300" i="191"/>
  <c r="K300" i="191"/>
  <c r="J300" i="191"/>
  <c r="I300" i="191"/>
  <c r="H300" i="191"/>
  <c r="G300" i="191"/>
  <c r="F300" i="191"/>
  <c r="E300" i="191"/>
  <c r="P299" i="191"/>
  <c r="O299" i="191"/>
  <c r="N299" i="191"/>
  <c r="M299" i="191"/>
  <c r="L299" i="191"/>
  <c r="K299" i="191"/>
  <c r="J299" i="191"/>
  <c r="I299" i="191"/>
  <c r="H299" i="191"/>
  <c r="G299" i="191"/>
  <c r="F299" i="191"/>
  <c r="E299" i="191"/>
  <c r="P296" i="191"/>
  <c r="O296" i="191"/>
  <c r="N296" i="191"/>
  <c r="M296" i="191"/>
  <c r="L296" i="191"/>
  <c r="K296" i="191"/>
  <c r="J296" i="191"/>
  <c r="I296" i="191"/>
  <c r="H296" i="191"/>
  <c r="G296" i="191"/>
  <c r="F296" i="191"/>
  <c r="E296" i="191"/>
  <c r="P295" i="191"/>
  <c r="O295" i="191"/>
  <c r="N295" i="191"/>
  <c r="M295" i="191"/>
  <c r="L295" i="191"/>
  <c r="K295" i="191"/>
  <c r="J295" i="191"/>
  <c r="I295" i="191"/>
  <c r="H295" i="191"/>
  <c r="G295" i="191"/>
  <c r="F295" i="191"/>
  <c r="E295" i="191"/>
  <c r="P294" i="191"/>
  <c r="O294" i="191"/>
  <c r="N294" i="191"/>
  <c r="M294" i="191"/>
  <c r="L294" i="191"/>
  <c r="K294" i="191"/>
  <c r="J294" i="191"/>
  <c r="I294" i="191"/>
  <c r="H294" i="191"/>
  <c r="G294" i="191"/>
  <c r="F294" i="191"/>
  <c r="E294" i="191"/>
  <c r="P293" i="191"/>
  <c r="O293" i="191"/>
  <c r="N293" i="191"/>
  <c r="M293" i="191"/>
  <c r="L293" i="191"/>
  <c r="K293" i="191"/>
  <c r="J293" i="191"/>
  <c r="I293" i="191"/>
  <c r="H293" i="191"/>
  <c r="G293" i="191"/>
  <c r="F293" i="191"/>
  <c r="E293" i="191"/>
  <c r="O292" i="191"/>
  <c r="N292" i="191"/>
  <c r="M292" i="191"/>
  <c r="L292" i="191"/>
  <c r="K292" i="191"/>
  <c r="J292" i="191"/>
  <c r="I292" i="191"/>
  <c r="H292" i="191"/>
  <c r="G292" i="191"/>
  <c r="F292" i="191"/>
  <c r="O291" i="191"/>
  <c r="N291" i="191"/>
  <c r="M291" i="191"/>
  <c r="L291" i="191"/>
  <c r="K291" i="191"/>
  <c r="J291" i="191"/>
  <c r="I291" i="191"/>
  <c r="H291" i="191"/>
  <c r="G291" i="191"/>
  <c r="P287" i="191"/>
  <c r="O287" i="191"/>
  <c r="N287" i="191"/>
  <c r="M287" i="191"/>
  <c r="L287" i="191"/>
  <c r="K287" i="191"/>
  <c r="J287" i="191"/>
  <c r="I287" i="191"/>
  <c r="H287" i="191"/>
  <c r="G287" i="191"/>
  <c r="F287" i="191"/>
  <c r="E287" i="191"/>
  <c r="P286" i="191"/>
  <c r="O286" i="191"/>
  <c r="N286" i="191"/>
  <c r="M286" i="191"/>
  <c r="L286" i="191"/>
  <c r="K286" i="191"/>
  <c r="J286" i="191"/>
  <c r="I286" i="191"/>
  <c r="H286" i="191"/>
  <c r="G286" i="191"/>
  <c r="F286" i="191"/>
  <c r="E286" i="191"/>
  <c r="P285" i="191"/>
  <c r="O285" i="191"/>
  <c r="N285" i="191"/>
  <c r="M285" i="191"/>
  <c r="L285" i="191"/>
  <c r="K285" i="191"/>
  <c r="J285" i="191"/>
  <c r="I285" i="191"/>
  <c r="H285" i="191"/>
  <c r="G285" i="191"/>
  <c r="F285" i="191"/>
  <c r="E285" i="191"/>
  <c r="P284" i="191"/>
  <c r="O284" i="191"/>
  <c r="N284" i="191"/>
  <c r="M284" i="191"/>
  <c r="L284" i="191"/>
  <c r="K284" i="191"/>
  <c r="J284" i="191"/>
  <c r="I284" i="191"/>
  <c r="H284" i="191"/>
  <c r="G284" i="191"/>
  <c r="F284" i="191"/>
  <c r="E284" i="191"/>
  <c r="N283" i="191"/>
  <c r="M283" i="191"/>
  <c r="L283" i="191"/>
  <c r="K283" i="191"/>
  <c r="I283" i="191"/>
  <c r="H283" i="191"/>
  <c r="G283" i="191"/>
  <c r="F283" i="191"/>
  <c r="E283" i="191"/>
  <c r="P282" i="191"/>
  <c r="O282" i="191"/>
  <c r="N282" i="191"/>
  <c r="M282" i="191"/>
  <c r="L282" i="191"/>
  <c r="K282" i="191"/>
  <c r="J282" i="191"/>
  <c r="I282" i="191"/>
  <c r="H282" i="191"/>
  <c r="G282" i="191"/>
  <c r="F282" i="191"/>
  <c r="E282" i="191"/>
  <c r="P281" i="191"/>
  <c r="O281" i="191"/>
  <c r="N281" i="191"/>
  <c r="M281" i="191"/>
  <c r="L281" i="191"/>
  <c r="K281" i="191"/>
  <c r="J281" i="191"/>
  <c r="I281" i="191"/>
  <c r="H281" i="191"/>
  <c r="G281" i="191"/>
  <c r="F281" i="191"/>
  <c r="E281" i="191"/>
  <c r="P280" i="191"/>
  <c r="O280" i="191"/>
  <c r="N280" i="191"/>
  <c r="M280" i="191"/>
  <c r="L280" i="191"/>
  <c r="K280" i="191"/>
  <c r="J280" i="191"/>
  <c r="I280" i="191"/>
  <c r="H280" i="191"/>
  <c r="G280" i="191"/>
  <c r="F280" i="191"/>
  <c r="E280" i="191"/>
  <c r="P279" i="191"/>
  <c r="O279" i="191"/>
  <c r="N279" i="191"/>
  <c r="M279" i="191"/>
  <c r="L279" i="191"/>
  <c r="K279" i="191"/>
  <c r="J279" i="191"/>
  <c r="I279" i="191"/>
  <c r="H279" i="191"/>
  <c r="G279" i="191"/>
  <c r="F279" i="191"/>
  <c r="E279" i="191"/>
  <c r="P278" i="191"/>
  <c r="O278" i="191"/>
  <c r="N278" i="191"/>
  <c r="M278" i="191"/>
  <c r="L278" i="191"/>
  <c r="K278" i="191"/>
  <c r="J278" i="191"/>
  <c r="I278" i="191"/>
  <c r="H278" i="191"/>
  <c r="G278" i="191"/>
  <c r="F278" i="191"/>
  <c r="E278" i="191"/>
  <c r="N277" i="191"/>
  <c r="M277" i="191"/>
  <c r="L277" i="191"/>
  <c r="I277" i="191"/>
  <c r="H277" i="191"/>
  <c r="G277" i="191"/>
  <c r="F277" i="191"/>
  <c r="E277" i="191"/>
  <c r="N276" i="191"/>
  <c r="M276" i="191"/>
  <c r="L276" i="191"/>
  <c r="I276" i="191"/>
  <c r="H276" i="191"/>
  <c r="G276" i="191"/>
  <c r="F276" i="191"/>
  <c r="E276" i="191"/>
  <c r="P275" i="191"/>
  <c r="O275" i="191"/>
  <c r="N275" i="191"/>
  <c r="M275" i="191"/>
  <c r="L275" i="191"/>
  <c r="K275" i="191"/>
  <c r="J275" i="191"/>
  <c r="I275" i="191"/>
  <c r="H275" i="191"/>
  <c r="G275" i="191"/>
  <c r="F275" i="191"/>
  <c r="E275" i="191"/>
  <c r="P274" i="191"/>
  <c r="O274" i="191"/>
  <c r="N274" i="191"/>
  <c r="M274" i="191"/>
  <c r="L274" i="191"/>
  <c r="K274" i="191"/>
  <c r="J274" i="191"/>
  <c r="I274" i="191"/>
  <c r="H274" i="191"/>
  <c r="G274" i="191"/>
  <c r="F274" i="191"/>
  <c r="E274" i="191"/>
  <c r="P273" i="191"/>
  <c r="O273" i="191"/>
  <c r="N273" i="191"/>
  <c r="M273" i="191"/>
  <c r="L273" i="191"/>
  <c r="K273" i="191"/>
  <c r="J273" i="191"/>
  <c r="I273" i="191"/>
  <c r="H273" i="191"/>
  <c r="G273" i="191"/>
  <c r="F273" i="191"/>
  <c r="E273" i="191"/>
  <c r="P272" i="191"/>
  <c r="O272" i="191"/>
  <c r="N272" i="191"/>
  <c r="M272" i="191"/>
  <c r="L272" i="191"/>
  <c r="K272" i="191"/>
  <c r="J272" i="191"/>
  <c r="I272" i="191"/>
  <c r="H272" i="191"/>
  <c r="G272" i="191"/>
  <c r="F272" i="191"/>
  <c r="E272" i="191"/>
  <c r="P271" i="191"/>
  <c r="O271" i="191"/>
  <c r="N271" i="191"/>
  <c r="M271" i="191"/>
  <c r="L271" i="191"/>
  <c r="K271" i="191"/>
  <c r="J271" i="191"/>
  <c r="I271" i="191"/>
  <c r="H271" i="191"/>
  <c r="G271" i="191"/>
  <c r="F271" i="191"/>
  <c r="E271" i="191"/>
  <c r="P270" i="191"/>
  <c r="O270" i="191"/>
  <c r="N270" i="191"/>
  <c r="M270" i="191"/>
  <c r="L270" i="191"/>
  <c r="K270" i="191"/>
  <c r="J270" i="191"/>
  <c r="I270" i="191"/>
  <c r="H270" i="191"/>
  <c r="G270" i="191"/>
  <c r="F270" i="191"/>
  <c r="E270" i="191"/>
  <c r="P269" i="191"/>
  <c r="O269" i="191"/>
  <c r="N269" i="191"/>
  <c r="M269" i="191"/>
  <c r="L269" i="191"/>
  <c r="K269" i="191"/>
  <c r="J269" i="191"/>
  <c r="I269" i="191"/>
  <c r="H269" i="191"/>
  <c r="G269" i="191"/>
  <c r="F269" i="191"/>
  <c r="E269" i="191"/>
  <c r="P265" i="191"/>
  <c r="O265" i="191"/>
  <c r="N265" i="191"/>
  <c r="M265" i="191"/>
  <c r="L265" i="191"/>
  <c r="K265" i="191"/>
  <c r="J265" i="191"/>
  <c r="I265" i="191"/>
  <c r="H265" i="191"/>
  <c r="G265" i="191"/>
  <c r="F265" i="191"/>
  <c r="E265" i="191"/>
  <c r="P264" i="191"/>
  <c r="O264" i="191"/>
  <c r="N264" i="191"/>
  <c r="M264" i="191"/>
  <c r="L264" i="191"/>
  <c r="K264" i="191"/>
  <c r="J264" i="191"/>
  <c r="I264" i="191"/>
  <c r="H264" i="191"/>
  <c r="G264" i="191"/>
  <c r="F264" i="191"/>
  <c r="E264" i="191"/>
  <c r="P263" i="191"/>
  <c r="O263" i="191"/>
  <c r="N263" i="191"/>
  <c r="M263" i="191"/>
  <c r="L263" i="191"/>
  <c r="K263" i="191"/>
  <c r="J263" i="191"/>
  <c r="I263" i="191"/>
  <c r="H263" i="191"/>
  <c r="G263" i="191"/>
  <c r="F263" i="191"/>
  <c r="E263" i="191"/>
  <c r="P262" i="191"/>
  <c r="O262" i="191"/>
  <c r="N262" i="191"/>
  <c r="M262" i="191"/>
  <c r="L262" i="191"/>
  <c r="K262" i="191"/>
  <c r="J262" i="191"/>
  <c r="I262" i="191"/>
  <c r="H262" i="191"/>
  <c r="G262" i="191"/>
  <c r="F262" i="191"/>
  <c r="E262" i="191"/>
  <c r="P260" i="191"/>
  <c r="O260" i="191"/>
  <c r="N260" i="191"/>
  <c r="M260" i="191"/>
  <c r="L260" i="191"/>
  <c r="K260" i="191"/>
  <c r="J260" i="191"/>
  <c r="I260" i="191"/>
  <c r="H260" i="191"/>
  <c r="G260" i="191"/>
  <c r="F260" i="191"/>
  <c r="E260" i="191"/>
  <c r="P259" i="191"/>
  <c r="O259" i="191"/>
  <c r="N259" i="191"/>
  <c r="M259" i="191"/>
  <c r="L259" i="191"/>
  <c r="K259" i="191"/>
  <c r="J259" i="191"/>
  <c r="I259" i="191"/>
  <c r="H259" i="191"/>
  <c r="G259" i="191"/>
  <c r="F259" i="191"/>
  <c r="E259" i="191"/>
  <c r="P258" i="191"/>
  <c r="O258" i="191"/>
  <c r="N258" i="191"/>
  <c r="M258" i="191"/>
  <c r="L258" i="191"/>
  <c r="K258" i="191"/>
  <c r="J258" i="191"/>
  <c r="I258" i="191"/>
  <c r="H258" i="191"/>
  <c r="G258" i="191"/>
  <c r="F258" i="191"/>
  <c r="E258" i="191"/>
  <c r="P257" i="191"/>
  <c r="O257" i="191"/>
  <c r="N257" i="191"/>
  <c r="M257" i="191"/>
  <c r="L257" i="191"/>
  <c r="K257" i="191"/>
  <c r="J257" i="191"/>
  <c r="I257" i="191"/>
  <c r="H257" i="191"/>
  <c r="G257" i="191"/>
  <c r="F257" i="191"/>
  <c r="E257" i="191"/>
  <c r="P256" i="191"/>
  <c r="O256" i="191"/>
  <c r="N256" i="191"/>
  <c r="M256" i="191"/>
  <c r="L256" i="191"/>
  <c r="K256" i="191"/>
  <c r="J256" i="191"/>
  <c r="I256" i="191"/>
  <c r="H256" i="191"/>
  <c r="G256" i="191"/>
  <c r="F256" i="191"/>
  <c r="E256" i="191"/>
  <c r="P255" i="191"/>
  <c r="O255" i="191"/>
  <c r="N255" i="191"/>
  <c r="M255" i="191"/>
  <c r="L255" i="191"/>
  <c r="K255" i="191"/>
  <c r="J255" i="191"/>
  <c r="I255" i="191"/>
  <c r="H255" i="191"/>
  <c r="G255" i="191"/>
  <c r="F255" i="191"/>
  <c r="E255" i="191"/>
  <c r="P254" i="191"/>
  <c r="O254" i="191"/>
  <c r="N254" i="191"/>
  <c r="M254" i="191"/>
  <c r="L254" i="191"/>
  <c r="K254" i="191"/>
  <c r="J254" i="191"/>
  <c r="I254" i="191"/>
  <c r="H254" i="191"/>
  <c r="G254" i="191"/>
  <c r="F254" i="191"/>
  <c r="E254" i="191"/>
  <c r="P253" i="191"/>
  <c r="O253" i="191"/>
  <c r="N253" i="191"/>
  <c r="M253" i="191"/>
  <c r="L253" i="191"/>
  <c r="K253" i="191"/>
  <c r="J253" i="191"/>
  <c r="I253" i="191"/>
  <c r="H253" i="191"/>
  <c r="G253" i="191"/>
  <c r="F253" i="191"/>
  <c r="E253" i="191"/>
  <c r="P252" i="191"/>
  <c r="O252" i="191"/>
  <c r="N252" i="191"/>
  <c r="M252" i="191"/>
  <c r="L252" i="191"/>
  <c r="K252" i="191"/>
  <c r="J252" i="191"/>
  <c r="I252" i="191"/>
  <c r="H252" i="191"/>
  <c r="G252" i="191"/>
  <c r="F252" i="191"/>
  <c r="E252" i="191"/>
  <c r="P251" i="191"/>
  <c r="O251" i="191"/>
  <c r="N251" i="191"/>
  <c r="M251" i="191"/>
  <c r="L251" i="191"/>
  <c r="K251" i="191"/>
  <c r="J251" i="191"/>
  <c r="I251" i="191"/>
  <c r="H251" i="191"/>
  <c r="G251" i="191"/>
  <c r="F251" i="191"/>
  <c r="E251" i="191"/>
  <c r="P250" i="191"/>
  <c r="O250" i="191"/>
  <c r="N250" i="191"/>
  <c r="M250" i="191"/>
  <c r="L250" i="191"/>
  <c r="K250" i="191"/>
  <c r="J250" i="191"/>
  <c r="I250" i="191"/>
  <c r="H250" i="191"/>
  <c r="G250" i="191"/>
  <c r="F250" i="191"/>
  <c r="E250" i="191"/>
  <c r="P249" i="191"/>
  <c r="O249" i="191"/>
  <c r="N249" i="191"/>
  <c r="M249" i="191"/>
  <c r="L249" i="191"/>
  <c r="K249" i="191"/>
  <c r="J249" i="191"/>
  <c r="I249" i="191"/>
  <c r="H249" i="191"/>
  <c r="G249" i="191"/>
  <c r="F249" i="191"/>
  <c r="E249" i="191"/>
  <c r="P248" i="191"/>
  <c r="O248" i="191"/>
  <c r="N248" i="191"/>
  <c r="M248" i="191"/>
  <c r="L248" i="191"/>
  <c r="K248" i="191"/>
  <c r="J248" i="191"/>
  <c r="I248" i="191"/>
  <c r="H248" i="191"/>
  <c r="G248" i="191"/>
  <c r="F248" i="191"/>
  <c r="E248" i="191"/>
  <c r="P247" i="191"/>
  <c r="O247" i="191"/>
  <c r="N247" i="191"/>
  <c r="M247" i="191"/>
  <c r="L247" i="191"/>
  <c r="K247" i="191"/>
  <c r="J247" i="191"/>
  <c r="I247" i="191"/>
  <c r="H247" i="191"/>
  <c r="G247" i="191"/>
  <c r="F247" i="191"/>
  <c r="E247" i="191"/>
  <c r="P246" i="191"/>
  <c r="O246" i="191"/>
  <c r="N246" i="191"/>
  <c r="M246" i="191"/>
  <c r="L246" i="191"/>
  <c r="K246" i="191"/>
  <c r="J246" i="191"/>
  <c r="I246" i="191"/>
  <c r="H246" i="191"/>
  <c r="G246" i="191"/>
  <c r="F246" i="191"/>
  <c r="E246" i="191"/>
  <c r="P245" i="191"/>
  <c r="O245" i="191"/>
  <c r="N245" i="191"/>
  <c r="M245" i="191"/>
  <c r="L245" i="191"/>
  <c r="K245" i="191"/>
  <c r="J245" i="191"/>
  <c r="I245" i="191"/>
  <c r="H245" i="191"/>
  <c r="G245" i="191"/>
  <c r="F245" i="191"/>
  <c r="E245" i="191"/>
  <c r="P244" i="191"/>
  <c r="O244" i="191"/>
  <c r="N244" i="191"/>
  <c r="M244" i="191"/>
  <c r="L244" i="191"/>
  <c r="K244" i="191"/>
  <c r="J244" i="191"/>
  <c r="I244" i="191"/>
  <c r="H244" i="191"/>
  <c r="G244" i="191"/>
  <c r="F244" i="191"/>
  <c r="E244" i="191"/>
  <c r="P243" i="191"/>
  <c r="O243" i="191"/>
  <c r="N243" i="191"/>
  <c r="M243" i="191"/>
  <c r="L243" i="191"/>
  <c r="K243" i="191"/>
  <c r="J243" i="191"/>
  <c r="I243" i="191"/>
  <c r="H243" i="191"/>
  <c r="G243" i="191"/>
  <c r="F243" i="191"/>
  <c r="E243" i="191"/>
  <c r="P242" i="191"/>
  <c r="O242" i="191"/>
  <c r="N242" i="191"/>
  <c r="M242" i="191"/>
  <c r="L242" i="191"/>
  <c r="K242" i="191"/>
  <c r="J242" i="191"/>
  <c r="I242" i="191"/>
  <c r="H242" i="191"/>
  <c r="G242" i="191"/>
  <c r="F242" i="191"/>
  <c r="E242" i="191"/>
  <c r="P241" i="191"/>
  <c r="O241" i="191"/>
  <c r="N241" i="191"/>
  <c r="M241" i="191"/>
  <c r="L241" i="191"/>
  <c r="K241" i="191"/>
  <c r="J241" i="191"/>
  <c r="I241" i="191"/>
  <c r="H241" i="191"/>
  <c r="G241" i="191"/>
  <c r="F241" i="191"/>
  <c r="E241" i="191"/>
  <c r="P240" i="191"/>
  <c r="O240" i="191"/>
  <c r="N240" i="191"/>
  <c r="M240" i="191"/>
  <c r="L240" i="191"/>
  <c r="K240" i="191"/>
  <c r="J240" i="191"/>
  <c r="I240" i="191"/>
  <c r="H240" i="191"/>
  <c r="G240" i="191"/>
  <c r="F240" i="191"/>
  <c r="E240" i="191"/>
  <c r="P236" i="191"/>
  <c r="O236" i="191"/>
  <c r="N236" i="191"/>
  <c r="M236" i="191"/>
  <c r="L236" i="191"/>
  <c r="K236" i="191"/>
  <c r="J236" i="191"/>
  <c r="I236" i="191"/>
  <c r="H236" i="191"/>
  <c r="G236" i="191"/>
  <c r="F236" i="191"/>
  <c r="E236" i="191"/>
  <c r="P235" i="191"/>
  <c r="O235" i="191"/>
  <c r="N235" i="191"/>
  <c r="M235" i="191"/>
  <c r="L235" i="191"/>
  <c r="K235" i="191"/>
  <c r="J235" i="191"/>
  <c r="I235" i="191"/>
  <c r="H235" i="191"/>
  <c r="G235" i="191"/>
  <c r="F235" i="191"/>
  <c r="E235" i="191"/>
  <c r="P234" i="191"/>
  <c r="O234" i="191"/>
  <c r="N234" i="191"/>
  <c r="M234" i="191"/>
  <c r="L234" i="191"/>
  <c r="K234" i="191"/>
  <c r="J234" i="191"/>
  <c r="I234" i="191"/>
  <c r="H234" i="191"/>
  <c r="G234" i="191"/>
  <c r="F234" i="191"/>
  <c r="E234" i="191"/>
  <c r="P233" i="191"/>
  <c r="O233" i="191"/>
  <c r="N233" i="191"/>
  <c r="M233" i="191"/>
  <c r="L233" i="191"/>
  <c r="K233" i="191"/>
  <c r="J233" i="191"/>
  <c r="I233" i="191"/>
  <c r="H233" i="191"/>
  <c r="G233" i="191"/>
  <c r="F233" i="191"/>
  <c r="E233" i="191"/>
  <c r="P232" i="191"/>
  <c r="O232" i="191"/>
  <c r="N232" i="191"/>
  <c r="M232" i="191"/>
  <c r="L232" i="191"/>
  <c r="K232" i="191"/>
  <c r="J232" i="191"/>
  <c r="I232" i="191"/>
  <c r="H232" i="191"/>
  <c r="G232" i="191"/>
  <c r="F232" i="191"/>
  <c r="E232" i="191"/>
  <c r="P231" i="191"/>
  <c r="O231" i="191"/>
  <c r="N231" i="191"/>
  <c r="M231" i="191"/>
  <c r="L231" i="191"/>
  <c r="K231" i="191"/>
  <c r="J231" i="191"/>
  <c r="I231" i="191"/>
  <c r="H231" i="191"/>
  <c r="G231" i="191"/>
  <c r="F231" i="191"/>
  <c r="E231" i="191"/>
  <c r="P230" i="191"/>
  <c r="O230" i="191"/>
  <c r="N230" i="191"/>
  <c r="M230" i="191"/>
  <c r="L230" i="191"/>
  <c r="K230" i="191"/>
  <c r="J230" i="191"/>
  <c r="I230" i="191"/>
  <c r="H230" i="191"/>
  <c r="G230" i="191"/>
  <c r="F230" i="191"/>
  <c r="E230" i="191"/>
  <c r="P229" i="191"/>
  <c r="O229" i="191"/>
  <c r="N229" i="191"/>
  <c r="M229" i="191"/>
  <c r="L229" i="191"/>
  <c r="K229" i="191"/>
  <c r="J229" i="191"/>
  <c r="I229" i="191"/>
  <c r="H229" i="191"/>
  <c r="G229" i="191"/>
  <c r="F229" i="191"/>
  <c r="E229" i="191"/>
  <c r="P228" i="191"/>
  <c r="O228" i="191"/>
  <c r="N228" i="191"/>
  <c r="M228" i="191"/>
  <c r="L228" i="191"/>
  <c r="K228" i="191"/>
  <c r="J228" i="191"/>
  <c r="I228" i="191"/>
  <c r="H228" i="191"/>
  <c r="G228" i="191"/>
  <c r="F228" i="191"/>
  <c r="E228" i="191"/>
  <c r="P227" i="191"/>
  <c r="O227" i="191"/>
  <c r="N227" i="191"/>
  <c r="M227" i="191"/>
  <c r="L227" i="191"/>
  <c r="K227" i="191"/>
  <c r="J227" i="191"/>
  <c r="I227" i="191"/>
  <c r="H227" i="191"/>
  <c r="G227" i="191"/>
  <c r="F227" i="191"/>
  <c r="E227" i="191"/>
  <c r="P226" i="191"/>
  <c r="O226" i="191"/>
  <c r="N226" i="191"/>
  <c r="M226" i="191"/>
  <c r="L226" i="191"/>
  <c r="K226" i="191"/>
  <c r="J226" i="191"/>
  <c r="I226" i="191"/>
  <c r="H226" i="191"/>
  <c r="G226" i="191"/>
  <c r="F226" i="191"/>
  <c r="E226" i="191"/>
  <c r="P225" i="191"/>
  <c r="O225" i="191"/>
  <c r="N225" i="191"/>
  <c r="M225" i="191"/>
  <c r="L225" i="191"/>
  <c r="K225" i="191"/>
  <c r="J225" i="191"/>
  <c r="I225" i="191"/>
  <c r="H225" i="191"/>
  <c r="G225" i="191"/>
  <c r="F225" i="191"/>
  <c r="E225" i="191"/>
  <c r="P224" i="191"/>
  <c r="O224" i="191"/>
  <c r="N224" i="191"/>
  <c r="M224" i="191"/>
  <c r="L224" i="191"/>
  <c r="K224" i="191"/>
  <c r="J224" i="191"/>
  <c r="I224" i="191"/>
  <c r="H224" i="191"/>
  <c r="G224" i="191"/>
  <c r="F224" i="191"/>
  <c r="E224" i="191"/>
  <c r="P223" i="191"/>
  <c r="O223" i="191"/>
  <c r="N223" i="191"/>
  <c r="M223" i="191"/>
  <c r="L223" i="191"/>
  <c r="K223" i="191"/>
  <c r="J223" i="191"/>
  <c r="I223" i="191"/>
  <c r="H223" i="191"/>
  <c r="G223" i="191"/>
  <c r="F223" i="191"/>
  <c r="E223" i="191"/>
  <c r="P222" i="191"/>
  <c r="O222" i="191"/>
  <c r="N222" i="191"/>
  <c r="M222" i="191"/>
  <c r="L222" i="191"/>
  <c r="K222" i="191"/>
  <c r="J222" i="191"/>
  <c r="I222" i="191"/>
  <c r="H222" i="191"/>
  <c r="G222" i="191"/>
  <c r="F222" i="191"/>
  <c r="E222" i="191"/>
  <c r="P221" i="191"/>
  <c r="O221" i="191"/>
  <c r="N221" i="191"/>
  <c r="M221" i="191"/>
  <c r="L221" i="191"/>
  <c r="K221" i="191"/>
  <c r="J221" i="191"/>
  <c r="I221" i="191"/>
  <c r="H221" i="191"/>
  <c r="G221" i="191"/>
  <c r="F221" i="191"/>
  <c r="E221" i="191"/>
  <c r="P218" i="191"/>
  <c r="O218" i="191"/>
  <c r="N218" i="191"/>
  <c r="M218" i="191"/>
  <c r="L218" i="191"/>
  <c r="K218" i="191"/>
  <c r="J218" i="191"/>
  <c r="I218" i="191"/>
  <c r="H218" i="191"/>
  <c r="G218" i="191"/>
  <c r="F218" i="191"/>
  <c r="E218" i="191"/>
  <c r="P217" i="191"/>
  <c r="O217" i="191"/>
  <c r="N217" i="191"/>
  <c r="M217" i="191"/>
  <c r="L217" i="191"/>
  <c r="K217" i="191"/>
  <c r="J217" i="191"/>
  <c r="I217" i="191"/>
  <c r="H217" i="191"/>
  <c r="G217" i="191"/>
  <c r="F217" i="191"/>
  <c r="E217" i="191"/>
  <c r="P216" i="191"/>
  <c r="O216" i="191"/>
  <c r="N216" i="191"/>
  <c r="M216" i="191"/>
  <c r="L216" i="191"/>
  <c r="K216" i="191"/>
  <c r="J216" i="191"/>
  <c r="I216" i="191"/>
  <c r="H216" i="191"/>
  <c r="G216" i="191"/>
  <c r="F216" i="191"/>
  <c r="E216" i="191"/>
  <c r="P215" i="191"/>
  <c r="O215" i="191"/>
  <c r="N215" i="191"/>
  <c r="M215" i="191"/>
  <c r="L215" i="191"/>
  <c r="K215" i="191"/>
  <c r="J215" i="191"/>
  <c r="I215" i="191"/>
  <c r="H215" i="191"/>
  <c r="G215" i="191"/>
  <c r="F215" i="191"/>
  <c r="E215" i="191"/>
  <c r="P214" i="191"/>
  <c r="O214" i="191"/>
  <c r="N214" i="191"/>
  <c r="M214" i="191"/>
  <c r="L214" i="191"/>
  <c r="K214" i="191"/>
  <c r="J214" i="191"/>
  <c r="I214" i="191"/>
  <c r="H214" i="191"/>
  <c r="G214" i="191"/>
  <c r="F214" i="191"/>
  <c r="E214" i="191"/>
  <c r="P213" i="191"/>
  <c r="O213" i="191"/>
  <c r="N213" i="191"/>
  <c r="M213" i="191"/>
  <c r="L213" i="191"/>
  <c r="K213" i="191"/>
  <c r="J213" i="191"/>
  <c r="I213" i="191"/>
  <c r="H213" i="191"/>
  <c r="G213" i="191"/>
  <c r="F213" i="191"/>
  <c r="E213" i="191"/>
  <c r="P212" i="191"/>
  <c r="O212" i="191"/>
  <c r="N212" i="191"/>
  <c r="M212" i="191"/>
  <c r="L212" i="191"/>
  <c r="K212" i="191"/>
  <c r="J212" i="191"/>
  <c r="I212" i="191"/>
  <c r="H212" i="191"/>
  <c r="G212" i="191"/>
  <c r="F212" i="191"/>
  <c r="E212" i="191"/>
  <c r="P211" i="191"/>
  <c r="O211" i="191"/>
  <c r="N211" i="191"/>
  <c r="M211" i="191"/>
  <c r="L211" i="191"/>
  <c r="K211" i="191"/>
  <c r="J211" i="191"/>
  <c r="I211" i="191"/>
  <c r="H211" i="191"/>
  <c r="G211" i="191"/>
  <c r="F211" i="191"/>
  <c r="E211" i="191"/>
  <c r="P210" i="191"/>
  <c r="O210" i="191"/>
  <c r="N210" i="191"/>
  <c r="M210" i="191"/>
  <c r="L210" i="191"/>
  <c r="K210" i="191"/>
  <c r="J210" i="191"/>
  <c r="I210" i="191"/>
  <c r="H210" i="191"/>
  <c r="G210" i="191"/>
  <c r="F210" i="191"/>
  <c r="E210" i="191"/>
  <c r="P209" i="191"/>
  <c r="O209" i="191"/>
  <c r="N209" i="191"/>
  <c r="M209" i="191"/>
  <c r="L209" i="191"/>
  <c r="K209" i="191"/>
  <c r="J209" i="191"/>
  <c r="I209" i="191"/>
  <c r="H209" i="191"/>
  <c r="G209" i="191"/>
  <c r="F209" i="191"/>
  <c r="E209" i="191"/>
  <c r="P208" i="191"/>
  <c r="O208" i="191"/>
  <c r="N208" i="191"/>
  <c r="M208" i="191"/>
  <c r="L208" i="191"/>
  <c r="K208" i="191"/>
  <c r="J208" i="191"/>
  <c r="I208" i="191"/>
  <c r="H208" i="191"/>
  <c r="G208" i="191"/>
  <c r="F208" i="191"/>
  <c r="E208" i="191"/>
  <c r="P207" i="191"/>
  <c r="O207" i="191"/>
  <c r="N207" i="191"/>
  <c r="M207" i="191"/>
  <c r="L207" i="191"/>
  <c r="K207" i="191"/>
  <c r="J207" i="191"/>
  <c r="I207" i="191"/>
  <c r="H207" i="191"/>
  <c r="G207" i="191"/>
  <c r="F207" i="191"/>
  <c r="E207" i="191"/>
  <c r="P206" i="191"/>
  <c r="O206" i="191"/>
  <c r="N206" i="191"/>
  <c r="M206" i="191"/>
  <c r="L206" i="191"/>
  <c r="K206" i="191"/>
  <c r="J206" i="191"/>
  <c r="I206" i="191"/>
  <c r="H206" i="191"/>
  <c r="G206" i="191"/>
  <c r="F206" i="191"/>
  <c r="E206" i="191"/>
  <c r="N205" i="191"/>
  <c r="M205" i="191"/>
  <c r="L205" i="191"/>
  <c r="K205" i="191"/>
  <c r="I205" i="191"/>
  <c r="H205" i="191"/>
  <c r="G205" i="191"/>
  <c r="F205" i="191"/>
  <c r="E205" i="191"/>
  <c r="P204" i="191"/>
  <c r="O204" i="191"/>
  <c r="N204" i="191"/>
  <c r="M204" i="191"/>
  <c r="L204" i="191"/>
  <c r="K204" i="191"/>
  <c r="J204" i="191"/>
  <c r="I204" i="191"/>
  <c r="H204" i="191"/>
  <c r="G204" i="191"/>
  <c r="F204" i="191"/>
  <c r="E204" i="191"/>
  <c r="N203" i="191"/>
  <c r="M203" i="191"/>
  <c r="L203" i="191"/>
  <c r="I203" i="191"/>
  <c r="H203" i="191"/>
  <c r="G203" i="191"/>
  <c r="F203" i="191"/>
  <c r="E203" i="191"/>
  <c r="P202" i="191"/>
  <c r="O202" i="191"/>
  <c r="N202" i="191"/>
  <c r="M202" i="191"/>
  <c r="L202" i="191"/>
  <c r="K202" i="191"/>
  <c r="J202" i="191"/>
  <c r="I202" i="191"/>
  <c r="H202" i="191"/>
  <c r="G202" i="191"/>
  <c r="F202" i="191"/>
  <c r="E202" i="191"/>
  <c r="P201" i="191"/>
  <c r="O201" i="191"/>
  <c r="N201" i="191"/>
  <c r="M201" i="191"/>
  <c r="L201" i="191"/>
  <c r="K201" i="191"/>
  <c r="J201" i="191"/>
  <c r="I201" i="191"/>
  <c r="H201" i="191"/>
  <c r="G201" i="191"/>
  <c r="F201" i="191"/>
  <c r="E201" i="191"/>
  <c r="P200" i="191"/>
  <c r="O200" i="191"/>
  <c r="N200" i="191"/>
  <c r="M200" i="191"/>
  <c r="L200" i="191"/>
  <c r="K200" i="191"/>
  <c r="J200" i="191"/>
  <c r="I200" i="191"/>
  <c r="H200" i="191"/>
  <c r="G200" i="191"/>
  <c r="F200" i="191"/>
  <c r="E200" i="191"/>
  <c r="P199" i="191"/>
  <c r="O199" i="191"/>
  <c r="N199" i="191"/>
  <c r="M199" i="191"/>
  <c r="L199" i="191"/>
  <c r="K199" i="191"/>
  <c r="J199" i="191"/>
  <c r="I199" i="191"/>
  <c r="H199" i="191"/>
  <c r="G199" i="191"/>
  <c r="F199" i="191"/>
  <c r="E199" i="191"/>
  <c r="P198" i="191"/>
  <c r="O198" i="191"/>
  <c r="N198" i="191"/>
  <c r="M198" i="191"/>
  <c r="L198" i="191"/>
  <c r="K198" i="191"/>
  <c r="J198" i="191"/>
  <c r="I198" i="191"/>
  <c r="H198" i="191"/>
  <c r="G198" i="191"/>
  <c r="F198" i="191"/>
  <c r="E198" i="191"/>
  <c r="N197" i="191"/>
  <c r="M197" i="191"/>
  <c r="L197" i="191"/>
  <c r="I197" i="191"/>
  <c r="H197" i="191"/>
  <c r="G197" i="191"/>
  <c r="F197" i="191"/>
  <c r="E197" i="191"/>
  <c r="P196" i="191"/>
  <c r="O196" i="191"/>
  <c r="N196" i="191"/>
  <c r="M196" i="191"/>
  <c r="L196" i="191"/>
  <c r="K196" i="191"/>
  <c r="J196" i="191"/>
  <c r="I196" i="191"/>
  <c r="H196" i="191"/>
  <c r="G196" i="191"/>
  <c r="F196" i="191"/>
  <c r="E196" i="191"/>
  <c r="P195" i="191"/>
  <c r="O195" i="191"/>
  <c r="N195" i="191"/>
  <c r="M195" i="191"/>
  <c r="L195" i="191"/>
  <c r="K195" i="191"/>
  <c r="J195" i="191"/>
  <c r="I195" i="191"/>
  <c r="H195" i="191"/>
  <c r="G195" i="191"/>
  <c r="F195" i="191"/>
  <c r="E195" i="191"/>
  <c r="P194" i="191"/>
  <c r="O194" i="191"/>
  <c r="N194" i="191"/>
  <c r="M194" i="191"/>
  <c r="L194" i="191"/>
  <c r="K194" i="191"/>
  <c r="J194" i="191"/>
  <c r="I194" i="191"/>
  <c r="H194" i="191"/>
  <c r="G194" i="191"/>
  <c r="F194" i="191"/>
  <c r="E194" i="191"/>
  <c r="P193" i="191"/>
  <c r="O193" i="191"/>
  <c r="N193" i="191"/>
  <c r="M193" i="191"/>
  <c r="L193" i="191"/>
  <c r="K193" i="191"/>
  <c r="J193" i="191"/>
  <c r="I193" i="191"/>
  <c r="H193" i="191"/>
  <c r="G193" i="191"/>
  <c r="F193" i="191"/>
  <c r="E193" i="191"/>
  <c r="P192" i="191"/>
  <c r="O192" i="191"/>
  <c r="N192" i="191"/>
  <c r="M192" i="191"/>
  <c r="L192" i="191"/>
  <c r="K192" i="191"/>
  <c r="J192" i="191"/>
  <c r="I192" i="191"/>
  <c r="H192" i="191"/>
  <c r="G192" i="191"/>
  <c r="F192" i="191"/>
  <c r="E192" i="191"/>
  <c r="P191" i="191"/>
  <c r="O191" i="191"/>
  <c r="N191" i="191"/>
  <c r="M191" i="191"/>
  <c r="L191" i="191"/>
  <c r="K191" i="191"/>
  <c r="J191" i="191"/>
  <c r="I191" i="191"/>
  <c r="H191" i="191"/>
  <c r="G191" i="191"/>
  <c r="F191" i="191"/>
  <c r="E191" i="191"/>
  <c r="P188" i="191"/>
  <c r="O188" i="191"/>
  <c r="N188" i="191"/>
  <c r="M188" i="191"/>
  <c r="L188" i="191"/>
  <c r="K188" i="191"/>
  <c r="J188" i="191"/>
  <c r="I188" i="191"/>
  <c r="H188" i="191"/>
  <c r="G188" i="191"/>
  <c r="F188" i="191"/>
  <c r="E188" i="191"/>
  <c r="P187" i="191"/>
  <c r="O187" i="191"/>
  <c r="N187" i="191"/>
  <c r="M187" i="191"/>
  <c r="L187" i="191"/>
  <c r="K187" i="191"/>
  <c r="J187" i="191"/>
  <c r="I187" i="191"/>
  <c r="H187" i="191"/>
  <c r="G187" i="191"/>
  <c r="F187" i="191"/>
  <c r="E187" i="191"/>
  <c r="P186" i="191"/>
  <c r="O186" i="191"/>
  <c r="N186" i="191"/>
  <c r="M186" i="191"/>
  <c r="L186" i="191"/>
  <c r="K186" i="191"/>
  <c r="J186" i="191"/>
  <c r="I186" i="191"/>
  <c r="H186" i="191"/>
  <c r="G186" i="191"/>
  <c r="F186" i="191"/>
  <c r="E186" i="191"/>
  <c r="P185" i="191"/>
  <c r="O185" i="191"/>
  <c r="N185" i="191"/>
  <c r="M185" i="191"/>
  <c r="L185" i="191"/>
  <c r="K185" i="191"/>
  <c r="J185" i="191"/>
  <c r="I185" i="191"/>
  <c r="H185" i="191"/>
  <c r="G185" i="191"/>
  <c r="F185" i="191"/>
  <c r="E185" i="191"/>
  <c r="P184" i="191"/>
  <c r="O184" i="191"/>
  <c r="N184" i="191"/>
  <c r="M184" i="191"/>
  <c r="L184" i="191"/>
  <c r="K184" i="191"/>
  <c r="J184" i="191"/>
  <c r="I184" i="191"/>
  <c r="H184" i="191"/>
  <c r="G184" i="191"/>
  <c r="F184" i="191"/>
  <c r="E184" i="191"/>
  <c r="P183" i="191"/>
  <c r="O183" i="191"/>
  <c r="N183" i="191"/>
  <c r="M183" i="191"/>
  <c r="L183" i="191"/>
  <c r="K183" i="191"/>
  <c r="J183" i="191"/>
  <c r="I183" i="191"/>
  <c r="H183" i="191"/>
  <c r="G183" i="191"/>
  <c r="F183" i="191"/>
  <c r="E183" i="191"/>
  <c r="P182" i="191"/>
  <c r="O182" i="191"/>
  <c r="N182" i="191"/>
  <c r="M182" i="191"/>
  <c r="L182" i="191"/>
  <c r="K182" i="191"/>
  <c r="J182" i="191"/>
  <c r="I182" i="191"/>
  <c r="H182" i="191"/>
  <c r="G182" i="191"/>
  <c r="F182" i="191"/>
  <c r="E182" i="191"/>
  <c r="P181" i="191"/>
  <c r="O181" i="191"/>
  <c r="N181" i="191"/>
  <c r="M181" i="191"/>
  <c r="L181" i="191"/>
  <c r="K181" i="191"/>
  <c r="J181" i="191"/>
  <c r="I181" i="191"/>
  <c r="H181" i="191"/>
  <c r="G181" i="191"/>
  <c r="F181" i="191"/>
  <c r="E181" i="191"/>
  <c r="O180" i="191"/>
  <c r="N180" i="191"/>
  <c r="M180" i="191"/>
  <c r="L180" i="191"/>
  <c r="K180" i="191"/>
  <c r="J180" i="191"/>
  <c r="I180" i="191"/>
  <c r="H180" i="191"/>
  <c r="G180" i="191"/>
  <c r="F180" i="191"/>
  <c r="P179" i="191"/>
  <c r="O179" i="191"/>
  <c r="N179" i="191"/>
  <c r="M179" i="191"/>
  <c r="L179" i="191"/>
  <c r="K179" i="191"/>
  <c r="J179" i="191"/>
  <c r="I179" i="191"/>
  <c r="H179" i="191"/>
  <c r="G179" i="191"/>
  <c r="F179" i="191"/>
  <c r="E179" i="191"/>
  <c r="O178" i="191"/>
  <c r="N178" i="191"/>
  <c r="M178" i="191"/>
  <c r="L178" i="191"/>
  <c r="K178" i="191"/>
  <c r="J178" i="191"/>
  <c r="I178" i="191"/>
  <c r="H178" i="191"/>
  <c r="G178" i="191"/>
  <c r="P177" i="191"/>
  <c r="O177" i="191"/>
  <c r="N177" i="191"/>
  <c r="M177" i="191"/>
  <c r="L177" i="191"/>
  <c r="K177" i="191"/>
  <c r="J177" i="191"/>
  <c r="I177" i="191"/>
  <c r="H177" i="191"/>
  <c r="G177" i="191"/>
  <c r="F177" i="191"/>
  <c r="E177" i="191"/>
  <c r="P176" i="191"/>
  <c r="O176" i="191"/>
  <c r="N176" i="191"/>
  <c r="M176" i="191"/>
  <c r="L176" i="191"/>
  <c r="K176" i="191"/>
  <c r="J176" i="191"/>
  <c r="I176" i="191"/>
  <c r="H176" i="191"/>
  <c r="G176" i="191"/>
  <c r="F176" i="191"/>
  <c r="E176" i="191"/>
  <c r="P175" i="191"/>
  <c r="O175" i="191"/>
  <c r="N175" i="191"/>
  <c r="M175" i="191"/>
  <c r="L175" i="191"/>
  <c r="K175" i="191"/>
  <c r="J175" i="191"/>
  <c r="I175" i="191"/>
  <c r="H175" i="191"/>
  <c r="G175" i="191"/>
  <c r="F175" i="191"/>
  <c r="E175" i="191"/>
  <c r="P174" i="191"/>
  <c r="O174" i="191"/>
  <c r="N174" i="191"/>
  <c r="M174" i="191"/>
  <c r="L174" i="191"/>
  <c r="K174" i="191"/>
  <c r="J174" i="191"/>
  <c r="I174" i="191"/>
  <c r="H174" i="191"/>
  <c r="G174" i="191"/>
  <c r="F174" i="191"/>
  <c r="E174" i="191"/>
  <c r="O173" i="191"/>
  <c r="N173" i="191"/>
  <c r="M173" i="191"/>
  <c r="L173" i="191"/>
  <c r="K173" i="191"/>
  <c r="J173" i="191"/>
  <c r="I173" i="191"/>
  <c r="H173" i="191"/>
  <c r="G173" i="191"/>
  <c r="P172" i="191"/>
  <c r="O172" i="191"/>
  <c r="N172" i="191"/>
  <c r="M172" i="191"/>
  <c r="L172" i="191"/>
  <c r="K172" i="191"/>
  <c r="J172" i="191"/>
  <c r="I172" i="191"/>
  <c r="H172" i="191"/>
  <c r="G172" i="191"/>
  <c r="F172" i="191"/>
  <c r="E172" i="191"/>
  <c r="P171" i="191"/>
  <c r="O171" i="191"/>
  <c r="N171" i="191"/>
  <c r="M171" i="191"/>
  <c r="L171" i="191"/>
  <c r="K171" i="191"/>
  <c r="J171" i="191"/>
  <c r="I171" i="191"/>
  <c r="H171" i="191"/>
  <c r="G171" i="191"/>
  <c r="F171" i="191"/>
  <c r="E171" i="191"/>
  <c r="P167" i="191"/>
  <c r="O167" i="191"/>
  <c r="N167" i="191"/>
  <c r="M167" i="191"/>
  <c r="L167" i="191"/>
  <c r="K167" i="191"/>
  <c r="J167" i="191"/>
  <c r="I167" i="191"/>
  <c r="H167" i="191"/>
  <c r="G167" i="191"/>
  <c r="F167" i="191"/>
  <c r="E167" i="191"/>
  <c r="P166" i="191"/>
  <c r="O166" i="191"/>
  <c r="N166" i="191"/>
  <c r="M166" i="191"/>
  <c r="L166" i="191"/>
  <c r="K166" i="191"/>
  <c r="J166" i="191"/>
  <c r="I166" i="191"/>
  <c r="H166" i="191"/>
  <c r="G166" i="191"/>
  <c r="F166" i="191"/>
  <c r="E166" i="191"/>
  <c r="P165" i="191"/>
  <c r="O165" i="191"/>
  <c r="N165" i="191"/>
  <c r="M165" i="191"/>
  <c r="L165" i="191"/>
  <c r="K165" i="191"/>
  <c r="J165" i="191"/>
  <c r="I165" i="191"/>
  <c r="H165" i="191"/>
  <c r="G165" i="191"/>
  <c r="F165" i="191"/>
  <c r="E165" i="191"/>
  <c r="P164" i="191"/>
  <c r="O164" i="191"/>
  <c r="N164" i="191"/>
  <c r="M164" i="191"/>
  <c r="L164" i="191"/>
  <c r="K164" i="191"/>
  <c r="J164" i="191"/>
  <c r="I164" i="191"/>
  <c r="H164" i="191"/>
  <c r="G164" i="191"/>
  <c r="F164" i="191"/>
  <c r="E164" i="191"/>
  <c r="P163" i="191"/>
  <c r="O163" i="191"/>
  <c r="N163" i="191"/>
  <c r="M163" i="191"/>
  <c r="L163" i="191"/>
  <c r="K163" i="191"/>
  <c r="J163" i="191"/>
  <c r="I163" i="191"/>
  <c r="H163" i="191"/>
  <c r="G163" i="191"/>
  <c r="F163" i="191"/>
  <c r="E163" i="191"/>
  <c r="P162" i="191"/>
  <c r="O162" i="191"/>
  <c r="N162" i="191"/>
  <c r="M162" i="191"/>
  <c r="L162" i="191"/>
  <c r="K162" i="191"/>
  <c r="J162" i="191"/>
  <c r="I162" i="191"/>
  <c r="H162" i="191"/>
  <c r="G162" i="191"/>
  <c r="F162" i="191"/>
  <c r="E162" i="191"/>
  <c r="P161" i="191"/>
  <c r="O161" i="191"/>
  <c r="N161" i="191"/>
  <c r="M161" i="191"/>
  <c r="L161" i="191"/>
  <c r="K161" i="191"/>
  <c r="J161" i="191"/>
  <c r="I161" i="191"/>
  <c r="H161" i="191"/>
  <c r="G161" i="191"/>
  <c r="F161" i="191"/>
  <c r="E161" i="191"/>
  <c r="P160" i="191"/>
  <c r="O160" i="191"/>
  <c r="N160" i="191"/>
  <c r="M160" i="191"/>
  <c r="L160" i="191"/>
  <c r="K160" i="191"/>
  <c r="J160" i="191"/>
  <c r="I160" i="191"/>
  <c r="H160" i="191"/>
  <c r="G160" i="191"/>
  <c r="F160" i="191"/>
  <c r="E160" i="191"/>
  <c r="P159" i="191"/>
  <c r="O159" i="191"/>
  <c r="N159" i="191"/>
  <c r="M159" i="191"/>
  <c r="L159" i="191"/>
  <c r="K159" i="191"/>
  <c r="J159" i="191"/>
  <c r="I159" i="191"/>
  <c r="H159" i="191"/>
  <c r="G159" i="191"/>
  <c r="F159" i="191"/>
  <c r="E159" i="191"/>
  <c r="P158" i="191"/>
  <c r="O158" i="191"/>
  <c r="N158" i="191"/>
  <c r="M158" i="191"/>
  <c r="L158" i="191"/>
  <c r="K158" i="191"/>
  <c r="J158" i="191"/>
  <c r="I158" i="191"/>
  <c r="H158" i="191"/>
  <c r="G158" i="191"/>
  <c r="F158" i="191"/>
  <c r="E158" i="191"/>
  <c r="P157" i="191"/>
  <c r="O157" i="191"/>
  <c r="N157" i="191"/>
  <c r="M157" i="191"/>
  <c r="L157" i="191"/>
  <c r="K157" i="191"/>
  <c r="J157" i="191"/>
  <c r="I157" i="191"/>
  <c r="H157" i="191"/>
  <c r="G157" i="191"/>
  <c r="F157" i="191"/>
  <c r="E157" i="191"/>
  <c r="P156" i="191"/>
  <c r="O156" i="191"/>
  <c r="N156" i="191"/>
  <c r="M156" i="191"/>
  <c r="L156" i="191"/>
  <c r="K156" i="191"/>
  <c r="J156" i="191"/>
  <c r="I156" i="191"/>
  <c r="H156" i="191"/>
  <c r="G156" i="191"/>
  <c r="F156" i="191"/>
  <c r="E156" i="191"/>
  <c r="O155" i="191"/>
  <c r="N155" i="191"/>
  <c r="M155" i="191"/>
  <c r="L155" i="191"/>
  <c r="K155" i="191"/>
  <c r="J155" i="191"/>
  <c r="I155" i="191"/>
  <c r="H155" i="191"/>
  <c r="G155" i="191"/>
  <c r="F155" i="191"/>
  <c r="O154" i="191"/>
  <c r="N154" i="191"/>
  <c r="M154" i="191"/>
  <c r="L154" i="191"/>
  <c r="K154" i="191"/>
  <c r="J154" i="191"/>
  <c r="I154" i="191"/>
  <c r="G154" i="191"/>
  <c r="P141" i="191"/>
  <c r="O141" i="191"/>
  <c r="N141" i="191"/>
  <c r="M141" i="191"/>
  <c r="L141" i="191"/>
  <c r="K141" i="191"/>
  <c r="J141" i="191"/>
  <c r="I141" i="191"/>
  <c r="H141" i="191"/>
  <c r="G141" i="191"/>
  <c r="F141" i="191"/>
  <c r="P153" i="191"/>
  <c r="O153" i="191"/>
  <c r="N153" i="191"/>
  <c r="M153" i="191"/>
  <c r="L153" i="191"/>
  <c r="K153" i="191"/>
  <c r="J153" i="191"/>
  <c r="I153" i="191"/>
  <c r="H153" i="191"/>
  <c r="G153" i="191"/>
  <c r="F153" i="191"/>
  <c r="E153" i="191"/>
  <c r="P152" i="191"/>
  <c r="O152" i="191"/>
  <c r="N152" i="191"/>
  <c r="M152" i="191"/>
  <c r="L152" i="191"/>
  <c r="K152" i="191"/>
  <c r="J152" i="191"/>
  <c r="I152" i="191"/>
  <c r="H152" i="191"/>
  <c r="G152" i="191"/>
  <c r="F152" i="191"/>
  <c r="E152" i="191"/>
  <c r="P151" i="191"/>
  <c r="O151" i="191"/>
  <c r="N151" i="191"/>
  <c r="M151" i="191"/>
  <c r="L151" i="191"/>
  <c r="K151" i="191"/>
  <c r="J151" i="191"/>
  <c r="I151" i="191"/>
  <c r="H151" i="191"/>
  <c r="G151" i="191"/>
  <c r="F151" i="191"/>
  <c r="E151" i="191"/>
  <c r="P150" i="191"/>
  <c r="O150" i="191"/>
  <c r="N150" i="191"/>
  <c r="M150" i="191"/>
  <c r="L150" i="191"/>
  <c r="K150" i="191"/>
  <c r="J150" i="191"/>
  <c r="I150" i="191"/>
  <c r="H150" i="191"/>
  <c r="G150" i="191"/>
  <c r="F150" i="191"/>
  <c r="E150" i="191"/>
  <c r="P149" i="191"/>
  <c r="O149" i="191"/>
  <c r="N149" i="191"/>
  <c r="M149" i="191"/>
  <c r="L149" i="191"/>
  <c r="K149" i="191"/>
  <c r="J149" i="191"/>
  <c r="I149" i="191"/>
  <c r="H149" i="191"/>
  <c r="G149" i="191"/>
  <c r="F149" i="191"/>
  <c r="E149" i="191"/>
  <c r="P148" i="191"/>
  <c r="O148" i="191"/>
  <c r="N148" i="191"/>
  <c r="M148" i="191"/>
  <c r="L148" i="191"/>
  <c r="K148" i="191"/>
  <c r="J148" i="191"/>
  <c r="I148" i="191"/>
  <c r="H148" i="191"/>
  <c r="G148" i="191"/>
  <c r="F148" i="191"/>
  <c r="E148" i="191"/>
  <c r="P147" i="191"/>
  <c r="O147" i="191"/>
  <c r="N147" i="191"/>
  <c r="M147" i="191"/>
  <c r="L147" i="191"/>
  <c r="K147" i="191"/>
  <c r="J147" i="191"/>
  <c r="I147" i="191"/>
  <c r="H147" i="191"/>
  <c r="G147" i="191"/>
  <c r="F147" i="191"/>
  <c r="P146" i="191"/>
  <c r="O146" i="191"/>
  <c r="N146" i="191"/>
  <c r="M146" i="191"/>
  <c r="L146" i="191"/>
  <c r="K146" i="191"/>
  <c r="J146" i="191"/>
  <c r="I146" i="191"/>
  <c r="H146" i="191"/>
  <c r="G146" i="191"/>
  <c r="F146" i="191"/>
  <c r="P145" i="191"/>
  <c r="O145" i="191"/>
  <c r="N145" i="191"/>
  <c r="M145" i="191"/>
  <c r="L145" i="191"/>
  <c r="K145" i="191"/>
  <c r="J145" i="191"/>
  <c r="I145" i="191"/>
  <c r="H145" i="191"/>
  <c r="G145" i="191"/>
  <c r="F145" i="191"/>
  <c r="P144" i="191"/>
  <c r="O144" i="191"/>
  <c r="N144" i="191"/>
  <c r="M144" i="191"/>
  <c r="L144" i="191"/>
  <c r="K144" i="191"/>
  <c r="J144" i="191"/>
  <c r="I144" i="191"/>
  <c r="H144" i="191"/>
  <c r="G144" i="191"/>
  <c r="F144" i="191"/>
  <c r="E144" i="191"/>
  <c r="E141" i="191"/>
  <c r="P140" i="191"/>
  <c r="O140" i="191"/>
  <c r="N140" i="191"/>
  <c r="M140" i="191"/>
  <c r="L140" i="191"/>
  <c r="K140" i="191"/>
  <c r="J140" i="191"/>
  <c r="I140" i="191"/>
  <c r="H140" i="191"/>
  <c r="G140" i="191"/>
  <c r="F140" i="191"/>
  <c r="E140" i="191"/>
  <c r="P139" i="191"/>
  <c r="O139" i="191"/>
  <c r="N139" i="191"/>
  <c r="M139" i="191"/>
  <c r="L139" i="191"/>
  <c r="K139" i="191"/>
  <c r="J139" i="191"/>
  <c r="I139" i="191"/>
  <c r="H139" i="191"/>
  <c r="G139" i="191"/>
  <c r="F139" i="191"/>
  <c r="E139" i="191"/>
  <c r="O138" i="191"/>
  <c r="N138" i="191"/>
  <c r="M138" i="191"/>
  <c r="L138" i="191"/>
  <c r="K138" i="191"/>
  <c r="J138" i="191"/>
  <c r="I138" i="191"/>
  <c r="H138" i="191"/>
  <c r="G138" i="191"/>
  <c r="F138" i="191"/>
  <c r="O137" i="191"/>
  <c r="N137" i="191"/>
  <c r="M137" i="191"/>
  <c r="L137" i="191"/>
  <c r="K137" i="191"/>
  <c r="J137" i="191"/>
  <c r="I137" i="191"/>
  <c r="H137" i="191"/>
  <c r="G137" i="191"/>
  <c r="P136" i="191"/>
  <c r="O136" i="191"/>
  <c r="N136" i="191"/>
  <c r="M136" i="191"/>
  <c r="L136" i="191"/>
  <c r="K136" i="191"/>
  <c r="J136" i="191"/>
  <c r="I136" i="191"/>
  <c r="H136" i="191"/>
  <c r="G136" i="191"/>
  <c r="F136" i="191"/>
  <c r="E136" i="191"/>
  <c r="P135" i="191"/>
  <c r="O135" i="191"/>
  <c r="N135" i="191"/>
  <c r="M135" i="191"/>
  <c r="L135" i="191"/>
  <c r="K135" i="191"/>
  <c r="J135" i="191"/>
  <c r="I135" i="191"/>
  <c r="H135" i="191"/>
  <c r="G135" i="191"/>
  <c r="F135" i="191"/>
  <c r="E135" i="191"/>
  <c r="P134" i="191"/>
  <c r="O134" i="191"/>
  <c r="N134" i="191"/>
  <c r="M134" i="191"/>
  <c r="L134" i="191"/>
  <c r="K134" i="191"/>
  <c r="J134" i="191"/>
  <c r="I134" i="191"/>
  <c r="H134" i="191"/>
  <c r="G134" i="191"/>
  <c r="F134" i="191"/>
  <c r="E134" i="191"/>
  <c r="P133" i="191"/>
  <c r="O133" i="191"/>
  <c r="N133" i="191"/>
  <c r="M133" i="191"/>
  <c r="L133" i="191"/>
  <c r="K133" i="191"/>
  <c r="J133" i="191"/>
  <c r="I133" i="191"/>
  <c r="H133" i="191"/>
  <c r="G133" i="191"/>
  <c r="F133" i="191"/>
  <c r="E133" i="191"/>
  <c r="P132" i="191"/>
  <c r="O132" i="191"/>
  <c r="N132" i="191"/>
  <c r="M132" i="191"/>
  <c r="L132" i="191"/>
  <c r="K132" i="191"/>
  <c r="J132" i="191"/>
  <c r="I132" i="191"/>
  <c r="H132" i="191"/>
  <c r="G132" i="191"/>
  <c r="F132" i="191"/>
  <c r="E132" i="191"/>
  <c r="P131" i="191"/>
  <c r="O131" i="191"/>
  <c r="N131" i="191"/>
  <c r="M131" i="191"/>
  <c r="L131" i="191"/>
  <c r="K131" i="191"/>
  <c r="J131" i="191"/>
  <c r="I131" i="191"/>
  <c r="H131" i="191"/>
  <c r="G131" i="191"/>
  <c r="F131" i="191"/>
  <c r="E131" i="191"/>
  <c r="P130" i="191"/>
  <c r="O130" i="191"/>
  <c r="N130" i="191"/>
  <c r="M130" i="191"/>
  <c r="L130" i="191"/>
  <c r="K130" i="191"/>
  <c r="J130" i="191"/>
  <c r="I130" i="191"/>
  <c r="H130" i="191"/>
  <c r="G130" i="191"/>
  <c r="F130" i="191"/>
  <c r="E130" i="191"/>
  <c r="P129" i="191"/>
  <c r="O129" i="191"/>
  <c r="N129" i="191"/>
  <c r="M129" i="191"/>
  <c r="L129" i="191"/>
  <c r="K129" i="191"/>
  <c r="J129" i="191"/>
  <c r="I129" i="191"/>
  <c r="H129" i="191"/>
  <c r="G129" i="191"/>
  <c r="F129" i="191"/>
  <c r="E129" i="191"/>
  <c r="P128" i="191"/>
  <c r="O128" i="191"/>
  <c r="N128" i="191"/>
  <c r="M128" i="191"/>
  <c r="L128" i="191"/>
  <c r="K128" i="191"/>
  <c r="J128" i="191"/>
  <c r="I128" i="191"/>
  <c r="H128" i="191"/>
  <c r="G128" i="191"/>
  <c r="F128" i="191"/>
  <c r="E128" i="191"/>
  <c r="P127" i="191"/>
  <c r="O127" i="191"/>
  <c r="N127" i="191"/>
  <c r="M127" i="191"/>
  <c r="L127" i="191"/>
  <c r="K127" i="191"/>
  <c r="J127" i="191"/>
  <c r="I127" i="191"/>
  <c r="H127" i="191"/>
  <c r="G127" i="191"/>
  <c r="F127" i="191"/>
  <c r="E127" i="191"/>
  <c r="P126" i="191"/>
  <c r="O126" i="191"/>
  <c r="N126" i="191"/>
  <c r="M126" i="191"/>
  <c r="L126" i="191"/>
  <c r="K126" i="191"/>
  <c r="J126" i="191"/>
  <c r="I126" i="191"/>
  <c r="H126" i="191"/>
  <c r="G126" i="191"/>
  <c r="F126" i="191"/>
  <c r="E126" i="191"/>
  <c r="P125" i="191"/>
  <c r="O125" i="191"/>
  <c r="N125" i="191"/>
  <c r="M125" i="191"/>
  <c r="L125" i="191"/>
  <c r="K125" i="191"/>
  <c r="J125" i="191"/>
  <c r="I125" i="191"/>
  <c r="H125" i="191"/>
  <c r="G125" i="191"/>
  <c r="F125" i="191"/>
  <c r="E125" i="191"/>
  <c r="P124" i="191"/>
  <c r="O124" i="191"/>
  <c r="N124" i="191"/>
  <c r="M124" i="191"/>
  <c r="L124" i="191"/>
  <c r="K124" i="191"/>
  <c r="J124" i="191"/>
  <c r="I124" i="191"/>
  <c r="H124" i="191"/>
  <c r="G124" i="191"/>
  <c r="F124" i="191"/>
  <c r="E124" i="191"/>
  <c r="P123" i="191"/>
  <c r="O123" i="191"/>
  <c r="N123" i="191"/>
  <c r="M123" i="191"/>
  <c r="L123" i="191"/>
  <c r="K123" i="191"/>
  <c r="J123" i="191"/>
  <c r="I123" i="191"/>
  <c r="H123" i="191"/>
  <c r="G123" i="191"/>
  <c r="F123" i="191"/>
  <c r="E123" i="191"/>
  <c r="P122" i="191"/>
  <c r="O122" i="191"/>
  <c r="N122" i="191"/>
  <c r="M122" i="191"/>
  <c r="L122" i="191"/>
  <c r="K122" i="191"/>
  <c r="J122" i="191"/>
  <c r="I122" i="191"/>
  <c r="H122" i="191"/>
  <c r="G122" i="191"/>
  <c r="F122" i="191"/>
  <c r="E122" i="191"/>
  <c r="P121" i="191"/>
  <c r="O121" i="191"/>
  <c r="N121" i="191"/>
  <c r="M121" i="191"/>
  <c r="L121" i="191"/>
  <c r="K121" i="191"/>
  <c r="J121" i="191"/>
  <c r="I121" i="191"/>
  <c r="H121" i="191"/>
  <c r="G121" i="191"/>
  <c r="F121" i="191"/>
  <c r="E121" i="191"/>
  <c r="P120" i="191"/>
  <c r="O120" i="191"/>
  <c r="N120" i="191"/>
  <c r="M120" i="191"/>
  <c r="L120" i="191"/>
  <c r="K120" i="191"/>
  <c r="J120" i="191"/>
  <c r="I120" i="191"/>
  <c r="H120" i="191"/>
  <c r="G120" i="191"/>
  <c r="F120" i="191"/>
  <c r="E120" i="191"/>
  <c r="P119" i="191"/>
  <c r="O119" i="191"/>
  <c r="N119" i="191"/>
  <c r="M119" i="191"/>
  <c r="L119" i="191"/>
  <c r="K119" i="191"/>
  <c r="J119" i="191"/>
  <c r="I119" i="191"/>
  <c r="H119" i="191"/>
  <c r="G119" i="191"/>
  <c r="F119" i="191"/>
  <c r="E119" i="191"/>
  <c r="O118" i="191"/>
  <c r="N118" i="191"/>
  <c r="M118" i="191"/>
  <c r="L118" i="191"/>
  <c r="K118" i="191"/>
  <c r="J118" i="191"/>
  <c r="I118" i="191"/>
  <c r="G118" i="191"/>
  <c r="P117" i="191"/>
  <c r="O117" i="191"/>
  <c r="N117" i="191"/>
  <c r="M117" i="191"/>
  <c r="L117" i="191"/>
  <c r="K117" i="191"/>
  <c r="J117" i="191"/>
  <c r="I117" i="191"/>
  <c r="H117" i="191"/>
  <c r="G117" i="191"/>
  <c r="F117" i="191"/>
  <c r="E117" i="191"/>
  <c r="P116" i="191"/>
  <c r="O116" i="191"/>
  <c r="N116" i="191"/>
  <c r="M116" i="191"/>
  <c r="L116" i="191"/>
  <c r="K116" i="191"/>
  <c r="J116" i="191"/>
  <c r="I116" i="191"/>
  <c r="H116" i="191"/>
  <c r="G116" i="191"/>
  <c r="F116" i="191"/>
  <c r="E116" i="191"/>
  <c r="P115" i="191"/>
  <c r="O115" i="191"/>
  <c r="N115" i="191"/>
  <c r="M115" i="191"/>
  <c r="L115" i="191"/>
  <c r="K115" i="191"/>
  <c r="J115" i="191"/>
  <c r="I115" i="191"/>
  <c r="H115" i="191"/>
  <c r="G115" i="191"/>
  <c r="F115" i="191"/>
  <c r="E115" i="191"/>
  <c r="P114" i="191"/>
  <c r="O114" i="191"/>
  <c r="N114" i="191"/>
  <c r="M114" i="191"/>
  <c r="L114" i="191"/>
  <c r="K114" i="191"/>
  <c r="J114" i="191"/>
  <c r="I114" i="191"/>
  <c r="H114" i="191"/>
  <c r="G114" i="191"/>
  <c r="F114" i="191"/>
  <c r="E114" i="191"/>
  <c r="N110" i="191"/>
  <c r="M110" i="191"/>
  <c r="L110" i="191"/>
  <c r="K110" i="191"/>
  <c r="I110" i="191"/>
  <c r="H110" i="191"/>
  <c r="G110" i="191"/>
  <c r="F110" i="191"/>
  <c r="E110" i="191"/>
  <c r="N109" i="191"/>
  <c r="M109" i="191"/>
  <c r="L109" i="191"/>
  <c r="I109" i="191"/>
  <c r="H109" i="191"/>
  <c r="G109" i="191"/>
  <c r="F109" i="191"/>
  <c r="E109" i="191"/>
  <c r="P108" i="191"/>
  <c r="O108" i="191"/>
  <c r="N108" i="191"/>
  <c r="M108" i="191"/>
  <c r="L108" i="191"/>
  <c r="K108" i="191"/>
  <c r="J108" i="191"/>
  <c r="I108" i="191"/>
  <c r="H108" i="191"/>
  <c r="G108" i="191"/>
  <c r="F108" i="191"/>
  <c r="E108" i="191"/>
  <c r="P107" i="191"/>
  <c r="O107" i="191"/>
  <c r="N107" i="191"/>
  <c r="M107" i="191"/>
  <c r="L107" i="191"/>
  <c r="K107" i="191"/>
  <c r="J107" i="191"/>
  <c r="I107" i="191"/>
  <c r="H107" i="191"/>
  <c r="G107" i="191"/>
  <c r="F107" i="191"/>
  <c r="E107" i="191"/>
  <c r="P106" i="191"/>
  <c r="O106" i="191"/>
  <c r="N106" i="191"/>
  <c r="M106" i="191"/>
  <c r="L106" i="191"/>
  <c r="K106" i="191"/>
  <c r="J106" i="191"/>
  <c r="I106" i="191"/>
  <c r="H106" i="191"/>
  <c r="G106" i="191"/>
  <c r="F106" i="191"/>
  <c r="E106" i="191"/>
  <c r="N105" i="191"/>
  <c r="M105" i="191"/>
  <c r="L105" i="191"/>
  <c r="I105" i="191"/>
  <c r="H105" i="191"/>
  <c r="G105" i="191"/>
  <c r="F105" i="191"/>
  <c r="E105" i="191"/>
  <c r="P104" i="191"/>
  <c r="O104" i="191"/>
  <c r="N104" i="191"/>
  <c r="M104" i="191"/>
  <c r="L104" i="191"/>
  <c r="K104" i="191"/>
  <c r="J104" i="191"/>
  <c r="I104" i="191"/>
  <c r="H104" i="191"/>
  <c r="G104" i="191"/>
  <c r="F104" i="191"/>
  <c r="E104" i="191"/>
  <c r="P103" i="191"/>
  <c r="O103" i="191"/>
  <c r="N103" i="191"/>
  <c r="M103" i="191"/>
  <c r="L103" i="191"/>
  <c r="K103" i="191"/>
  <c r="J103" i="191"/>
  <c r="I103" i="191"/>
  <c r="H103" i="191"/>
  <c r="G103" i="191"/>
  <c r="F103" i="191"/>
  <c r="E103" i="191"/>
  <c r="P102" i="191"/>
  <c r="O102" i="191"/>
  <c r="N102" i="191"/>
  <c r="M102" i="191"/>
  <c r="L102" i="191"/>
  <c r="K102" i="191"/>
  <c r="J102" i="191"/>
  <c r="I102" i="191"/>
  <c r="H102" i="191"/>
  <c r="G102" i="191"/>
  <c r="F102" i="191"/>
  <c r="E102" i="191"/>
  <c r="P101" i="191"/>
  <c r="O101" i="191"/>
  <c r="N101" i="191"/>
  <c r="M101" i="191"/>
  <c r="L101" i="191"/>
  <c r="K101" i="191"/>
  <c r="J101" i="191"/>
  <c r="I101" i="191"/>
  <c r="H101" i="191"/>
  <c r="G101" i="191"/>
  <c r="F101" i="191"/>
  <c r="E101" i="191"/>
  <c r="P100" i="191"/>
  <c r="O100" i="191"/>
  <c r="N100" i="191"/>
  <c r="M100" i="191"/>
  <c r="L100" i="191"/>
  <c r="K100" i="191"/>
  <c r="J100" i="191"/>
  <c r="I100" i="191"/>
  <c r="H100" i="191"/>
  <c r="G100" i="191"/>
  <c r="F100" i="191"/>
  <c r="E100" i="191"/>
  <c r="P99" i="191"/>
  <c r="O99" i="191"/>
  <c r="N99" i="191"/>
  <c r="M99" i="191"/>
  <c r="L99" i="191"/>
  <c r="K99" i="191"/>
  <c r="J99" i="191"/>
  <c r="I99" i="191"/>
  <c r="H99" i="191"/>
  <c r="G99" i="191"/>
  <c r="F99" i="191"/>
  <c r="E99" i="191"/>
  <c r="P98" i="191"/>
  <c r="O98" i="191"/>
  <c r="N98" i="191"/>
  <c r="M98" i="191"/>
  <c r="L98" i="191"/>
  <c r="K98" i="191"/>
  <c r="J98" i="191"/>
  <c r="I98" i="191"/>
  <c r="H98" i="191"/>
  <c r="G98" i="191"/>
  <c r="F98" i="191"/>
  <c r="E98" i="191"/>
  <c r="P97" i="191"/>
  <c r="O97" i="191"/>
  <c r="N97" i="191"/>
  <c r="M97" i="191"/>
  <c r="L97" i="191"/>
  <c r="K97" i="191"/>
  <c r="J97" i="191"/>
  <c r="I97" i="191"/>
  <c r="H97" i="191"/>
  <c r="G97" i="191"/>
  <c r="F97" i="191"/>
  <c r="E97" i="191"/>
  <c r="P96" i="191"/>
  <c r="O96" i="191"/>
  <c r="N96" i="191"/>
  <c r="M96" i="191"/>
  <c r="L96" i="191"/>
  <c r="K96" i="191"/>
  <c r="J96" i="191"/>
  <c r="I96" i="191"/>
  <c r="H96" i="191"/>
  <c r="G96" i="191"/>
  <c r="F96" i="191"/>
  <c r="E96" i="191"/>
  <c r="P95" i="191"/>
  <c r="O95" i="191"/>
  <c r="N95" i="191"/>
  <c r="M95" i="191"/>
  <c r="L95" i="191"/>
  <c r="K95" i="191"/>
  <c r="J95" i="191"/>
  <c r="I95" i="191"/>
  <c r="H95" i="191"/>
  <c r="G95" i="191"/>
  <c r="F95" i="191"/>
  <c r="E95" i="191"/>
  <c r="P94" i="191"/>
  <c r="O94" i="191"/>
  <c r="N94" i="191"/>
  <c r="M94" i="191"/>
  <c r="L94" i="191"/>
  <c r="K94" i="191"/>
  <c r="J94" i="191"/>
  <c r="I94" i="191"/>
  <c r="H94" i="191"/>
  <c r="G94" i="191"/>
  <c r="F94" i="191"/>
  <c r="E94" i="191"/>
  <c r="P93" i="191"/>
  <c r="O93" i="191"/>
  <c r="N93" i="191"/>
  <c r="M93" i="191"/>
  <c r="L93" i="191"/>
  <c r="K93" i="191"/>
  <c r="J93" i="191"/>
  <c r="I93" i="191"/>
  <c r="H93" i="191"/>
  <c r="G93" i="191"/>
  <c r="F93" i="191"/>
  <c r="E93" i="191"/>
  <c r="P92" i="191"/>
  <c r="O92" i="191"/>
  <c r="N92" i="191"/>
  <c r="M92" i="191"/>
  <c r="L92" i="191"/>
  <c r="K92" i="191"/>
  <c r="J92" i="191"/>
  <c r="I92" i="191"/>
  <c r="H92" i="191"/>
  <c r="G92" i="191"/>
  <c r="F92" i="191"/>
  <c r="E92" i="191"/>
  <c r="P91" i="191"/>
  <c r="O91" i="191"/>
  <c r="N91" i="191"/>
  <c r="M91" i="191"/>
  <c r="L91" i="191"/>
  <c r="K91" i="191"/>
  <c r="J91" i="191"/>
  <c r="I91" i="191"/>
  <c r="H91" i="191"/>
  <c r="G91" i="191"/>
  <c r="F91" i="191"/>
  <c r="E91" i="191"/>
  <c r="P90" i="191"/>
  <c r="O90" i="191"/>
  <c r="N90" i="191"/>
  <c r="M90" i="191"/>
  <c r="L90" i="191"/>
  <c r="K90" i="191"/>
  <c r="J90" i="191"/>
  <c r="I90" i="191"/>
  <c r="H90" i="191"/>
  <c r="G90" i="191"/>
  <c r="F90" i="191"/>
  <c r="E90" i="191"/>
  <c r="P87" i="191"/>
  <c r="O87" i="191"/>
  <c r="N87" i="191"/>
  <c r="M87" i="191"/>
  <c r="L87" i="191"/>
  <c r="K87" i="191"/>
  <c r="J87" i="191"/>
  <c r="I87" i="191"/>
  <c r="H87" i="191"/>
  <c r="G87" i="191"/>
  <c r="F87" i="191"/>
  <c r="E87" i="191"/>
  <c r="P86" i="191"/>
  <c r="O86" i="191"/>
  <c r="N86" i="191"/>
  <c r="M86" i="191"/>
  <c r="L86" i="191"/>
  <c r="K86" i="191"/>
  <c r="J86" i="191"/>
  <c r="I86" i="191"/>
  <c r="H86" i="191"/>
  <c r="G86" i="191"/>
  <c r="F86" i="191"/>
  <c r="E86" i="191"/>
  <c r="P85" i="191"/>
  <c r="O85" i="191"/>
  <c r="N85" i="191"/>
  <c r="M85" i="191"/>
  <c r="L85" i="191"/>
  <c r="K85" i="191"/>
  <c r="J85" i="191"/>
  <c r="I85" i="191"/>
  <c r="H85" i="191"/>
  <c r="G85" i="191"/>
  <c r="F85" i="191"/>
  <c r="E85" i="191"/>
  <c r="P84" i="191"/>
  <c r="O84" i="191"/>
  <c r="N84" i="191"/>
  <c r="M84" i="191"/>
  <c r="L84" i="191"/>
  <c r="K84" i="191"/>
  <c r="J84" i="191"/>
  <c r="I84" i="191"/>
  <c r="H84" i="191"/>
  <c r="G84" i="191"/>
  <c r="F84" i="191"/>
  <c r="E84" i="191"/>
  <c r="P83" i="191"/>
  <c r="O83" i="191"/>
  <c r="N83" i="191"/>
  <c r="M83" i="191"/>
  <c r="L83" i="191"/>
  <c r="K83" i="191"/>
  <c r="J83" i="191"/>
  <c r="I83" i="191"/>
  <c r="H83" i="191"/>
  <c r="G83" i="191"/>
  <c r="F83" i="191"/>
  <c r="E83" i="191"/>
  <c r="P82" i="191"/>
  <c r="O82" i="191"/>
  <c r="N82" i="191"/>
  <c r="M82" i="191"/>
  <c r="L82" i="191"/>
  <c r="K82" i="191"/>
  <c r="J82" i="191"/>
  <c r="I82" i="191"/>
  <c r="H82" i="191"/>
  <c r="G82" i="191"/>
  <c r="F82" i="191"/>
  <c r="E82" i="191"/>
  <c r="P81" i="191"/>
  <c r="O81" i="191"/>
  <c r="N81" i="191"/>
  <c r="M81" i="191"/>
  <c r="L81" i="191"/>
  <c r="K81" i="191"/>
  <c r="J81" i="191"/>
  <c r="I81" i="191"/>
  <c r="H81" i="191"/>
  <c r="G81" i="191"/>
  <c r="F81" i="191"/>
  <c r="E81" i="191"/>
  <c r="P80" i="191"/>
  <c r="O80" i="191"/>
  <c r="N80" i="191"/>
  <c r="M80" i="191"/>
  <c r="L80" i="191"/>
  <c r="K80" i="191"/>
  <c r="J80" i="191"/>
  <c r="I80" i="191"/>
  <c r="H80" i="191"/>
  <c r="G80" i="191"/>
  <c r="F80" i="191"/>
  <c r="E80" i="191"/>
  <c r="P79" i="191"/>
  <c r="O79" i="191"/>
  <c r="N79" i="191"/>
  <c r="M79" i="191"/>
  <c r="L79" i="191"/>
  <c r="K79" i="191"/>
  <c r="J79" i="191"/>
  <c r="I79" i="191"/>
  <c r="H79" i="191"/>
  <c r="G79" i="191"/>
  <c r="F79" i="191"/>
  <c r="E79" i="191"/>
  <c r="P78" i="191"/>
  <c r="O78" i="191"/>
  <c r="N78" i="191"/>
  <c r="M78" i="191"/>
  <c r="L78" i="191"/>
  <c r="K78" i="191"/>
  <c r="J78" i="191"/>
  <c r="I78" i="191"/>
  <c r="H78" i="191"/>
  <c r="G78" i="191"/>
  <c r="F78" i="191"/>
  <c r="E78" i="191"/>
  <c r="P77" i="191"/>
  <c r="O77" i="191"/>
  <c r="N77" i="191"/>
  <c r="M77" i="191"/>
  <c r="L77" i="191"/>
  <c r="K77" i="191"/>
  <c r="J77" i="191"/>
  <c r="I77" i="191"/>
  <c r="H77" i="191"/>
  <c r="G77" i="191"/>
  <c r="F77" i="191"/>
  <c r="E77" i="191"/>
  <c r="P76" i="191"/>
  <c r="O76" i="191"/>
  <c r="N76" i="191"/>
  <c r="M76" i="191"/>
  <c r="L76" i="191"/>
  <c r="K76" i="191"/>
  <c r="J76" i="191"/>
  <c r="I76" i="191"/>
  <c r="H76" i="191"/>
  <c r="G76" i="191"/>
  <c r="F76" i="191"/>
  <c r="E76" i="191"/>
  <c r="P73" i="191"/>
  <c r="O73" i="191"/>
  <c r="N73" i="191"/>
  <c r="M73" i="191"/>
  <c r="L73" i="191"/>
  <c r="K73" i="191"/>
  <c r="J73" i="191"/>
  <c r="I73" i="191"/>
  <c r="H73" i="191"/>
  <c r="G73" i="191"/>
  <c r="F73" i="191"/>
  <c r="E73" i="191"/>
  <c r="P72" i="191"/>
  <c r="O72" i="191"/>
  <c r="N72" i="191"/>
  <c r="M72" i="191"/>
  <c r="L72" i="191"/>
  <c r="K72" i="191"/>
  <c r="J72" i="191"/>
  <c r="I72" i="191"/>
  <c r="H72" i="191"/>
  <c r="G72" i="191"/>
  <c r="F72" i="191"/>
  <c r="E72" i="191"/>
  <c r="P67" i="191"/>
  <c r="O67" i="191"/>
  <c r="N67" i="191"/>
  <c r="M67" i="191"/>
  <c r="L67" i="191"/>
  <c r="K67" i="191"/>
  <c r="J67" i="191"/>
  <c r="I67" i="191"/>
  <c r="H67" i="191"/>
  <c r="G67" i="191"/>
  <c r="F67" i="191"/>
  <c r="E67" i="191"/>
  <c r="P66" i="191"/>
  <c r="O66" i="191"/>
  <c r="N66" i="191"/>
  <c r="M66" i="191"/>
  <c r="L66" i="191"/>
  <c r="K66" i="191"/>
  <c r="J66" i="191"/>
  <c r="I66" i="191"/>
  <c r="H66" i="191"/>
  <c r="G66" i="191"/>
  <c r="F66" i="191"/>
  <c r="E66" i="191"/>
  <c r="P65" i="191"/>
  <c r="O65" i="191"/>
  <c r="N65" i="191"/>
  <c r="M65" i="191"/>
  <c r="L65" i="191"/>
  <c r="K65" i="191"/>
  <c r="J65" i="191"/>
  <c r="I65" i="191"/>
  <c r="H65" i="191"/>
  <c r="G65" i="191"/>
  <c r="F65" i="191"/>
  <c r="E65" i="191"/>
  <c r="P64" i="191"/>
  <c r="O64" i="191"/>
  <c r="N64" i="191"/>
  <c r="M64" i="191"/>
  <c r="L64" i="191"/>
  <c r="K64" i="191"/>
  <c r="J64" i="191"/>
  <c r="I64" i="191"/>
  <c r="H64" i="191"/>
  <c r="G64" i="191"/>
  <c r="F64" i="191"/>
  <c r="E64" i="191"/>
  <c r="P63" i="191"/>
  <c r="O63" i="191"/>
  <c r="N63" i="191"/>
  <c r="M63" i="191"/>
  <c r="L63" i="191"/>
  <c r="K63" i="191"/>
  <c r="J63" i="191"/>
  <c r="I63" i="191"/>
  <c r="H63" i="191"/>
  <c r="G63" i="191"/>
  <c r="F63" i="191"/>
  <c r="E63" i="191"/>
  <c r="P62" i="191"/>
  <c r="O62" i="191"/>
  <c r="N62" i="191"/>
  <c r="M62" i="191"/>
  <c r="L62" i="191"/>
  <c r="K62" i="191"/>
  <c r="J62" i="191"/>
  <c r="I62" i="191"/>
  <c r="H62" i="191"/>
  <c r="G62" i="191"/>
  <c r="F62" i="191"/>
  <c r="E62" i="191"/>
  <c r="P61" i="191"/>
  <c r="O61" i="191"/>
  <c r="N61" i="191"/>
  <c r="M61" i="191"/>
  <c r="L61" i="191"/>
  <c r="K61" i="191"/>
  <c r="J61" i="191"/>
  <c r="I61" i="191"/>
  <c r="H61" i="191"/>
  <c r="G61" i="191"/>
  <c r="F61" i="191"/>
  <c r="E61" i="191"/>
  <c r="P60" i="191"/>
  <c r="O60" i="191"/>
  <c r="N60" i="191"/>
  <c r="M60" i="191"/>
  <c r="L60" i="191"/>
  <c r="K60" i="191"/>
  <c r="J60" i="191"/>
  <c r="I60" i="191"/>
  <c r="H60" i="191"/>
  <c r="G60" i="191"/>
  <c r="F60" i="191"/>
  <c r="E60" i="191"/>
  <c r="P59" i="191"/>
  <c r="O59" i="191"/>
  <c r="N59" i="191"/>
  <c r="M59" i="191"/>
  <c r="L59" i="191"/>
  <c r="K59" i="191"/>
  <c r="J59" i="191"/>
  <c r="I59" i="191"/>
  <c r="H59" i="191"/>
  <c r="G59" i="191"/>
  <c r="F59" i="191"/>
  <c r="E59" i="191"/>
  <c r="P58" i="191"/>
  <c r="O58" i="191"/>
  <c r="N58" i="191"/>
  <c r="M58" i="191"/>
  <c r="L58" i="191"/>
  <c r="K58" i="191"/>
  <c r="J58" i="191"/>
  <c r="I58" i="191"/>
  <c r="H58" i="191"/>
  <c r="G58" i="191"/>
  <c r="F58" i="191"/>
  <c r="E58" i="191"/>
  <c r="P57" i="191"/>
  <c r="O57" i="191"/>
  <c r="N57" i="191"/>
  <c r="M57" i="191"/>
  <c r="L57" i="191"/>
  <c r="K57" i="191"/>
  <c r="J57" i="191"/>
  <c r="I57" i="191"/>
  <c r="H57" i="191"/>
  <c r="G57" i="191"/>
  <c r="F57" i="191"/>
  <c r="E57" i="191"/>
  <c r="P56" i="191"/>
  <c r="O56" i="191"/>
  <c r="N56" i="191"/>
  <c r="M56" i="191"/>
  <c r="L56" i="191"/>
  <c r="K56" i="191"/>
  <c r="J56" i="191"/>
  <c r="I56" i="191"/>
  <c r="H56" i="191"/>
  <c r="G56" i="191"/>
  <c r="F56" i="191"/>
  <c r="E56" i="191"/>
  <c r="P55" i="191"/>
  <c r="O55" i="191"/>
  <c r="N55" i="191"/>
  <c r="M55" i="191"/>
  <c r="L55" i="191"/>
  <c r="K55" i="191"/>
  <c r="J55" i="191"/>
  <c r="I55" i="191"/>
  <c r="H55" i="191"/>
  <c r="G55" i="191"/>
  <c r="F55" i="191"/>
  <c r="E55" i="191"/>
  <c r="P54" i="191"/>
  <c r="O54" i="191"/>
  <c r="N54" i="191"/>
  <c r="M54" i="191"/>
  <c r="L54" i="191"/>
  <c r="K54" i="191"/>
  <c r="J54" i="191"/>
  <c r="I54" i="191"/>
  <c r="H54" i="191"/>
  <c r="G54" i="191"/>
  <c r="F54" i="191"/>
  <c r="E54" i="191"/>
  <c r="P53" i="191"/>
  <c r="O53" i="191"/>
  <c r="N53" i="191"/>
  <c r="M53" i="191"/>
  <c r="L53" i="191"/>
  <c r="K53" i="191"/>
  <c r="J53" i="191"/>
  <c r="I53" i="191"/>
  <c r="H53" i="191"/>
  <c r="G53" i="191"/>
  <c r="F53" i="191"/>
  <c r="E53" i="191"/>
  <c r="P52" i="191"/>
  <c r="O52" i="191"/>
  <c r="N52" i="191"/>
  <c r="M52" i="191"/>
  <c r="L52" i="191"/>
  <c r="K52" i="191"/>
  <c r="J52" i="191"/>
  <c r="I52" i="191"/>
  <c r="H52" i="191"/>
  <c r="G52" i="191"/>
  <c r="F52" i="191"/>
  <c r="E52" i="191"/>
  <c r="P51" i="191"/>
  <c r="O51" i="191"/>
  <c r="N51" i="191"/>
  <c r="M51" i="191"/>
  <c r="L51" i="191"/>
  <c r="K51" i="191"/>
  <c r="J51" i="191"/>
  <c r="I51" i="191"/>
  <c r="H51" i="191"/>
  <c r="G51" i="191"/>
  <c r="F51" i="191"/>
  <c r="E51" i="191"/>
  <c r="P50" i="191"/>
  <c r="O50" i="191"/>
  <c r="N50" i="191"/>
  <c r="M50" i="191"/>
  <c r="L50" i="191"/>
  <c r="K50" i="191"/>
  <c r="J50" i="191"/>
  <c r="I50" i="191"/>
  <c r="H50" i="191"/>
  <c r="G50" i="191"/>
  <c r="F50" i="191"/>
  <c r="E50" i="191"/>
  <c r="P49" i="191"/>
  <c r="O49" i="191"/>
  <c r="N49" i="191"/>
  <c r="M49" i="191"/>
  <c r="L49" i="191"/>
  <c r="K49" i="191"/>
  <c r="J49" i="191"/>
  <c r="I49" i="191"/>
  <c r="H49" i="191"/>
  <c r="G49" i="191"/>
  <c r="F49" i="191"/>
  <c r="E49" i="191"/>
  <c r="P48" i="191"/>
  <c r="O48" i="191"/>
  <c r="N48" i="191"/>
  <c r="M48" i="191"/>
  <c r="L48" i="191"/>
  <c r="K48" i="191"/>
  <c r="J48" i="191"/>
  <c r="I48" i="191"/>
  <c r="H48" i="191"/>
  <c r="G48" i="191"/>
  <c r="F48" i="191"/>
  <c r="E48" i="191"/>
  <c r="P47" i="191"/>
  <c r="O47" i="191"/>
  <c r="N47" i="191"/>
  <c r="M47" i="191"/>
  <c r="L47" i="191"/>
  <c r="K47" i="191"/>
  <c r="J47" i="191"/>
  <c r="I47" i="191"/>
  <c r="H47" i="191"/>
  <c r="G47" i="191"/>
  <c r="F47" i="191"/>
  <c r="E47" i="191"/>
  <c r="N46" i="191"/>
  <c r="M46" i="191"/>
  <c r="L46" i="191"/>
  <c r="K46" i="191"/>
  <c r="I46" i="191"/>
  <c r="H46" i="191"/>
  <c r="G46" i="191"/>
  <c r="F46" i="191"/>
  <c r="E46" i="191"/>
  <c r="N45" i="191"/>
  <c r="M45" i="191"/>
  <c r="L45" i="191"/>
  <c r="I45" i="191"/>
  <c r="H45" i="191"/>
  <c r="G45" i="191"/>
  <c r="F45" i="191"/>
  <c r="E45" i="191"/>
  <c r="P44" i="191"/>
  <c r="O44" i="191"/>
  <c r="N44" i="191"/>
  <c r="M44" i="191"/>
  <c r="L44" i="191"/>
  <c r="K44" i="191"/>
  <c r="J44" i="191"/>
  <c r="I44" i="191"/>
  <c r="H44" i="191"/>
  <c r="G44" i="191"/>
  <c r="F44" i="191"/>
  <c r="E44" i="191"/>
  <c r="M43" i="191"/>
  <c r="L43" i="191"/>
  <c r="I43" i="191"/>
  <c r="G43" i="191"/>
  <c r="F43" i="191"/>
  <c r="E43" i="191"/>
  <c r="O40" i="191"/>
  <c r="N40" i="191"/>
  <c r="M40" i="191"/>
  <c r="L40" i="191"/>
  <c r="K40" i="191"/>
  <c r="J40" i="191"/>
  <c r="I40" i="191"/>
  <c r="H40" i="191"/>
  <c r="G40" i="191"/>
  <c r="F40" i="191"/>
  <c r="P39" i="191"/>
  <c r="O39" i="191"/>
  <c r="N39" i="191"/>
  <c r="M39" i="191"/>
  <c r="L39" i="191"/>
  <c r="K39" i="191"/>
  <c r="J39" i="191"/>
  <c r="I39" i="191"/>
  <c r="H39" i="191"/>
  <c r="G39" i="191"/>
  <c r="F39" i="191"/>
  <c r="E39" i="191"/>
  <c r="P38" i="191"/>
  <c r="O38" i="191"/>
  <c r="N38" i="191"/>
  <c r="M38" i="191"/>
  <c r="L38" i="191"/>
  <c r="K38" i="191"/>
  <c r="J38" i="191"/>
  <c r="I38" i="191"/>
  <c r="H38" i="191"/>
  <c r="G38" i="191"/>
  <c r="F38" i="191"/>
  <c r="E38" i="191"/>
  <c r="P37" i="191"/>
  <c r="O37" i="191"/>
  <c r="N37" i="191"/>
  <c r="M37" i="191"/>
  <c r="L37" i="191"/>
  <c r="K37" i="191"/>
  <c r="J37" i="191"/>
  <c r="I37" i="191"/>
  <c r="H37" i="191"/>
  <c r="G37" i="191"/>
  <c r="F37" i="191"/>
  <c r="E37" i="191"/>
  <c r="O36" i="191"/>
  <c r="N36" i="191"/>
  <c r="M36" i="191"/>
  <c r="L36" i="191"/>
  <c r="K36" i="191"/>
  <c r="J36" i="191"/>
  <c r="I36" i="191"/>
  <c r="H36" i="191"/>
  <c r="G36" i="191"/>
  <c r="P35" i="191"/>
  <c r="O35" i="191"/>
  <c r="N35" i="191"/>
  <c r="M35" i="191"/>
  <c r="L35" i="191"/>
  <c r="K35" i="191"/>
  <c r="J35" i="191"/>
  <c r="I35" i="191"/>
  <c r="H35" i="191"/>
  <c r="G35" i="191"/>
  <c r="F35" i="191"/>
  <c r="E35" i="191"/>
  <c r="P34" i="191"/>
  <c r="O34" i="191"/>
  <c r="N34" i="191"/>
  <c r="M34" i="191"/>
  <c r="L34" i="191"/>
  <c r="K34" i="191"/>
  <c r="J34" i="191"/>
  <c r="I34" i="191"/>
  <c r="H34" i="191"/>
  <c r="G34" i="191"/>
  <c r="F34" i="191"/>
  <c r="E34" i="191"/>
  <c r="P33" i="191"/>
  <c r="O33" i="191"/>
  <c r="N33" i="191"/>
  <c r="M33" i="191"/>
  <c r="L33" i="191"/>
  <c r="K33" i="191"/>
  <c r="J33" i="191"/>
  <c r="I33" i="191"/>
  <c r="H33" i="191"/>
  <c r="G33" i="191"/>
  <c r="F33" i="191"/>
  <c r="E33" i="191"/>
  <c r="P32" i="191"/>
  <c r="O32" i="191"/>
  <c r="N32" i="191"/>
  <c r="M32" i="191"/>
  <c r="L32" i="191"/>
  <c r="K32" i="191"/>
  <c r="J32" i="191"/>
  <c r="I32" i="191"/>
  <c r="H32" i="191"/>
  <c r="G32" i="191"/>
  <c r="F32" i="191"/>
  <c r="E32" i="191"/>
  <c r="P30" i="191"/>
  <c r="O30" i="191"/>
  <c r="N30" i="191"/>
  <c r="M30" i="191"/>
  <c r="L30" i="191"/>
  <c r="K30" i="191"/>
  <c r="J30" i="191"/>
  <c r="I30" i="191"/>
  <c r="H30" i="191"/>
  <c r="G30" i="191"/>
  <c r="F30" i="191"/>
  <c r="E30" i="191"/>
  <c r="P29" i="191"/>
  <c r="O29" i="191"/>
  <c r="N29" i="191"/>
  <c r="M29" i="191"/>
  <c r="L29" i="191"/>
  <c r="K29" i="191"/>
  <c r="J29" i="191"/>
  <c r="I29" i="191"/>
  <c r="H29" i="191"/>
  <c r="G29" i="191"/>
  <c r="F29" i="191"/>
  <c r="E29" i="191"/>
  <c r="P28" i="191"/>
  <c r="O28" i="191"/>
  <c r="N28" i="191"/>
  <c r="M28" i="191"/>
  <c r="L28" i="191"/>
  <c r="K28" i="191"/>
  <c r="J28" i="191"/>
  <c r="I28" i="191"/>
  <c r="H28" i="191"/>
  <c r="G28" i="191"/>
  <c r="F28" i="191"/>
  <c r="E28" i="191"/>
  <c r="P27" i="191"/>
  <c r="O27" i="191"/>
  <c r="N27" i="191"/>
  <c r="M27" i="191"/>
  <c r="L27" i="191"/>
  <c r="K27" i="191"/>
  <c r="J27" i="191"/>
  <c r="I27" i="191"/>
  <c r="H27" i="191"/>
  <c r="G27" i="191"/>
  <c r="F27" i="191"/>
  <c r="E27" i="191"/>
  <c r="P26" i="191"/>
  <c r="O26" i="191"/>
  <c r="N26" i="191"/>
  <c r="M26" i="191"/>
  <c r="L26" i="191"/>
  <c r="K26" i="191"/>
  <c r="J26" i="191"/>
  <c r="I26" i="191"/>
  <c r="H26" i="191"/>
  <c r="G26" i="191"/>
  <c r="F26" i="191"/>
  <c r="E26" i="191"/>
  <c r="P25" i="191"/>
  <c r="O25" i="191"/>
  <c r="N25" i="191"/>
  <c r="M25" i="191"/>
  <c r="L25" i="191"/>
  <c r="K25" i="191"/>
  <c r="J25" i="191"/>
  <c r="I25" i="191"/>
  <c r="H25" i="191"/>
  <c r="G25" i="191"/>
  <c r="F25" i="191"/>
  <c r="E25" i="191"/>
  <c r="P24" i="191"/>
  <c r="O24" i="191"/>
  <c r="N24" i="191"/>
  <c r="M24" i="191"/>
  <c r="L24" i="191"/>
  <c r="K24" i="191"/>
  <c r="J24" i="191"/>
  <c r="I24" i="191"/>
  <c r="H24" i="191"/>
  <c r="G24" i="191"/>
  <c r="F24" i="191"/>
  <c r="E24" i="191"/>
  <c r="P23" i="191"/>
  <c r="O23" i="191"/>
  <c r="N23" i="191"/>
  <c r="M23" i="191"/>
  <c r="L23" i="191"/>
  <c r="K23" i="191"/>
  <c r="J23" i="191"/>
  <c r="I23" i="191"/>
  <c r="H23" i="191"/>
  <c r="G23" i="191"/>
  <c r="F23" i="191"/>
  <c r="E23" i="191"/>
  <c r="O22" i="191"/>
  <c r="N22" i="191"/>
  <c r="M22" i="191"/>
  <c r="L22" i="191"/>
  <c r="K22" i="191"/>
  <c r="J22" i="191"/>
  <c r="I22" i="191"/>
  <c r="H22" i="191"/>
  <c r="G22" i="191"/>
  <c r="F22" i="191"/>
  <c r="P21" i="191"/>
  <c r="O21" i="191"/>
  <c r="N21" i="191"/>
  <c r="M21" i="191"/>
  <c r="L21" i="191"/>
  <c r="K21" i="191"/>
  <c r="J21" i="191"/>
  <c r="I21" i="191"/>
  <c r="H21" i="191"/>
  <c r="G21" i="191"/>
  <c r="F21" i="191"/>
  <c r="E21" i="191"/>
  <c r="P20" i="191"/>
  <c r="O20" i="191"/>
  <c r="N20" i="191"/>
  <c r="M20" i="191"/>
  <c r="L20" i="191"/>
  <c r="K20" i="191"/>
  <c r="J20" i="191"/>
  <c r="I20" i="191"/>
  <c r="H20" i="191"/>
  <c r="G20" i="191"/>
  <c r="F20" i="191"/>
  <c r="E20" i="191"/>
  <c r="N19" i="191"/>
  <c r="M19" i="191"/>
  <c r="L19" i="191"/>
  <c r="K19" i="191"/>
  <c r="I19" i="191"/>
  <c r="H19" i="191"/>
  <c r="G19" i="191"/>
  <c r="F19" i="191"/>
  <c r="E19" i="191"/>
  <c r="N18" i="191"/>
  <c r="M18" i="191"/>
  <c r="L18" i="191"/>
  <c r="I18" i="191"/>
  <c r="H18" i="191"/>
  <c r="G18" i="191"/>
  <c r="F97" i="194"/>
  <c r="E97" i="194"/>
  <c r="E94" i="194"/>
  <c r="C94" i="194" s="1"/>
  <c r="F85" i="194"/>
  <c r="F55" i="194"/>
  <c r="P330" i="193"/>
  <c r="O330" i="193"/>
  <c r="N330" i="193"/>
  <c r="M330" i="193"/>
  <c r="L330" i="193"/>
  <c r="K330" i="193"/>
  <c r="J330" i="193"/>
  <c r="J341" i="193" s="1"/>
  <c r="H330" i="193"/>
  <c r="G330" i="193"/>
  <c r="F330" i="193"/>
  <c r="O327" i="193"/>
  <c r="J327" i="193" s="1"/>
  <c r="E327" i="193"/>
  <c r="N326" i="193"/>
  <c r="M326" i="193"/>
  <c r="M325" i="193" s="1"/>
  <c r="M317" i="193" s="1"/>
  <c r="M316" i="193" s="1"/>
  <c r="L326" i="193"/>
  <c r="L325" i="193" s="1"/>
  <c r="K326" i="193"/>
  <c r="K325" i="193" s="1"/>
  <c r="I326" i="193"/>
  <c r="H326" i="193"/>
  <c r="G326" i="193"/>
  <c r="F326" i="193"/>
  <c r="E326" i="193"/>
  <c r="E325" i="193" s="1"/>
  <c r="N325" i="193"/>
  <c r="I325" i="193"/>
  <c r="H325" i="193"/>
  <c r="G325" i="193"/>
  <c r="F325" i="193"/>
  <c r="O324" i="193"/>
  <c r="J324" i="193" s="1"/>
  <c r="J323" i="193" s="1"/>
  <c r="J321" i="193" s="1"/>
  <c r="F324" i="193"/>
  <c r="E324" i="193"/>
  <c r="O323" i="193"/>
  <c r="N323" i="193"/>
  <c r="M323" i="193"/>
  <c r="L323" i="193"/>
  <c r="K323" i="193"/>
  <c r="I323" i="193"/>
  <c r="I321" i="193" s="1"/>
  <c r="I317" i="193" s="1"/>
  <c r="I316" i="193" s="1"/>
  <c r="H323" i="193"/>
  <c r="H321" i="193" s="1"/>
  <c r="G323" i="193"/>
  <c r="O322" i="193"/>
  <c r="J322" i="193"/>
  <c r="F322" i="193"/>
  <c r="E322" i="193" s="1"/>
  <c r="O321" i="193"/>
  <c r="N321" i="193"/>
  <c r="M321" i="193"/>
  <c r="L321" i="193"/>
  <c r="K321" i="193"/>
  <c r="G321" i="193"/>
  <c r="O320" i="193"/>
  <c r="O318" i="193" s="1"/>
  <c r="J320" i="193"/>
  <c r="P320" i="193" s="1"/>
  <c r="E320" i="193"/>
  <c r="S319" i="193"/>
  <c r="Q319" i="193"/>
  <c r="O319" i="193"/>
  <c r="J319" i="193" s="1"/>
  <c r="J318" i="193" s="1"/>
  <c r="H319" i="193"/>
  <c r="H318" i="193" s="1"/>
  <c r="H317" i="193" s="1"/>
  <c r="H316" i="193" s="1"/>
  <c r="G319" i="193"/>
  <c r="G318" i="193" s="1"/>
  <c r="G317" i="193" s="1"/>
  <c r="G316" i="193" s="1"/>
  <c r="F319" i="193"/>
  <c r="E319" i="193" s="1"/>
  <c r="N318" i="193"/>
  <c r="M318" i="193"/>
  <c r="L318" i="193"/>
  <c r="K318" i="193"/>
  <c r="I318" i="193"/>
  <c r="N317" i="193"/>
  <c r="N316" i="193"/>
  <c r="R315" i="193"/>
  <c r="O315" i="193"/>
  <c r="J315" i="193" s="1"/>
  <c r="E315" i="193"/>
  <c r="O314" i="193"/>
  <c r="N314" i="193"/>
  <c r="M314" i="193"/>
  <c r="L314" i="193"/>
  <c r="K314" i="193"/>
  <c r="I314" i="193"/>
  <c r="H314" i="193"/>
  <c r="G314" i="193"/>
  <c r="F314" i="193"/>
  <c r="E314" i="193"/>
  <c r="R313" i="193"/>
  <c r="P313" i="193"/>
  <c r="P312" i="193" s="1"/>
  <c r="J313" i="193"/>
  <c r="E313" i="193"/>
  <c r="O312" i="193"/>
  <c r="O311" i="193" s="1"/>
  <c r="N312" i="193"/>
  <c r="N311" i="193" s="1"/>
  <c r="M312" i="193"/>
  <c r="M311" i="193" s="1"/>
  <c r="M308" i="193" s="1"/>
  <c r="M307" i="193" s="1"/>
  <c r="L312" i="193"/>
  <c r="L311" i="193" s="1"/>
  <c r="L308" i="193" s="1"/>
  <c r="K312" i="193"/>
  <c r="J312" i="193"/>
  <c r="I312" i="193"/>
  <c r="H312" i="193"/>
  <c r="G312" i="193"/>
  <c r="G311" i="193" s="1"/>
  <c r="F312" i="193"/>
  <c r="F311" i="193" s="1"/>
  <c r="E312" i="193"/>
  <c r="E311" i="193" s="1"/>
  <c r="K311" i="193"/>
  <c r="K308" i="193" s="1"/>
  <c r="I311" i="193"/>
  <c r="I308" i="193" s="1"/>
  <c r="I307" i="193" s="1"/>
  <c r="H311" i="193"/>
  <c r="R310" i="193"/>
  <c r="O310" i="193"/>
  <c r="J310" i="193" s="1"/>
  <c r="J309" i="193" s="1"/>
  <c r="H310" i="193"/>
  <c r="G310" i="193"/>
  <c r="F310" i="193"/>
  <c r="E310" i="193" s="1"/>
  <c r="N309" i="193"/>
  <c r="N308" i="193" s="1"/>
  <c r="N307" i="193" s="1"/>
  <c r="M309" i="193"/>
  <c r="L309" i="193"/>
  <c r="K309" i="193"/>
  <c r="I309" i="193"/>
  <c r="H309" i="193"/>
  <c r="H308" i="193" s="1"/>
  <c r="H307" i="193" s="1"/>
  <c r="G309" i="193"/>
  <c r="F309" i="193"/>
  <c r="F308" i="193" s="1"/>
  <c r="F307" i="193" s="1"/>
  <c r="O306" i="193"/>
  <c r="L306" i="193"/>
  <c r="J306" i="193"/>
  <c r="Q306" i="193" s="1"/>
  <c r="O305" i="193"/>
  <c r="J305" i="193" s="1"/>
  <c r="Q305" i="193" s="1"/>
  <c r="L305" i="193"/>
  <c r="E305" i="193"/>
  <c r="P305" i="193" s="1"/>
  <c r="O304" i="193"/>
  <c r="J304" i="193" s="1"/>
  <c r="L304" i="193"/>
  <c r="E304" i="193"/>
  <c r="O303" i="193"/>
  <c r="O302" i="193" s="1"/>
  <c r="O301" i="193" s="1"/>
  <c r="O300" i="193" s="1"/>
  <c r="L303" i="193"/>
  <c r="J303" i="193" s="1"/>
  <c r="E303" i="193"/>
  <c r="N302" i="193"/>
  <c r="M302" i="193"/>
  <c r="K302" i="193"/>
  <c r="K301" i="193" s="1"/>
  <c r="K300" i="193" s="1"/>
  <c r="I302" i="193"/>
  <c r="H302" i="193"/>
  <c r="G302" i="193"/>
  <c r="F302" i="193"/>
  <c r="E302" i="193"/>
  <c r="N301" i="193"/>
  <c r="N300" i="193" s="1"/>
  <c r="N296" i="193" s="1"/>
  <c r="N295" i="193" s="1"/>
  <c r="M301" i="193"/>
  <c r="I301" i="193"/>
  <c r="H301" i="193"/>
  <c r="H300" i="193" s="1"/>
  <c r="G301" i="193"/>
  <c r="G300" i="193" s="1"/>
  <c r="G296" i="193" s="1"/>
  <c r="G295" i="193" s="1"/>
  <c r="F301" i="193"/>
  <c r="F300" i="193" s="1"/>
  <c r="E301" i="193"/>
  <c r="E300" i="193" s="1"/>
  <c r="M300" i="193"/>
  <c r="I300" i="193"/>
  <c r="O299" i="193"/>
  <c r="J299" i="193" s="1"/>
  <c r="P299" i="193" s="1"/>
  <c r="E299" i="193"/>
  <c r="K298" i="193"/>
  <c r="R298" i="193" s="1"/>
  <c r="H298" i="193"/>
  <c r="H297" i="193" s="1"/>
  <c r="H296" i="193" s="1"/>
  <c r="H295" i="193" s="1"/>
  <c r="F298" i="193"/>
  <c r="E298" i="193" s="1"/>
  <c r="N297" i="193"/>
  <c r="M297" i="193"/>
  <c r="L297" i="193"/>
  <c r="K297" i="193"/>
  <c r="K296" i="193" s="1"/>
  <c r="I297" i="193"/>
  <c r="G297" i="193"/>
  <c r="M296" i="193"/>
  <c r="I296" i="193"/>
  <c r="I295" i="193" s="1"/>
  <c r="M295" i="193"/>
  <c r="R294" i="193"/>
  <c r="K294" i="193"/>
  <c r="O294" i="193" s="1"/>
  <c r="F294" i="193"/>
  <c r="E294" i="193"/>
  <c r="N293" i="193"/>
  <c r="M293" i="193"/>
  <c r="L293" i="193"/>
  <c r="I293" i="193"/>
  <c r="I292" i="193" s="1"/>
  <c r="H293" i="193"/>
  <c r="H292" i="193" s="1"/>
  <c r="G293" i="193"/>
  <c r="G292" i="193" s="1"/>
  <c r="F293" i="193"/>
  <c r="N292" i="193"/>
  <c r="M292" i="193"/>
  <c r="L292" i="193"/>
  <c r="F292" i="193"/>
  <c r="R291" i="193"/>
  <c r="O291" i="193"/>
  <c r="J291" i="193" s="1"/>
  <c r="J290" i="193" s="1"/>
  <c r="K291" i="193"/>
  <c r="F291" i="193"/>
  <c r="E291" i="193" s="1"/>
  <c r="O290" i="193"/>
  <c r="O287" i="193" s="1"/>
  <c r="N290" i="193"/>
  <c r="M290" i="193"/>
  <c r="L290" i="193"/>
  <c r="K290" i="193"/>
  <c r="I290" i="193"/>
  <c r="H290" i="193"/>
  <c r="H287" i="193" s="1"/>
  <c r="H284" i="193" s="1"/>
  <c r="H283" i="193" s="1"/>
  <c r="H282" i="193" s="1"/>
  <c r="G290" i="193"/>
  <c r="G287" i="193" s="1"/>
  <c r="G284" i="193" s="1"/>
  <c r="F290" i="193"/>
  <c r="O289" i="193"/>
  <c r="J289" i="193" s="1"/>
  <c r="F289" i="193"/>
  <c r="E289" i="193"/>
  <c r="O288" i="193"/>
  <c r="J288" i="193" s="1"/>
  <c r="P288" i="193" s="1"/>
  <c r="F288" i="193"/>
  <c r="E288" i="193"/>
  <c r="N287" i="193"/>
  <c r="N284" i="193" s="1"/>
  <c r="N283" i="193" s="1"/>
  <c r="N282" i="193" s="1"/>
  <c r="M287" i="193"/>
  <c r="M284" i="193" s="1"/>
  <c r="M283" i="193" s="1"/>
  <c r="M282" i="193" s="1"/>
  <c r="L287" i="193"/>
  <c r="L284" i="193" s="1"/>
  <c r="L283" i="193" s="1"/>
  <c r="K287" i="193"/>
  <c r="I287" i="193"/>
  <c r="F287" i="193"/>
  <c r="F284" i="193" s="1"/>
  <c r="F283" i="193" s="1"/>
  <c r="F282" i="193" s="1"/>
  <c r="O286" i="193"/>
  <c r="J286" i="193" s="1"/>
  <c r="J285" i="193" s="1"/>
  <c r="E286" i="193"/>
  <c r="P286" i="193" s="1"/>
  <c r="P285" i="193" s="1"/>
  <c r="N285" i="193"/>
  <c r="M285" i="193"/>
  <c r="L285" i="193"/>
  <c r="K285" i="193"/>
  <c r="K284" i="193" s="1"/>
  <c r="I285" i="193"/>
  <c r="H285" i="193"/>
  <c r="G285" i="193"/>
  <c r="F285" i="193"/>
  <c r="E285" i="193"/>
  <c r="I284" i="193"/>
  <c r="O281" i="193"/>
  <c r="J281" i="193" s="1"/>
  <c r="J280" i="193" s="1"/>
  <c r="J277" i="193" s="1"/>
  <c r="J276" i="193" s="1"/>
  <c r="F281" i="193"/>
  <c r="E281" i="193" s="1"/>
  <c r="N280" i="193"/>
  <c r="M280" i="193"/>
  <c r="M277" i="193" s="1"/>
  <c r="M276" i="193" s="1"/>
  <c r="M271" i="193" s="1"/>
  <c r="M270" i="193" s="1"/>
  <c r="L280" i="193"/>
  <c r="L277" i="193" s="1"/>
  <c r="L276" i="193" s="1"/>
  <c r="L271" i="193" s="1"/>
  <c r="K280" i="193"/>
  <c r="I280" i="193"/>
  <c r="H280" i="193"/>
  <c r="G280" i="193"/>
  <c r="P279" i="193"/>
  <c r="P278" i="193" s="1"/>
  <c r="O279" i="193"/>
  <c r="O278" i="193" s="1"/>
  <c r="J279" i="193"/>
  <c r="E279" i="193"/>
  <c r="N278" i="193"/>
  <c r="M278" i="193"/>
  <c r="L278" i="193"/>
  <c r="K278" i="193"/>
  <c r="J278" i="193"/>
  <c r="I278" i="193"/>
  <c r="H278" i="193"/>
  <c r="G278" i="193"/>
  <c r="F278" i="193"/>
  <c r="E278" i="193"/>
  <c r="N277" i="193"/>
  <c r="N276" i="193" s="1"/>
  <c r="N271" i="193" s="1"/>
  <c r="N270" i="193" s="1"/>
  <c r="K277" i="193"/>
  <c r="I277" i="193"/>
  <c r="I276" i="193" s="1"/>
  <c r="H277" i="193"/>
  <c r="H276" i="193" s="1"/>
  <c r="H271" i="193" s="1"/>
  <c r="H270" i="193" s="1"/>
  <c r="G277" i="193"/>
  <c r="K276" i="193"/>
  <c r="G276" i="193"/>
  <c r="O275" i="193"/>
  <c r="J275" i="193"/>
  <c r="F275" i="193"/>
  <c r="E275" i="193" s="1"/>
  <c r="P275" i="193" s="1"/>
  <c r="O274" i="193"/>
  <c r="J274" i="193"/>
  <c r="P274" i="193" s="1"/>
  <c r="E274" i="193"/>
  <c r="K273" i="193"/>
  <c r="R273" i="193" s="1"/>
  <c r="H273" i="193"/>
  <c r="F273" i="193"/>
  <c r="F272" i="193" s="1"/>
  <c r="E273" i="193"/>
  <c r="N272" i="193"/>
  <c r="M272" i="193"/>
  <c r="L272" i="193"/>
  <c r="K272" i="193"/>
  <c r="I272" i="193"/>
  <c r="I271" i="193" s="1"/>
  <c r="I270" i="193" s="1"/>
  <c r="H272" i="193"/>
  <c r="G272" i="193"/>
  <c r="K271" i="193"/>
  <c r="R271" i="193" s="1"/>
  <c r="G271" i="193"/>
  <c r="G270" i="193" s="1"/>
  <c r="K270" i="193"/>
  <c r="R269" i="193"/>
  <c r="P269" i="193"/>
  <c r="P268" i="193" s="1"/>
  <c r="P267" i="193" s="1"/>
  <c r="O269" i="193"/>
  <c r="O268" i="193" s="1"/>
  <c r="O267" i="193" s="1"/>
  <c r="J269" i="193"/>
  <c r="E269" i="193"/>
  <c r="N268" i="193"/>
  <c r="M268" i="193"/>
  <c r="M267" i="193" s="1"/>
  <c r="M263" i="193" s="1"/>
  <c r="M262" i="193" s="1"/>
  <c r="L268" i="193"/>
  <c r="L267" i="193" s="1"/>
  <c r="L263" i="193" s="1"/>
  <c r="K268" i="193"/>
  <c r="J268" i="193"/>
  <c r="I268" i="193"/>
  <c r="H268" i="193"/>
  <c r="G268" i="193"/>
  <c r="F268" i="193"/>
  <c r="E268" i="193"/>
  <c r="E267" i="193" s="1"/>
  <c r="N267" i="193"/>
  <c r="K267" i="193"/>
  <c r="J267" i="193"/>
  <c r="I267" i="193"/>
  <c r="H267" i="193"/>
  <c r="G267" i="193"/>
  <c r="F267" i="193"/>
  <c r="O266" i="193"/>
  <c r="J266" i="193" s="1"/>
  <c r="P266" i="193" s="1"/>
  <c r="E266" i="193"/>
  <c r="R265" i="193"/>
  <c r="K265" i="193"/>
  <c r="O265" i="193" s="1"/>
  <c r="H265" i="193"/>
  <c r="F265" i="193"/>
  <c r="E265" i="193"/>
  <c r="N264" i="193"/>
  <c r="M264" i="193"/>
  <c r="L264" i="193"/>
  <c r="K264" i="193"/>
  <c r="I264" i="193"/>
  <c r="I263" i="193" s="1"/>
  <c r="I262" i="193" s="1"/>
  <c r="H264" i="193"/>
  <c r="H263" i="193" s="1"/>
  <c r="H262" i="193" s="1"/>
  <c r="G264" i="193"/>
  <c r="F264" i="193"/>
  <c r="N263" i="193"/>
  <c r="N262" i="193" s="1"/>
  <c r="K263" i="193"/>
  <c r="G263" i="193"/>
  <c r="G262" i="193" s="1"/>
  <c r="F263" i="193"/>
  <c r="F262" i="193" s="1"/>
  <c r="K262" i="193"/>
  <c r="O260" i="193"/>
  <c r="J260" i="193" s="1"/>
  <c r="J259" i="193" s="1"/>
  <c r="J258" i="193" s="1"/>
  <c r="E260" i="193"/>
  <c r="P260" i="193" s="1"/>
  <c r="P259" i="193" s="1"/>
  <c r="P258" i="193" s="1"/>
  <c r="N259" i="193"/>
  <c r="M259" i="193"/>
  <c r="L259" i="193"/>
  <c r="K259" i="193"/>
  <c r="K258" i="193" s="1"/>
  <c r="I259" i="193"/>
  <c r="H259" i="193"/>
  <c r="G259" i="193"/>
  <c r="F259" i="193"/>
  <c r="E259" i="193"/>
  <c r="N258" i="193"/>
  <c r="M258" i="193"/>
  <c r="L258" i="193"/>
  <c r="I258" i="193"/>
  <c r="H258" i="193"/>
  <c r="G258" i="193"/>
  <c r="F258" i="193"/>
  <c r="E258" i="193"/>
  <c r="K257" i="193"/>
  <c r="R257" i="193" s="1"/>
  <c r="E257" i="193"/>
  <c r="K256" i="193"/>
  <c r="R256" i="193" s="1"/>
  <c r="E256" i="193"/>
  <c r="O255" i="193"/>
  <c r="J255" i="193" s="1"/>
  <c r="E255" i="193"/>
  <c r="P255" i="193" s="1"/>
  <c r="R254" i="193"/>
  <c r="O254" i="193"/>
  <c r="J254" i="193" s="1"/>
  <c r="P254" i="193" s="1"/>
  <c r="E254" i="193"/>
  <c r="K253" i="193"/>
  <c r="O253" i="193" s="1"/>
  <c r="E253" i="193"/>
  <c r="N252" i="193"/>
  <c r="M252" i="193"/>
  <c r="L252" i="193"/>
  <c r="K252" i="193"/>
  <c r="I252" i="193"/>
  <c r="H252" i="193"/>
  <c r="G252" i="193"/>
  <c r="F252" i="193"/>
  <c r="E252" i="193"/>
  <c r="R251" i="193"/>
  <c r="O251" i="193"/>
  <c r="J251" i="193" s="1"/>
  <c r="P251" i="193" s="1"/>
  <c r="E251" i="193"/>
  <c r="N250" i="193"/>
  <c r="M250" i="193"/>
  <c r="M249" i="193" s="1"/>
  <c r="M241" i="193" s="1"/>
  <c r="M240" i="193" s="1"/>
  <c r="L250" i="193"/>
  <c r="L249" i="193" s="1"/>
  <c r="L241" i="193" s="1"/>
  <c r="K250" i="193"/>
  <c r="K249" i="193" s="1"/>
  <c r="I250" i="193"/>
  <c r="H250" i="193"/>
  <c r="G250" i="193"/>
  <c r="F250" i="193"/>
  <c r="E250" i="193"/>
  <c r="E249" i="193" s="1"/>
  <c r="N249" i="193"/>
  <c r="I249" i="193"/>
  <c r="H249" i="193"/>
  <c r="G249" i="193"/>
  <c r="F249" i="193"/>
  <c r="K248" i="193"/>
  <c r="O248" i="193" s="1"/>
  <c r="E248" i="193"/>
  <c r="N247" i="193"/>
  <c r="M247" i="193"/>
  <c r="L247" i="193"/>
  <c r="K247" i="193"/>
  <c r="K246" i="193" s="1"/>
  <c r="I247" i="193"/>
  <c r="I246" i="193" s="1"/>
  <c r="H247" i="193"/>
  <c r="G247" i="193"/>
  <c r="F247" i="193"/>
  <c r="N246" i="193"/>
  <c r="M246" i="193"/>
  <c r="L246" i="193"/>
  <c r="H246" i="193"/>
  <c r="G246" i="193"/>
  <c r="F246" i="193"/>
  <c r="O245" i="193"/>
  <c r="J245" i="193" s="1"/>
  <c r="P245" i="193" s="1"/>
  <c r="E245" i="193"/>
  <c r="O244" i="193"/>
  <c r="J244" i="193" s="1"/>
  <c r="P244" i="193" s="1"/>
  <c r="E244" i="193"/>
  <c r="O243" i="193"/>
  <c r="J243" i="193" s="1"/>
  <c r="H243" i="193"/>
  <c r="F243" i="193"/>
  <c r="E243" i="193" s="1"/>
  <c r="O242" i="193"/>
  <c r="N242" i="193"/>
  <c r="M242" i="193"/>
  <c r="L242" i="193"/>
  <c r="K242" i="193"/>
  <c r="I242" i="193"/>
  <c r="I241" i="193" s="1"/>
  <c r="I240" i="193" s="1"/>
  <c r="H242" i="193"/>
  <c r="G242" i="193"/>
  <c r="N241" i="193"/>
  <c r="N240" i="193" s="1"/>
  <c r="H241" i="193"/>
  <c r="H240" i="193" s="1"/>
  <c r="G241" i="193"/>
  <c r="G240" i="193" s="1"/>
  <c r="O239" i="193"/>
  <c r="J239" i="193" s="1"/>
  <c r="H239" i="193"/>
  <c r="G239" i="193"/>
  <c r="F239" i="193"/>
  <c r="E239" i="193" s="1"/>
  <c r="R238" i="193"/>
  <c r="O238" i="193"/>
  <c r="J238" i="193" s="1"/>
  <c r="H238" i="193"/>
  <c r="G238" i="193"/>
  <c r="F238" i="193"/>
  <c r="E238" i="193" s="1"/>
  <c r="P238" i="193" s="1"/>
  <c r="O237" i="193"/>
  <c r="J237" i="193" s="1"/>
  <c r="E237" i="193"/>
  <c r="N236" i="193"/>
  <c r="M236" i="193"/>
  <c r="L236" i="193"/>
  <c r="K236" i="193"/>
  <c r="I236" i="193"/>
  <c r="I235" i="193" s="1"/>
  <c r="H236" i="193"/>
  <c r="G236" i="193"/>
  <c r="F236" i="193"/>
  <c r="N235" i="193"/>
  <c r="M235" i="193"/>
  <c r="L235" i="193"/>
  <c r="K235" i="193"/>
  <c r="H235" i="193"/>
  <c r="G235" i="193"/>
  <c r="F235" i="193"/>
  <c r="O233" i="193"/>
  <c r="L233" i="193"/>
  <c r="J233" i="193" s="1"/>
  <c r="O232" i="193"/>
  <c r="N232" i="193"/>
  <c r="M232" i="193"/>
  <c r="L232" i="193"/>
  <c r="K232" i="193"/>
  <c r="I232" i="193"/>
  <c r="H232" i="193"/>
  <c r="G232" i="193"/>
  <c r="F232" i="193"/>
  <c r="E232" i="193"/>
  <c r="R231" i="193"/>
  <c r="O231" i="193"/>
  <c r="K231" i="193"/>
  <c r="J231" i="193"/>
  <c r="E231" i="193"/>
  <c r="P231" i="193" s="1"/>
  <c r="O230" i="193"/>
  <c r="O229" i="193" s="1"/>
  <c r="K230" i="193"/>
  <c r="R230" i="193" s="1"/>
  <c r="E230" i="193"/>
  <c r="N229" i="193"/>
  <c r="M229" i="193"/>
  <c r="L229" i="193"/>
  <c r="L223" i="193" s="1"/>
  <c r="K229" i="193"/>
  <c r="I229" i="193"/>
  <c r="H229" i="193"/>
  <c r="G229" i="193"/>
  <c r="F229" i="193"/>
  <c r="E229" i="193"/>
  <c r="R228" i="193"/>
  <c r="K228" i="193"/>
  <c r="O228" i="193" s="1"/>
  <c r="F228" i="193"/>
  <c r="E228" i="193" s="1"/>
  <c r="E227" i="193" s="1"/>
  <c r="E226" i="193" s="1"/>
  <c r="N227" i="193"/>
  <c r="M227" i="193"/>
  <c r="L227" i="193"/>
  <c r="K227" i="193"/>
  <c r="I227" i="193"/>
  <c r="I226" i="193" s="1"/>
  <c r="H227" i="193"/>
  <c r="H226" i="193" s="1"/>
  <c r="G227" i="193"/>
  <c r="G226" i="193" s="1"/>
  <c r="F227" i="193"/>
  <c r="N226" i="193"/>
  <c r="M226" i="193"/>
  <c r="L226" i="193"/>
  <c r="K226" i="193"/>
  <c r="K223" i="193" s="1"/>
  <c r="F226" i="193"/>
  <c r="R225" i="193"/>
  <c r="P225" i="193"/>
  <c r="P224" i="193" s="1"/>
  <c r="O225" i="193"/>
  <c r="J225" i="193" s="1"/>
  <c r="J224" i="193" s="1"/>
  <c r="K225" i="193"/>
  <c r="E225" i="193"/>
  <c r="O224" i="193"/>
  <c r="N224" i="193"/>
  <c r="N223" i="193" s="1"/>
  <c r="M224" i="193"/>
  <c r="M223" i="193" s="1"/>
  <c r="L224" i="193"/>
  <c r="K224" i="193"/>
  <c r="I224" i="193"/>
  <c r="H224" i="193"/>
  <c r="G224" i="193"/>
  <c r="F224" i="193"/>
  <c r="F223" i="193" s="1"/>
  <c r="E224" i="193"/>
  <c r="E223" i="193" s="1"/>
  <c r="I223" i="193"/>
  <c r="K222" i="193"/>
  <c r="F222" i="193"/>
  <c r="E222" i="193" s="1"/>
  <c r="O221" i="193"/>
  <c r="J221" i="193"/>
  <c r="F221" i="193"/>
  <c r="E221" i="193"/>
  <c r="P221" i="193" s="1"/>
  <c r="O220" i="193"/>
  <c r="J220" i="193" s="1"/>
  <c r="P220" i="193" s="1"/>
  <c r="F220" i="193"/>
  <c r="E220" i="193"/>
  <c r="O219" i="193"/>
  <c r="O218" i="193" s="1"/>
  <c r="J219" i="193"/>
  <c r="F219" i="193"/>
  <c r="E219" i="193" s="1"/>
  <c r="E218" i="193" s="1"/>
  <c r="N218" i="193"/>
  <c r="M218" i="193"/>
  <c r="M217" i="193" s="1"/>
  <c r="L218" i="193"/>
  <c r="L217" i="193" s="1"/>
  <c r="K218" i="193"/>
  <c r="I218" i="193"/>
  <c r="H218" i="193"/>
  <c r="G218" i="193"/>
  <c r="F218" i="193"/>
  <c r="N217" i="193"/>
  <c r="I217" i="193"/>
  <c r="H217" i="193"/>
  <c r="G217" i="193"/>
  <c r="F217" i="193"/>
  <c r="O216" i="193"/>
  <c r="J216" i="193" s="1"/>
  <c r="E216" i="193"/>
  <c r="O215" i="193"/>
  <c r="J215" i="193" s="1"/>
  <c r="E215" i="193"/>
  <c r="R214" i="193"/>
  <c r="O214" i="193"/>
  <c r="J214" i="193"/>
  <c r="H214" i="193"/>
  <c r="H213" i="193" s="1"/>
  <c r="F214" i="193"/>
  <c r="E214" i="193"/>
  <c r="N213" i="193"/>
  <c r="N212" i="193" s="1"/>
  <c r="M213" i="193"/>
  <c r="M212" i="193" s="1"/>
  <c r="M211" i="193" s="1"/>
  <c r="L213" i="193"/>
  <c r="L212" i="193" s="1"/>
  <c r="K213" i="193"/>
  <c r="I213" i="193"/>
  <c r="G213" i="193"/>
  <c r="F213" i="193"/>
  <c r="F212" i="193" s="1"/>
  <c r="F211" i="193" s="1"/>
  <c r="E213" i="193"/>
  <c r="I212" i="193"/>
  <c r="I211" i="193" s="1"/>
  <c r="N211" i="193"/>
  <c r="O209" i="193"/>
  <c r="L209" i="193"/>
  <c r="L208" i="193" s="1"/>
  <c r="L205" i="193" s="1"/>
  <c r="L204" i="193" s="1"/>
  <c r="J209" i="193"/>
  <c r="E209" i="193"/>
  <c r="P209" i="193" s="1"/>
  <c r="P208" i="193" s="1"/>
  <c r="O208" i="193"/>
  <c r="N208" i="193"/>
  <c r="M208" i="193"/>
  <c r="M205" i="193" s="1"/>
  <c r="M204" i="193" s="1"/>
  <c r="K208" i="193"/>
  <c r="J208" i="193"/>
  <c r="I208" i="193"/>
  <c r="H208" i="193"/>
  <c r="H205" i="193" s="1"/>
  <c r="H204" i="193" s="1"/>
  <c r="G208" i="193"/>
  <c r="F208" i="193"/>
  <c r="K207" i="193"/>
  <c r="R207" i="193" s="1"/>
  <c r="E207" i="193"/>
  <c r="K206" i="193"/>
  <c r="R206" i="193" s="1"/>
  <c r="F206" i="193"/>
  <c r="F205" i="193" s="1"/>
  <c r="F204" i="193" s="1"/>
  <c r="E206" i="193"/>
  <c r="N205" i="193"/>
  <c r="I205" i="193"/>
  <c r="I204" i="193" s="1"/>
  <c r="G205" i="193"/>
  <c r="N204" i="193"/>
  <c r="G204" i="193"/>
  <c r="O203" i="193"/>
  <c r="J203" i="193"/>
  <c r="E203" i="193"/>
  <c r="P203" i="193" s="1"/>
  <c r="O202" i="193"/>
  <c r="J202" i="193"/>
  <c r="F202" i="193"/>
  <c r="E202" i="193" s="1"/>
  <c r="K201" i="193"/>
  <c r="R201" i="193" s="1"/>
  <c r="E201" i="193"/>
  <c r="R200" i="193"/>
  <c r="K200" i="193"/>
  <c r="O200" i="193" s="1"/>
  <c r="J200" i="193" s="1"/>
  <c r="P200" i="193" s="1"/>
  <c r="E200" i="193"/>
  <c r="R199" i="193"/>
  <c r="O199" i="193"/>
  <c r="J199" i="193" s="1"/>
  <c r="K199" i="193"/>
  <c r="F199" i="193"/>
  <c r="E199" i="193" s="1"/>
  <c r="E198" i="193" s="1"/>
  <c r="N198" i="193"/>
  <c r="N197" i="193" s="1"/>
  <c r="M198" i="193"/>
  <c r="M197" i="193" s="1"/>
  <c r="L198" i="193"/>
  <c r="I198" i="193"/>
  <c r="H198" i="193"/>
  <c r="H197" i="193" s="1"/>
  <c r="G198" i="193"/>
  <c r="G197" i="193" s="1"/>
  <c r="G193" i="193" s="1"/>
  <c r="G192" i="193" s="1"/>
  <c r="F198" i="193"/>
  <c r="F197" i="193" s="1"/>
  <c r="L197" i="193"/>
  <c r="I197" i="193"/>
  <c r="O196" i="193"/>
  <c r="J196" i="193"/>
  <c r="P196" i="193" s="1"/>
  <c r="E196" i="193"/>
  <c r="O195" i="193"/>
  <c r="O194" i="193" s="1"/>
  <c r="K195" i="193"/>
  <c r="R195" i="193" s="1"/>
  <c r="J195" i="193"/>
  <c r="P195" i="193" s="1"/>
  <c r="P194" i="193" s="1"/>
  <c r="H195" i="193"/>
  <c r="H194" i="193" s="1"/>
  <c r="H193" i="193" s="1"/>
  <c r="H192" i="193" s="1"/>
  <c r="F195" i="193"/>
  <c r="F194" i="193" s="1"/>
  <c r="F193" i="193" s="1"/>
  <c r="F192" i="193" s="1"/>
  <c r="E195" i="193"/>
  <c r="E194" i="193" s="1"/>
  <c r="N194" i="193"/>
  <c r="N193" i="193" s="1"/>
  <c r="N192" i="193" s="1"/>
  <c r="M194" i="193"/>
  <c r="L194" i="193"/>
  <c r="L193" i="193" s="1"/>
  <c r="K194" i="193"/>
  <c r="J194" i="193"/>
  <c r="I194" i="193"/>
  <c r="I193" i="193" s="1"/>
  <c r="I192" i="193" s="1"/>
  <c r="G194" i="193"/>
  <c r="R191" i="193"/>
  <c r="K191" i="193"/>
  <c r="O191" i="193" s="1"/>
  <c r="E191" i="193"/>
  <c r="N190" i="193"/>
  <c r="N189" i="193" s="1"/>
  <c r="M190" i="193"/>
  <c r="M189" i="193" s="1"/>
  <c r="L190" i="193"/>
  <c r="K190" i="193"/>
  <c r="I190" i="193"/>
  <c r="H190" i="193"/>
  <c r="H189" i="193" s="1"/>
  <c r="G190" i="193"/>
  <c r="G189" i="193" s="1"/>
  <c r="F190" i="193"/>
  <c r="F189" i="193" s="1"/>
  <c r="E190" i="193"/>
  <c r="E189" i="193" s="1"/>
  <c r="L189" i="193"/>
  <c r="K189" i="193"/>
  <c r="I189" i="193"/>
  <c r="O188" i="193"/>
  <c r="O187" i="193" s="1"/>
  <c r="O186" i="193" s="1"/>
  <c r="J188" i="193"/>
  <c r="F188" i="193"/>
  <c r="E188" i="193" s="1"/>
  <c r="N187" i="193"/>
  <c r="M187" i="193"/>
  <c r="M186" i="193" s="1"/>
  <c r="L187" i="193"/>
  <c r="L186" i="193" s="1"/>
  <c r="K187" i="193"/>
  <c r="K186" i="193" s="1"/>
  <c r="J187" i="193"/>
  <c r="J186" i="193" s="1"/>
  <c r="I187" i="193"/>
  <c r="H187" i="193"/>
  <c r="G187" i="193"/>
  <c r="N186" i="193"/>
  <c r="I186" i="193"/>
  <c r="H186" i="193"/>
  <c r="G186" i="193"/>
  <c r="K185" i="193"/>
  <c r="R185" i="193" s="1"/>
  <c r="F185" i="193"/>
  <c r="F182" i="193" s="1"/>
  <c r="E185" i="193"/>
  <c r="O184" i="193"/>
  <c r="J184" i="193"/>
  <c r="F184" i="193"/>
  <c r="E184" i="193"/>
  <c r="P184" i="193" s="1"/>
  <c r="O183" i="193"/>
  <c r="J183" i="193"/>
  <c r="F183" i="193"/>
  <c r="E183" i="193"/>
  <c r="N182" i="193"/>
  <c r="M182" i="193"/>
  <c r="L182" i="193"/>
  <c r="K182" i="193"/>
  <c r="I182" i="193"/>
  <c r="H182" i="193"/>
  <c r="G182" i="193"/>
  <c r="R181" i="193"/>
  <c r="K181" i="193"/>
  <c r="O181" i="193" s="1"/>
  <c r="J181" i="193" s="1"/>
  <c r="P181" i="193" s="1"/>
  <c r="F181" i="193"/>
  <c r="E181" i="193"/>
  <c r="R180" i="193"/>
  <c r="O180" i="193"/>
  <c r="O179" i="193" s="1"/>
  <c r="N180" i="193"/>
  <c r="M180" i="193"/>
  <c r="L180" i="193"/>
  <c r="K180" i="193"/>
  <c r="H180" i="193"/>
  <c r="H179" i="193" s="1"/>
  <c r="H173" i="193" s="1"/>
  <c r="G180" i="193"/>
  <c r="G179" i="193" s="1"/>
  <c r="G173" i="193" s="1"/>
  <c r="F180" i="193"/>
  <c r="E180" i="193" s="1"/>
  <c r="N179" i="193"/>
  <c r="M179" i="193"/>
  <c r="L179" i="193"/>
  <c r="K179" i="193"/>
  <c r="I179" i="193"/>
  <c r="O178" i="193"/>
  <c r="O177" i="193" s="1"/>
  <c r="J178" i="193"/>
  <c r="J177" i="193" s="1"/>
  <c r="F178" i="193"/>
  <c r="E178" i="193"/>
  <c r="N177" i="193"/>
  <c r="M177" i="193"/>
  <c r="L177" i="193"/>
  <c r="K177" i="193"/>
  <c r="I177" i="193"/>
  <c r="H177" i="193"/>
  <c r="G177" i="193"/>
  <c r="F177" i="193"/>
  <c r="E177" i="193"/>
  <c r="O176" i="193"/>
  <c r="J176" i="193" s="1"/>
  <c r="F176" i="193"/>
  <c r="E176" i="193"/>
  <c r="O175" i="193"/>
  <c r="O174" i="193" s="1"/>
  <c r="J175" i="193"/>
  <c r="F175" i="193"/>
  <c r="F174" i="193" s="1"/>
  <c r="E175" i="193"/>
  <c r="P175" i="193" s="1"/>
  <c r="N174" i="193"/>
  <c r="M174" i="193"/>
  <c r="L174" i="193"/>
  <c r="L173" i="193" s="1"/>
  <c r="K174" i="193"/>
  <c r="K173" i="193" s="1"/>
  <c r="I174" i="193"/>
  <c r="I173" i="193" s="1"/>
  <c r="H174" i="193"/>
  <c r="G174" i="193"/>
  <c r="N173" i="193"/>
  <c r="M173" i="193"/>
  <c r="O172" i="193"/>
  <c r="J172" i="193"/>
  <c r="H172" i="193"/>
  <c r="F172" i="193"/>
  <c r="E172" i="193" s="1"/>
  <c r="P172" i="193" s="1"/>
  <c r="R171" i="193"/>
  <c r="O171" i="193"/>
  <c r="N171" i="193"/>
  <c r="L171" i="193"/>
  <c r="K171" i="193"/>
  <c r="J171" i="193"/>
  <c r="H171" i="193"/>
  <c r="H170" i="193" s="1"/>
  <c r="F171" i="193"/>
  <c r="F170" i="193" s="1"/>
  <c r="E171" i="193"/>
  <c r="E170" i="193" s="1"/>
  <c r="O170" i="193"/>
  <c r="N170" i="193"/>
  <c r="M170" i="193"/>
  <c r="L170" i="193"/>
  <c r="K170" i="193"/>
  <c r="J170" i="193"/>
  <c r="I170" i="193"/>
  <c r="I167" i="193" s="1"/>
  <c r="I166" i="193" s="1"/>
  <c r="I165" i="193" s="1"/>
  <c r="G170" i="193"/>
  <c r="O169" i="193"/>
  <c r="O168" i="193" s="1"/>
  <c r="O167" i="193" s="1"/>
  <c r="J169" i="193"/>
  <c r="J168" i="193" s="1"/>
  <c r="J167" i="193" s="1"/>
  <c r="H169" i="193"/>
  <c r="H168" i="193" s="1"/>
  <c r="H167" i="193" s="1"/>
  <c r="H166" i="193" s="1"/>
  <c r="H165" i="193" s="1"/>
  <c r="F169" i="193"/>
  <c r="E169" i="193"/>
  <c r="N168" i="193"/>
  <c r="N167" i="193" s="1"/>
  <c r="N166" i="193" s="1"/>
  <c r="N165" i="193" s="1"/>
  <c r="M168" i="193"/>
  <c r="M167" i="193" s="1"/>
  <c r="M166" i="193" s="1"/>
  <c r="M165" i="193" s="1"/>
  <c r="L168" i="193"/>
  <c r="L167" i="193" s="1"/>
  <c r="L166" i="193" s="1"/>
  <c r="K168" i="193"/>
  <c r="K167" i="193" s="1"/>
  <c r="K166" i="193" s="1"/>
  <c r="I168" i="193"/>
  <c r="G168" i="193"/>
  <c r="F168" i="193"/>
  <c r="F167" i="193" s="1"/>
  <c r="E168" i="193"/>
  <c r="G167" i="193"/>
  <c r="G166" i="193" s="1"/>
  <c r="G165" i="193" s="1"/>
  <c r="O164" i="193"/>
  <c r="O163" i="193" s="1"/>
  <c r="O162" i="193" s="1"/>
  <c r="J164" i="193"/>
  <c r="E164" i="193"/>
  <c r="E163" i="193" s="1"/>
  <c r="E162" i="193" s="1"/>
  <c r="N163" i="193"/>
  <c r="M163" i="193"/>
  <c r="L163" i="193"/>
  <c r="L162" i="193" s="1"/>
  <c r="K163" i="193"/>
  <c r="K162" i="193" s="1"/>
  <c r="J163" i="193"/>
  <c r="J162" i="193" s="1"/>
  <c r="I163" i="193"/>
  <c r="I162" i="193" s="1"/>
  <c r="H163" i="193"/>
  <c r="G163" i="193"/>
  <c r="F163" i="193"/>
  <c r="N162" i="193"/>
  <c r="M162" i="193"/>
  <c r="H162" i="193"/>
  <c r="G162" i="193"/>
  <c r="F162" i="193"/>
  <c r="O161" i="193"/>
  <c r="K161" i="193"/>
  <c r="R161" i="193" s="1"/>
  <c r="J161" i="193"/>
  <c r="E161" i="193"/>
  <c r="P161" i="193" s="1"/>
  <c r="O160" i="193"/>
  <c r="J160" i="193" s="1"/>
  <c r="E160" i="193"/>
  <c r="N159" i="193"/>
  <c r="N158" i="193" s="1"/>
  <c r="N157" i="193" s="1"/>
  <c r="M159" i="193"/>
  <c r="M158" i="193" s="1"/>
  <c r="M157" i="193" s="1"/>
  <c r="L159" i="193"/>
  <c r="L158" i="193" s="1"/>
  <c r="L157" i="193" s="1"/>
  <c r="K159" i="193"/>
  <c r="K158" i="193" s="1"/>
  <c r="K157" i="193" s="1"/>
  <c r="I159" i="193"/>
  <c r="H159" i="193"/>
  <c r="G159" i="193"/>
  <c r="F159" i="193"/>
  <c r="F158" i="193" s="1"/>
  <c r="F157" i="193" s="1"/>
  <c r="E159" i="193"/>
  <c r="E158" i="193" s="1"/>
  <c r="E157" i="193" s="1"/>
  <c r="I158" i="193"/>
  <c r="I157" i="193" s="1"/>
  <c r="H158" i="193"/>
  <c r="H157" i="193" s="1"/>
  <c r="G158" i="193"/>
  <c r="G157" i="193" s="1"/>
  <c r="O156" i="193"/>
  <c r="J156" i="193" s="1"/>
  <c r="P156" i="193" s="1"/>
  <c r="F156" i="193"/>
  <c r="E156" i="193"/>
  <c r="R155" i="193"/>
  <c r="O155" i="193"/>
  <c r="L155" i="193"/>
  <c r="J155" i="193"/>
  <c r="J154" i="193" s="1"/>
  <c r="H155" i="193"/>
  <c r="F155" i="193"/>
  <c r="E155" i="193"/>
  <c r="N154" i="193"/>
  <c r="M154" i="193"/>
  <c r="L154" i="193"/>
  <c r="K154" i="193"/>
  <c r="I154" i="193"/>
  <c r="H154" i="193"/>
  <c r="G154" i="193"/>
  <c r="F154" i="193"/>
  <c r="E154" i="193"/>
  <c r="R153" i="193"/>
  <c r="N153" i="193"/>
  <c r="L153" i="193"/>
  <c r="K153" i="193"/>
  <c r="O153" i="193" s="1"/>
  <c r="J153" i="193" s="1"/>
  <c r="H153" i="193"/>
  <c r="G153" i="193"/>
  <c r="G149" i="193" s="1"/>
  <c r="F153" i="193"/>
  <c r="E153" i="193"/>
  <c r="N152" i="193"/>
  <c r="L152" i="193"/>
  <c r="K152" i="193"/>
  <c r="H152" i="193"/>
  <c r="H149" i="193" s="1"/>
  <c r="F152" i="193"/>
  <c r="E152" i="193" s="1"/>
  <c r="R151" i="193"/>
  <c r="O151" i="193"/>
  <c r="J151" i="193" s="1"/>
  <c r="N151" i="193"/>
  <c r="N149" i="193" s="1"/>
  <c r="L151" i="193"/>
  <c r="K151" i="193"/>
  <c r="K149" i="193" s="1"/>
  <c r="H151" i="193"/>
  <c r="F151" i="193"/>
  <c r="E151" i="193" s="1"/>
  <c r="P151" i="193" s="1"/>
  <c r="O150" i="193"/>
  <c r="J150" i="193" s="1"/>
  <c r="P150" i="193" s="1"/>
  <c r="F150" i="193"/>
  <c r="E150" i="193"/>
  <c r="M149" i="193"/>
  <c r="L149" i="193"/>
  <c r="I149" i="193"/>
  <c r="R148" i="193"/>
  <c r="N148" i="193"/>
  <c r="L148" i="193"/>
  <c r="K148" i="193"/>
  <c r="O148" i="193" s="1"/>
  <c r="H148" i="193"/>
  <c r="H147" i="193" s="1"/>
  <c r="G148" i="193"/>
  <c r="G147" i="193" s="1"/>
  <c r="F148" i="193"/>
  <c r="E148" i="193"/>
  <c r="N147" i="193"/>
  <c r="N146" i="193" s="1"/>
  <c r="N145" i="193" s="1"/>
  <c r="M147" i="193"/>
  <c r="M146" i="193" s="1"/>
  <c r="M145" i="193" s="1"/>
  <c r="L147" i="193"/>
  <c r="K147" i="193"/>
  <c r="I147" i="193"/>
  <c r="F147" i="193"/>
  <c r="E147" i="193"/>
  <c r="L146" i="193"/>
  <c r="L145" i="193" s="1"/>
  <c r="I146" i="193"/>
  <c r="I145" i="193" s="1"/>
  <c r="O143" i="193"/>
  <c r="J143" i="193"/>
  <c r="E143" i="193"/>
  <c r="P143" i="193" s="1"/>
  <c r="P142" i="193" s="1"/>
  <c r="P141" i="193" s="1"/>
  <c r="O142" i="193"/>
  <c r="O141" i="193" s="1"/>
  <c r="N142" i="193"/>
  <c r="N141" i="193" s="1"/>
  <c r="N137" i="193" s="1"/>
  <c r="M142" i="193"/>
  <c r="M141" i="193" s="1"/>
  <c r="M137" i="193" s="1"/>
  <c r="L142" i="193"/>
  <c r="K142" i="193"/>
  <c r="J142" i="193"/>
  <c r="I142" i="193"/>
  <c r="H142" i="193"/>
  <c r="H141" i="193" s="1"/>
  <c r="G142" i="193"/>
  <c r="G141" i="193" s="1"/>
  <c r="F142" i="193"/>
  <c r="F141" i="193" s="1"/>
  <c r="E142" i="193"/>
  <c r="E141" i="193" s="1"/>
  <c r="E140" i="193" s="1"/>
  <c r="L141" i="193"/>
  <c r="K141" i="193"/>
  <c r="J141" i="193"/>
  <c r="I141" i="193"/>
  <c r="O140" i="193"/>
  <c r="K140" i="193"/>
  <c r="K139" i="193" s="1"/>
  <c r="K138" i="193" s="1"/>
  <c r="K137" i="193" s="1"/>
  <c r="N139" i="193"/>
  <c r="N138" i="193" s="1"/>
  <c r="M139" i="193"/>
  <c r="M138" i="193" s="1"/>
  <c r="L139" i="193"/>
  <c r="L138" i="193" s="1"/>
  <c r="I139" i="193"/>
  <c r="H139" i="193"/>
  <c r="H138" i="193" s="1"/>
  <c r="H137" i="193" s="1"/>
  <c r="G139" i="193"/>
  <c r="F139" i="193"/>
  <c r="F138" i="193" s="1"/>
  <c r="F137" i="193" s="1"/>
  <c r="E139" i="193"/>
  <c r="E138" i="193" s="1"/>
  <c r="E137" i="193" s="1"/>
  <c r="I138" i="193"/>
  <c r="G138" i="193"/>
  <c r="R136" i="193"/>
  <c r="P136" i="193"/>
  <c r="P135" i="193" s="1"/>
  <c r="O136" i="193"/>
  <c r="J136" i="193"/>
  <c r="E136" i="193"/>
  <c r="O135" i="193"/>
  <c r="O134" i="193" s="1"/>
  <c r="N135" i="193"/>
  <c r="N134" i="193" s="1"/>
  <c r="M135" i="193"/>
  <c r="M134" i="193" s="1"/>
  <c r="L135" i="193"/>
  <c r="L134" i="193" s="1"/>
  <c r="K135" i="193"/>
  <c r="J135" i="193"/>
  <c r="I135" i="193"/>
  <c r="I134" i="193" s="1"/>
  <c r="H135" i="193"/>
  <c r="G135" i="193"/>
  <c r="G134" i="193" s="1"/>
  <c r="F135" i="193"/>
  <c r="F134" i="193" s="1"/>
  <c r="E135" i="193"/>
  <c r="E134" i="193" s="1"/>
  <c r="P134" i="193"/>
  <c r="K134" i="193"/>
  <c r="J134" i="193"/>
  <c r="H134" i="193"/>
  <c r="R133" i="193"/>
  <c r="O133" i="193"/>
  <c r="J133" i="193" s="1"/>
  <c r="P133" i="193" s="1"/>
  <c r="F133" i="193"/>
  <c r="E133" i="193" s="1"/>
  <c r="N132" i="193"/>
  <c r="N131" i="193" s="1"/>
  <c r="L132" i="193"/>
  <c r="L131" i="193" s="1"/>
  <c r="K132" i="193"/>
  <c r="H132" i="193"/>
  <c r="G132" i="193"/>
  <c r="F132" i="193"/>
  <c r="E132" i="193" s="1"/>
  <c r="M131" i="193"/>
  <c r="I131" i="193"/>
  <c r="H131" i="193"/>
  <c r="G131" i="193"/>
  <c r="E131" i="193"/>
  <c r="O130" i="193"/>
  <c r="J130" i="193"/>
  <c r="E130" i="193"/>
  <c r="P130" i="193" s="1"/>
  <c r="P129" i="193" s="1"/>
  <c r="O129" i="193"/>
  <c r="N129" i="193"/>
  <c r="M129" i="193"/>
  <c r="L129" i="193"/>
  <c r="K129" i="193"/>
  <c r="J129" i="193"/>
  <c r="I129" i="193"/>
  <c r="H129" i="193"/>
  <c r="G129" i="193"/>
  <c r="F129" i="193"/>
  <c r="O128" i="193"/>
  <c r="J128" i="193"/>
  <c r="F128" i="193"/>
  <c r="F127" i="193" s="1"/>
  <c r="E128" i="193"/>
  <c r="O127" i="193"/>
  <c r="N127" i="193"/>
  <c r="M127" i="193"/>
  <c r="L127" i="193"/>
  <c r="K127" i="193"/>
  <c r="J127" i="193"/>
  <c r="I127" i="193"/>
  <c r="H127" i="193"/>
  <c r="G127" i="193"/>
  <c r="O126" i="193"/>
  <c r="J126" i="193" s="1"/>
  <c r="E126" i="193"/>
  <c r="O125" i="193"/>
  <c r="J125" i="193" s="1"/>
  <c r="P125" i="193" s="1"/>
  <c r="E125" i="193"/>
  <c r="N124" i="193"/>
  <c r="M124" i="193"/>
  <c r="L124" i="193"/>
  <c r="K124" i="193"/>
  <c r="O124" i="193" s="1"/>
  <c r="I124" i="193"/>
  <c r="H124" i="193"/>
  <c r="G124" i="193"/>
  <c r="F124" i="193"/>
  <c r="E124" i="193"/>
  <c r="O123" i="193"/>
  <c r="J123" i="193" s="1"/>
  <c r="F123" i="193"/>
  <c r="E123" i="193" s="1"/>
  <c r="K122" i="193"/>
  <c r="R122" i="193" s="1"/>
  <c r="E122" i="193"/>
  <c r="N121" i="193"/>
  <c r="M121" i="193"/>
  <c r="L121" i="193"/>
  <c r="K121" i="193"/>
  <c r="I121" i="193"/>
  <c r="H121" i="193"/>
  <c r="G121" i="193"/>
  <c r="F121" i="193"/>
  <c r="E121" i="193"/>
  <c r="R120" i="193"/>
  <c r="O120" i="193"/>
  <c r="J120" i="193" s="1"/>
  <c r="H120" i="193"/>
  <c r="G120" i="193"/>
  <c r="F120" i="193"/>
  <c r="E120" i="193" s="1"/>
  <c r="P120" i="193" s="1"/>
  <c r="R119" i="193"/>
  <c r="O119" i="193"/>
  <c r="O118" i="193" s="1"/>
  <c r="N119" i="193"/>
  <c r="N118" i="193" s="1"/>
  <c r="N108" i="193" s="1"/>
  <c r="N103" i="193" s="1"/>
  <c r="N102" i="193" s="1"/>
  <c r="L119" i="193"/>
  <c r="K119" i="193"/>
  <c r="H119" i="193"/>
  <c r="F119" i="193"/>
  <c r="F118" i="193" s="1"/>
  <c r="M118" i="193"/>
  <c r="L118" i="193"/>
  <c r="K118" i="193"/>
  <c r="I118" i="193"/>
  <c r="H118" i="193"/>
  <c r="G118" i="193"/>
  <c r="O117" i="193"/>
  <c r="J117" i="193"/>
  <c r="E117" i="193"/>
  <c r="P117" i="193" s="1"/>
  <c r="O116" i="193"/>
  <c r="J116" i="193" s="1"/>
  <c r="P116" i="193" s="1"/>
  <c r="E116" i="193"/>
  <c r="O115" i="193"/>
  <c r="J115" i="193"/>
  <c r="E115" i="193"/>
  <c r="P115" i="193" s="1"/>
  <c r="O114" i="193"/>
  <c r="J114" i="193" s="1"/>
  <c r="P114" i="193" s="1"/>
  <c r="F114" i="193"/>
  <c r="E114" i="193"/>
  <c r="O113" i="193"/>
  <c r="J113" i="193" s="1"/>
  <c r="E113" i="193"/>
  <c r="O112" i="193"/>
  <c r="J112" i="193" s="1"/>
  <c r="F112" i="193"/>
  <c r="E112" i="193" s="1"/>
  <c r="O111" i="193"/>
  <c r="J111" i="193" s="1"/>
  <c r="P111" i="193" s="1"/>
  <c r="E111" i="193"/>
  <c r="R110" i="193"/>
  <c r="O110" i="193"/>
  <c r="O109" i="193" s="1"/>
  <c r="F110" i="193"/>
  <c r="F109" i="193" s="1"/>
  <c r="N109" i="193"/>
  <c r="M109" i="193"/>
  <c r="L109" i="193"/>
  <c r="K109" i="193"/>
  <c r="I109" i="193"/>
  <c r="I108" i="193" s="1"/>
  <c r="H109" i="193"/>
  <c r="H108" i="193" s="1"/>
  <c r="G109" i="193"/>
  <c r="M108" i="193"/>
  <c r="M103" i="193" s="1"/>
  <c r="M102" i="193" s="1"/>
  <c r="L108" i="193"/>
  <c r="G108" i="193"/>
  <c r="P107" i="193"/>
  <c r="J107" i="193"/>
  <c r="E107" i="193"/>
  <c r="O106" i="193"/>
  <c r="J106" i="193"/>
  <c r="E106" i="193"/>
  <c r="P106" i="193" s="1"/>
  <c r="R105" i="193"/>
  <c r="O105" i="193"/>
  <c r="J105" i="193" s="1"/>
  <c r="K105" i="193"/>
  <c r="H105" i="193"/>
  <c r="F105" i="193"/>
  <c r="F104" i="193" s="1"/>
  <c r="E105" i="193"/>
  <c r="E104" i="193" s="1"/>
  <c r="O104" i="193"/>
  <c r="N104" i="193"/>
  <c r="M104" i="193"/>
  <c r="L104" i="193"/>
  <c r="K104" i="193"/>
  <c r="I104" i="193"/>
  <c r="H104" i="193"/>
  <c r="G104" i="193"/>
  <c r="O101" i="193"/>
  <c r="J101" i="193" s="1"/>
  <c r="P101" i="193" s="1"/>
  <c r="E101" i="193"/>
  <c r="K100" i="193"/>
  <c r="R100" i="193" s="1"/>
  <c r="E100" i="193"/>
  <c r="N99" i="193"/>
  <c r="M99" i="193"/>
  <c r="L99" i="193"/>
  <c r="K99" i="193"/>
  <c r="K98" i="193" s="1"/>
  <c r="K82" i="193" s="1"/>
  <c r="I99" i="193"/>
  <c r="I98" i="193" s="1"/>
  <c r="H99" i="193"/>
  <c r="H98" i="193" s="1"/>
  <c r="G99" i="193"/>
  <c r="F99" i="193"/>
  <c r="N98" i="193"/>
  <c r="M98" i="193"/>
  <c r="L98" i="193"/>
  <c r="G98" i="193"/>
  <c r="F98" i="193"/>
  <c r="O97" i="193"/>
  <c r="J97" i="193" s="1"/>
  <c r="P97" i="193" s="1"/>
  <c r="F97" i="193"/>
  <c r="E97" i="193"/>
  <c r="O96" i="193"/>
  <c r="J96" i="193"/>
  <c r="H96" i="193"/>
  <c r="H95" i="193" s="1"/>
  <c r="G96" i="193"/>
  <c r="F96" i="193"/>
  <c r="E96" i="193" s="1"/>
  <c r="O95" i="193"/>
  <c r="N95" i="193"/>
  <c r="M95" i="193"/>
  <c r="L95" i="193"/>
  <c r="K95" i="193"/>
  <c r="I95" i="193"/>
  <c r="G95" i="193"/>
  <c r="F95" i="193"/>
  <c r="O94" i="193"/>
  <c r="J94" i="193" s="1"/>
  <c r="F94" i="193"/>
  <c r="E94" i="193"/>
  <c r="O93" i="193"/>
  <c r="N93" i="193"/>
  <c r="M93" i="193"/>
  <c r="M85" i="193" s="1"/>
  <c r="M82" i="193" s="1"/>
  <c r="M81" i="193" s="1"/>
  <c r="L93" i="193"/>
  <c r="K93" i="193"/>
  <c r="I93" i="193"/>
  <c r="H93" i="193"/>
  <c r="G93" i="193"/>
  <c r="F93" i="193"/>
  <c r="E93" i="193"/>
  <c r="O92" i="193"/>
  <c r="J92" i="193" s="1"/>
  <c r="J91" i="193" s="1"/>
  <c r="F92" i="193"/>
  <c r="E92" i="193"/>
  <c r="P92" i="193" s="1"/>
  <c r="P91" i="193" s="1"/>
  <c r="O91" i="193"/>
  <c r="O85" i="193" s="1"/>
  <c r="N91" i="193"/>
  <c r="N85" i="193" s="1"/>
  <c r="M91" i="193"/>
  <c r="L91" i="193"/>
  <c r="K91" i="193"/>
  <c r="I91" i="193"/>
  <c r="H91" i="193"/>
  <c r="H85" i="193" s="1"/>
  <c r="G91" i="193"/>
  <c r="G85" i="193" s="1"/>
  <c r="F91" i="193"/>
  <c r="F85" i="193" s="1"/>
  <c r="O90" i="193"/>
  <c r="J90" i="193"/>
  <c r="E90" i="193"/>
  <c r="P90" i="193" s="1"/>
  <c r="O89" i="193"/>
  <c r="J89" i="193" s="1"/>
  <c r="F89" i="193"/>
  <c r="E89" i="193" s="1"/>
  <c r="P89" i="193" s="1"/>
  <c r="O88" i="193"/>
  <c r="J88" i="193"/>
  <c r="F88" i="193"/>
  <c r="E88" i="193"/>
  <c r="P88" i="193" s="1"/>
  <c r="J87" i="193"/>
  <c r="F87" i="193"/>
  <c r="E87" i="193" s="1"/>
  <c r="P87" i="193" s="1"/>
  <c r="O86" i="193"/>
  <c r="J86" i="193" s="1"/>
  <c r="F86" i="193"/>
  <c r="E86" i="193" s="1"/>
  <c r="P86" i="193" s="1"/>
  <c r="L85" i="193"/>
  <c r="K85" i="193"/>
  <c r="I85" i="193"/>
  <c r="I82" i="193" s="1"/>
  <c r="I81" i="193" s="1"/>
  <c r="O84" i="193"/>
  <c r="J84" i="193"/>
  <c r="J83" i="193" s="1"/>
  <c r="H84" i="193"/>
  <c r="H83" i="193" s="1"/>
  <c r="G84" i="193"/>
  <c r="F84" i="193"/>
  <c r="E84" i="193" s="1"/>
  <c r="O83" i="193"/>
  <c r="N83" i="193"/>
  <c r="M83" i="193"/>
  <c r="L83" i="193"/>
  <c r="L82" i="193" s="1"/>
  <c r="K83" i="193"/>
  <c r="I83" i="193"/>
  <c r="G83" i="193"/>
  <c r="F83" i="193"/>
  <c r="R80" i="193"/>
  <c r="O80" i="193"/>
  <c r="J80" i="193"/>
  <c r="E80" i="193"/>
  <c r="E79" i="193" s="1"/>
  <c r="E78" i="193" s="1"/>
  <c r="O79" i="193"/>
  <c r="O78" i="193" s="1"/>
  <c r="N79" i="193"/>
  <c r="M79" i="193"/>
  <c r="L79" i="193"/>
  <c r="K79" i="193"/>
  <c r="J79" i="193"/>
  <c r="J78" i="193" s="1"/>
  <c r="I79" i="193"/>
  <c r="I78" i="193" s="1"/>
  <c r="H79" i="193"/>
  <c r="H78" i="193" s="1"/>
  <c r="G79" i="193"/>
  <c r="G78" i="193" s="1"/>
  <c r="F79" i="193"/>
  <c r="N78" i="193"/>
  <c r="M78" i="193"/>
  <c r="L78" i="193"/>
  <c r="K78" i="193"/>
  <c r="F78" i="193"/>
  <c r="R77" i="193"/>
  <c r="O77" i="193"/>
  <c r="J77" i="193" s="1"/>
  <c r="P77" i="193" s="1"/>
  <c r="K77" i="193"/>
  <c r="E77" i="193"/>
  <c r="O76" i="193"/>
  <c r="N76" i="193"/>
  <c r="M76" i="193"/>
  <c r="L76" i="193"/>
  <c r="J76" i="193" s="1"/>
  <c r="K76" i="193"/>
  <c r="I76" i="193"/>
  <c r="H76" i="193"/>
  <c r="G76" i="193"/>
  <c r="F76" i="193"/>
  <c r="E76" i="193"/>
  <c r="O75" i="193"/>
  <c r="J75" i="193" s="1"/>
  <c r="J74" i="193" s="1"/>
  <c r="F75" i="193"/>
  <c r="E75" i="193"/>
  <c r="P75" i="193" s="1"/>
  <c r="P74" i="193" s="1"/>
  <c r="O74" i="193"/>
  <c r="N74" i="193"/>
  <c r="M74" i="193"/>
  <c r="L74" i="193"/>
  <c r="K74" i="193"/>
  <c r="I74" i="193"/>
  <c r="H74" i="193"/>
  <c r="G74" i="193"/>
  <c r="F74" i="193"/>
  <c r="R73" i="193"/>
  <c r="O73" i="193"/>
  <c r="J73" i="193"/>
  <c r="F73" i="193"/>
  <c r="E73" i="193"/>
  <c r="P73" i="193" s="1"/>
  <c r="R72" i="193"/>
  <c r="O72" i="193"/>
  <c r="J72" i="193" s="1"/>
  <c r="G72" i="193"/>
  <c r="F72" i="193"/>
  <c r="E72" i="193" s="1"/>
  <c r="R70" i="193"/>
  <c r="O70" i="193"/>
  <c r="J70" i="193" s="1"/>
  <c r="P70" i="193" s="1"/>
  <c r="K70" i="193"/>
  <c r="E70" i="193"/>
  <c r="K69" i="193"/>
  <c r="R69" i="193" s="1"/>
  <c r="E69" i="193"/>
  <c r="N68" i="193"/>
  <c r="M68" i="193"/>
  <c r="L68" i="193"/>
  <c r="K68" i="193"/>
  <c r="I68" i="193"/>
  <c r="H68" i="193"/>
  <c r="G68" i="193"/>
  <c r="F68" i="193"/>
  <c r="E68" i="193"/>
  <c r="R67" i="193"/>
  <c r="O67" i="193"/>
  <c r="J67" i="193" s="1"/>
  <c r="P67" i="193" s="1"/>
  <c r="E67" i="193"/>
  <c r="K66" i="193"/>
  <c r="R66" i="193" s="1"/>
  <c r="F66" i="193"/>
  <c r="E66" i="193" s="1"/>
  <c r="N65" i="193"/>
  <c r="M65" i="193"/>
  <c r="L65" i="193"/>
  <c r="K65" i="193"/>
  <c r="I65" i="193"/>
  <c r="H65" i="193"/>
  <c r="G65" i="193"/>
  <c r="F65" i="193"/>
  <c r="E65" i="193" s="1"/>
  <c r="R64" i="193"/>
  <c r="O64" i="193"/>
  <c r="J64" i="193" s="1"/>
  <c r="H64" i="193"/>
  <c r="G64" i="193"/>
  <c r="F64" i="193"/>
  <c r="E64" i="193" s="1"/>
  <c r="O63" i="193"/>
  <c r="J63" i="193" s="1"/>
  <c r="P63" i="193" s="1"/>
  <c r="G63" i="193"/>
  <c r="F63" i="193"/>
  <c r="E63" i="193"/>
  <c r="R62" i="193"/>
  <c r="O62" i="193"/>
  <c r="O61" i="193" s="1"/>
  <c r="J62" i="193"/>
  <c r="H62" i="193"/>
  <c r="G62" i="193"/>
  <c r="F62" i="193"/>
  <c r="E62" i="193"/>
  <c r="N61" i="193"/>
  <c r="M61" i="193"/>
  <c r="L61" i="193"/>
  <c r="K61" i="193"/>
  <c r="I61" i="193"/>
  <c r="H61" i="193"/>
  <c r="G61" i="193"/>
  <c r="F61" i="193"/>
  <c r="E61" i="193"/>
  <c r="O60" i="193"/>
  <c r="J60" i="193" s="1"/>
  <c r="F60" i="193"/>
  <c r="E60" i="193"/>
  <c r="O59" i="193"/>
  <c r="N59" i="193"/>
  <c r="N58" i="193" s="1"/>
  <c r="L59" i="193"/>
  <c r="J59" i="193" s="1"/>
  <c r="H59" i="193"/>
  <c r="G59" i="193"/>
  <c r="F59" i="193"/>
  <c r="F58" i="193" s="1"/>
  <c r="O58" i="193"/>
  <c r="M58" i="193"/>
  <c r="K58" i="193"/>
  <c r="I58" i="193"/>
  <c r="H58" i="193"/>
  <c r="G58" i="193"/>
  <c r="J57" i="193"/>
  <c r="E57" i="193"/>
  <c r="P57" i="193" s="1"/>
  <c r="R56" i="193"/>
  <c r="O56" i="193"/>
  <c r="O55" i="193" s="1"/>
  <c r="N56" i="193"/>
  <c r="M56" i="193"/>
  <c r="L56" i="193"/>
  <c r="K56" i="193"/>
  <c r="J56" i="193"/>
  <c r="H56" i="193"/>
  <c r="H55" i="193" s="1"/>
  <c r="H43" i="193" s="1"/>
  <c r="H42" i="193" s="1"/>
  <c r="H41" i="193" s="1"/>
  <c r="G56" i="193"/>
  <c r="G55" i="193" s="1"/>
  <c r="F56" i="193"/>
  <c r="E56" i="193" s="1"/>
  <c r="N55" i="193"/>
  <c r="M55" i="193"/>
  <c r="L55" i="193"/>
  <c r="K55" i="193"/>
  <c r="J55" i="193"/>
  <c r="I55" i="193"/>
  <c r="R54" i="193"/>
  <c r="O54" i="193"/>
  <c r="J54" i="193" s="1"/>
  <c r="N54" i="193"/>
  <c r="L54" i="193"/>
  <c r="K54" i="193"/>
  <c r="H54" i="193"/>
  <c r="G54" i="193"/>
  <c r="F54" i="193"/>
  <c r="E54" i="193"/>
  <c r="P54" i="193" s="1"/>
  <c r="K53" i="193"/>
  <c r="R53" i="193" s="1"/>
  <c r="E53" i="193"/>
  <c r="N51" i="193"/>
  <c r="M51" i="193"/>
  <c r="L51" i="193"/>
  <c r="K51" i="193"/>
  <c r="I51" i="193"/>
  <c r="H51" i="193"/>
  <c r="G51" i="193"/>
  <c r="F51" i="193"/>
  <c r="O50" i="193"/>
  <c r="J50" i="193"/>
  <c r="E50" i="193"/>
  <c r="E49" i="193" s="1"/>
  <c r="O49" i="193"/>
  <c r="N49" i="193"/>
  <c r="M49" i="193"/>
  <c r="L49" i="193"/>
  <c r="K49" i="193"/>
  <c r="J49" i="193"/>
  <c r="I49" i="193"/>
  <c r="H49" i="193"/>
  <c r="G49" i="193"/>
  <c r="F49" i="193"/>
  <c r="O48" i="193"/>
  <c r="J48" i="193"/>
  <c r="H48" i="193"/>
  <c r="F48" i="193"/>
  <c r="E48" i="193"/>
  <c r="P48" i="193" s="1"/>
  <c r="N47" i="193"/>
  <c r="L47" i="193"/>
  <c r="L45" i="193" s="1"/>
  <c r="K47" i="193"/>
  <c r="R47" i="193" s="1"/>
  <c r="H47" i="193"/>
  <c r="G47" i="193"/>
  <c r="F47" i="193"/>
  <c r="E47" i="193" s="1"/>
  <c r="O46" i="193"/>
  <c r="N46" i="193"/>
  <c r="N45" i="193" s="1"/>
  <c r="M46" i="193"/>
  <c r="M45" i="193" s="1"/>
  <c r="L46" i="193"/>
  <c r="J46" i="193" s="1"/>
  <c r="K46" i="193"/>
  <c r="R46" i="193" s="1"/>
  <c r="H46" i="193"/>
  <c r="G46" i="193"/>
  <c r="G45" i="193" s="1"/>
  <c r="F46" i="193"/>
  <c r="F45" i="193" s="1"/>
  <c r="E46" i="193"/>
  <c r="E45" i="193" s="1"/>
  <c r="K45" i="193"/>
  <c r="I45" i="193"/>
  <c r="H45" i="193"/>
  <c r="O44" i="193"/>
  <c r="N44" i="193"/>
  <c r="M44" i="193"/>
  <c r="L44" i="193"/>
  <c r="J44" i="193" s="1"/>
  <c r="K44" i="193"/>
  <c r="R44" i="193" s="1"/>
  <c r="H44" i="193"/>
  <c r="G44" i="193"/>
  <c r="G43" i="193" s="1"/>
  <c r="F44" i="193"/>
  <c r="E44" i="193"/>
  <c r="K43" i="193"/>
  <c r="K42" i="193" s="1"/>
  <c r="R42" i="193" s="1"/>
  <c r="I43" i="193"/>
  <c r="I42" i="193"/>
  <c r="I41" i="193" s="1"/>
  <c r="G42" i="193"/>
  <c r="G41" i="193" s="1"/>
  <c r="R40" i="193"/>
  <c r="O40" i="193"/>
  <c r="J40" i="193" s="1"/>
  <c r="P40" i="193" s="1"/>
  <c r="K40" i="193"/>
  <c r="F40" i="193"/>
  <c r="E40" i="193"/>
  <c r="O39" i="193"/>
  <c r="O37" i="193" s="1"/>
  <c r="O36" i="193" s="1"/>
  <c r="E39" i="193"/>
  <c r="O38" i="193"/>
  <c r="J38" i="193" s="1"/>
  <c r="E38" i="193"/>
  <c r="P38" i="193" s="1"/>
  <c r="N37" i="193"/>
  <c r="N36" i="193" s="1"/>
  <c r="M37" i="193"/>
  <c r="M36" i="193" s="1"/>
  <c r="L37" i="193"/>
  <c r="K37" i="193"/>
  <c r="I37" i="193"/>
  <c r="H37" i="193"/>
  <c r="H36" i="193" s="1"/>
  <c r="G37" i="193"/>
  <c r="G36" i="193" s="1"/>
  <c r="F37" i="193"/>
  <c r="F36" i="193" s="1"/>
  <c r="L36" i="193"/>
  <c r="K36" i="193"/>
  <c r="I36" i="193"/>
  <c r="O35" i="193"/>
  <c r="O34" i="193" s="1"/>
  <c r="E35" i="193"/>
  <c r="E34" i="193" s="1"/>
  <c r="N34" i="193"/>
  <c r="M34" i="193"/>
  <c r="L34" i="193"/>
  <c r="L33" i="193" s="1"/>
  <c r="K34" i="193"/>
  <c r="K33" i="193" s="1"/>
  <c r="I34" i="193"/>
  <c r="I33" i="193" s="1"/>
  <c r="H34" i="193"/>
  <c r="G34" i="193"/>
  <c r="F34" i="193"/>
  <c r="O33" i="193"/>
  <c r="N33" i="193"/>
  <c r="M33" i="193"/>
  <c r="M17" i="193" s="1"/>
  <c r="H33" i="193"/>
  <c r="G33" i="193"/>
  <c r="F33" i="193"/>
  <c r="E33" i="193"/>
  <c r="P32" i="193"/>
  <c r="J32" i="193"/>
  <c r="E32" i="193"/>
  <c r="O30" i="193"/>
  <c r="O29" i="193" s="1"/>
  <c r="O27" i="193" s="1"/>
  <c r="L30" i="193"/>
  <c r="J30" i="193" s="1"/>
  <c r="J29" i="193" s="1"/>
  <c r="J27" i="193" s="1"/>
  <c r="E30" i="193"/>
  <c r="N29" i="193"/>
  <c r="M29" i="193"/>
  <c r="K29" i="193"/>
  <c r="K27" i="193" s="1"/>
  <c r="K23" i="193" s="1"/>
  <c r="I29" i="193"/>
  <c r="I27" i="193" s="1"/>
  <c r="I23" i="193" s="1"/>
  <c r="I17" i="193" s="1"/>
  <c r="H29" i="193"/>
  <c r="G29" i="193"/>
  <c r="F29" i="193"/>
  <c r="O28" i="193"/>
  <c r="J28" i="193"/>
  <c r="P28" i="193" s="1"/>
  <c r="E28" i="193"/>
  <c r="N27" i="193"/>
  <c r="M27" i="193"/>
  <c r="H27" i="193"/>
  <c r="G27" i="193"/>
  <c r="F27" i="193"/>
  <c r="J26" i="193"/>
  <c r="P26" i="193" s="1"/>
  <c r="E26" i="193"/>
  <c r="E24" i="193" s="1"/>
  <c r="R25" i="193"/>
  <c r="O25" i="193"/>
  <c r="J25" i="193" s="1"/>
  <c r="E25" i="193"/>
  <c r="O24" i="193"/>
  <c r="N24" i="193"/>
  <c r="N23" i="193" s="1"/>
  <c r="M24" i="193"/>
  <c r="L24" i="193"/>
  <c r="K24" i="193"/>
  <c r="I24" i="193"/>
  <c r="H24" i="193"/>
  <c r="G24" i="193"/>
  <c r="G23" i="193" s="1"/>
  <c r="F24" i="193"/>
  <c r="F23" i="193" s="1"/>
  <c r="M23" i="193"/>
  <c r="H23" i="193"/>
  <c r="O22" i="193"/>
  <c r="J22" i="193"/>
  <c r="F22" i="193"/>
  <c r="E22" i="193"/>
  <c r="P22" i="193" s="1"/>
  <c r="O21" i="193"/>
  <c r="J21" i="193" s="1"/>
  <c r="P21" i="193" s="1"/>
  <c r="E21" i="193"/>
  <c r="O20" i="193"/>
  <c r="J20" i="193" s="1"/>
  <c r="P20" i="193" s="1"/>
  <c r="G20" i="193"/>
  <c r="F20" i="193"/>
  <c r="E20" i="193"/>
  <c r="R19" i="193"/>
  <c r="K19" i="193"/>
  <c r="O19" i="193" s="1"/>
  <c r="H19" i="193"/>
  <c r="H18" i="193" s="1"/>
  <c r="H17" i="193" s="1"/>
  <c r="G19" i="193"/>
  <c r="G18" i="193" s="1"/>
  <c r="G17" i="193" s="1"/>
  <c r="F19" i="193"/>
  <c r="E19" i="193" s="1"/>
  <c r="E18" i="193" s="1"/>
  <c r="N18" i="193"/>
  <c r="N17" i="193" s="1"/>
  <c r="M18" i="193"/>
  <c r="L18" i="193"/>
  <c r="K18" i="193"/>
  <c r="I18" i="193"/>
  <c r="C119" i="192"/>
  <c r="C118" i="192"/>
  <c r="C117" i="192"/>
  <c r="C116" i="192"/>
  <c r="F115" i="192"/>
  <c r="E115" i="192"/>
  <c r="D115" i="192"/>
  <c r="D107" i="192" s="1"/>
  <c r="C115" i="192"/>
  <c r="C114" i="192"/>
  <c r="C113" i="192"/>
  <c r="D112" i="192"/>
  <c r="C112" i="192"/>
  <c r="C111" i="192"/>
  <c r="C110" i="192"/>
  <c r="C109" i="192"/>
  <c r="C108" i="192"/>
  <c r="F107" i="192"/>
  <c r="F100" i="192" s="1"/>
  <c r="F97" i="192" s="1"/>
  <c r="E107" i="192"/>
  <c r="C106" i="192"/>
  <c r="C105" i="192"/>
  <c r="C104" i="192"/>
  <c r="C103" i="192"/>
  <c r="C102" i="192"/>
  <c r="E101" i="192"/>
  <c r="C101" i="192" s="1"/>
  <c r="D101" i="192"/>
  <c r="C99" i="192"/>
  <c r="D98" i="192"/>
  <c r="C98" i="192" s="1"/>
  <c r="C95" i="192"/>
  <c r="E94" i="192"/>
  <c r="C94" i="192" s="1"/>
  <c r="C93" i="192"/>
  <c r="C92" i="192"/>
  <c r="F91" i="192"/>
  <c r="F90" i="192" s="1"/>
  <c r="F85" i="192" s="1"/>
  <c r="F96" i="192" s="1"/>
  <c r="F120" i="192" s="1"/>
  <c r="J120" i="192" s="1"/>
  <c r="E91" i="192"/>
  <c r="C91" i="192" s="1"/>
  <c r="C89" i="192"/>
  <c r="C88" i="192"/>
  <c r="D87" i="192"/>
  <c r="C87" i="192" s="1"/>
  <c r="F86" i="192"/>
  <c r="E86" i="192"/>
  <c r="C84" i="192"/>
  <c r="C83" i="192"/>
  <c r="C82" i="192"/>
  <c r="C81" i="192"/>
  <c r="E80" i="192"/>
  <c r="C80" i="192"/>
  <c r="E79" i="192"/>
  <c r="D79" i="192"/>
  <c r="C79" i="192" s="1"/>
  <c r="C78" i="192"/>
  <c r="C77" i="192"/>
  <c r="C76" i="192"/>
  <c r="C75" i="192"/>
  <c r="F74" i="192"/>
  <c r="E74" i="192"/>
  <c r="E55" i="192" s="1"/>
  <c r="D74" i="192"/>
  <c r="C74" i="192" s="1"/>
  <c r="C73" i="192"/>
  <c r="C72" i="192"/>
  <c r="D71" i="192"/>
  <c r="C71" i="192" s="1"/>
  <c r="C70" i="192"/>
  <c r="C69" i="192"/>
  <c r="C68" i="192"/>
  <c r="C67" i="192"/>
  <c r="C66" i="192"/>
  <c r="D65" i="192"/>
  <c r="C65" i="192" s="1"/>
  <c r="C63" i="192"/>
  <c r="C62" i="192"/>
  <c r="C61" i="192"/>
  <c r="D60" i="192"/>
  <c r="C60" i="192" s="1"/>
  <c r="C59" i="192"/>
  <c r="C58" i="192"/>
  <c r="D57" i="192"/>
  <c r="C57" i="192"/>
  <c r="D56" i="192"/>
  <c r="C56" i="192" s="1"/>
  <c r="F55" i="192"/>
  <c r="C54" i="192"/>
  <c r="C53" i="192"/>
  <c r="C52" i="192"/>
  <c r="E51" i="192"/>
  <c r="D51" i="192"/>
  <c r="C51" i="192" s="1"/>
  <c r="E50" i="192"/>
  <c r="C50" i="192" s="1"/>
  <c r="C49" i="192"/>
  <c r="C48" i="192"/>
  <c r="C47" i="192"/>
  <c r="D46" i="192"/>
  <c r="C46" i="192"/>
  <c r="C45" i="192"/>
  <c r="C44" i="192"/>
  <c r="D43" i="192"/>
  <c r="C43" i="192"/>
  <c r="C42" i="192"/>
  <c r="C41" i="192"/>
  <c r="C40" i="192"/>
  <c r="C39" i="192"/>
  <c r="C38" i="192"/>
  <c r="C37" i="192"/>
  <c r="C36" i="192"/>
  <c r="C35" i="192"/>
  <c r="C34" i="192"/>
  <c r="C33" i="192"/>
  <c r="D32" i="192"/>
  <c r="C32" i="192"/>
  <c r="D31" i="192"/>
  <c r="C31" i="192" s="1"/>
  <c r="C30" i="192"/>
  <c r="C29" i="192"/>
  <c r="D28" i="192"/>
  <c r="C28" i="192" s="1"/>
  <c r="C27" i="192"/>
  <c r="D26" i="192"/>
  <c r="D25" i="192" s="1"/>
  <c r="C25" i="192" s="1"/>
  <c r="C26" i="192"/>
  <c r="C24" i="192"/>
  <c r="D23" i="192"/>
  <c r="C23" i="192" s="1"/>
  <c r="C22" i="192"/>
  <c r="D21" i="192"/>
  <c r="C21" i="192"/>
  <c r="C19" i="192"/>
  <c r="D18" i="192"/>
  <c r="C18" i="192" s="1"/>
  <c r="C17" i="192"/>
  <c r="C16" i="192"/>
  <c r="C15" i="192"/>
  <c r="C14" i="192"/>
  <c r="D13" i="192"/>
  <c r="C13" i="192"/>
  <c r="D12" i="192"/>
  <c r="C12" i="192" s="1"/>
  <c r="F11" i="192"/>
  <c r="E11" i="192"/>
  <c r="F96" i="194" l="1"/>
  <c r="F129" i="194" s="1"/>
  <c r="J129" i="194" s="1"/>
  <c r="D85" i="194"/>
  <c r="D55" i="194"/>
  <c r="N16" i="193"/>
  <c r="M16" i="193"/>
  <c r="G16" i="193"/>
  <c r="H16" i="193"/>
  <c r="I16" i="193"/>
  <c r="O18" i="193"/>
  <c r="O17" i="193" s="1"/>
  <c r="J19" i="193"/>
  <c r="C107" i="192"/>
  <c r="D100" i="192"/>
  <c r="K17" i="193"/>
  <c r="L81" i="193"/>
  <c r="P113" i="193"/>
  <c r="P46" i="193"/>
  <c r="J93" i="193"/>
  <c r="P94" i="193"/>
  <c r="P93" i="193" s="1"/>
  <c r="D64" i="192"/>
  <c r="C64" i="192" s="1"/>
  <c r="P25" i="193"/>
  <c r="P24" i="193" s="1"/>
  <c r="J24" i="193"/>
  <c r="J23" i="193" s="1"/>
  <c r="L29" i="193"/>
  <c r="L27" i="193" s="1"/>
  <c r="L23" i="193" s="1"/>
  <c r="L17" i="193" s="1"/>
  <c r="N82" i="193"/>
  <c r="N81" i="193" s="1"/>
  <c r="P96" i="193"/>
  <c r="P95" i="193" s="1"/>
  <c r="P85" i="193" s="1"/>
  <c r="E95" i="193"/>
  <c r="J124" i="193"/>
  <c r="P124" i="193" s="1"/>
  <c r="D20" i="192"/>
  <c r="C20" i="192" s="1"/>
  <c r="E100" i="192"/>
  <c r="E97" i="192" s="1"/>
  <c r="J39" i="193"/>
  <c r="J37" i="193" s="1"/>
  <c r="J36" i="193" s="1"/>
  <c r="J58" i="193"/>
  <c r="P76" i="193"/>
  <c r="K81" i="193"/>
  <c r="R82" i="193"/>
  <c r="P123" i="193"/>
  <c r="D86" i="192"/>
  <c r="E90" i="192"/>
  <c r="F18" i="193"/>
  <c r="F17" i="193" s="1"/>
  <c r="F82" i="193"/>
  <c r="F81" i="193" s="1"/>
  <c r="P84" i="193"/>
  <c r="P83" i="193" s="1"/>
  <c r="E83" i="193"/>
  <c r="H103" i="193"/>
  <c r="H102" i="193" s="1"/>
  <c r="I103" i="193"/>
  <c r="I102" i="193" s="1"/>
  <c r="L137" i="193"/>
  <c r="L103" i="193" s="1"/>
  <c r="D11" i="192"/>
  <c r="C11" i="192" s="1"/>
  <c r="P30" i="193"/>
  <c r="E29" i="193"/>
  <c r="E37" i="193"/>
  <c r="E36" i="193" s="1"/>
  <c r="P44" i="193"/>
  <c r="P64" i="193"/>
  <c r="G82" i="193"/>
  <c r="G81" i="193" s="1"/>
  <c r="J95" i="193"/>
  <c r="J85" i="193" s="1"/>
  <c r="J35" i="193"/>
  <c r="K41" i="193"/>
  <c r="M43" i="193"/>
  <c r="M42" i="193" s="1"/>
  <c r="M41" i="193" s="1"/>
  <c r="E55" i="193"/>
  <c r="P55" i="193" s="1"/>
  <c r="P56" i="193"/>
  <c r="P60" i="193"/>
  <c r="J61" i="193"/>
  <c r="P61" i="193" s="1"/>
  <c r="P72" i="193"/>
  <c r="H82" i="193"/>
  <c r="H81" i="193" s="1"/>
  <c r="P112" i="193"/>
  <c r="O23" i="193"/>
  <c r="N43" i="193"/>
  <c r="N42" i="193" s="1"/>
  <c r="N41" i="193" s="1"/>
  <c r="J104" i="193"/>
  <c r="P105" i="193"/>
  <c r="P104" i="193" s="1"/>
  <c r="P126" i="193"/>
  <c r="O69" i="193"/>
  <c r="E110" i="193"/>
  <c r="E119" i="193"/>
  <c r="P128" i="193"/>
  <c r="P127" i="193" s="1"/>
  <c r="E127" i="193"/>
  <c r="R166" i="193"/>
  <c r="K165" i="193"/>
  <c r="F173" i="193"/>
  <c r="F166" i="193" s="1"/>
  <c r="F165" i="193" s="1"/>
  <c r="E179" i="193"/>
  <c r="P199" i="193"/>
  <c r="P202" i="193"/>
  <c r="E59" i="193"/>
  <c r="P62" i="193"/>
  <c r="O66" i="193"/>
  <c r="O122" i="193"/>
  <c r="R132" i="193"/>
  <c r="K131" i="193"/>
  <c r="K108" i="193" s="1"/>
  <c r="K103" i="193" s="1"/>
  <c r="O132" i="193"/>
  <c r="L165" i="193"/>
  <c r="L192" i="193"/>
  <c r="J110" i="193"/>
  <c r="J109" i="193" s="1"/>
  <c r="E149" i="193"/>
  <c r="R152" i="193"/>
  <c r="O152" i="193"/>
  <c r="F55" i="193"/>
  <c r="F43" i="193" s="1"/>
  <c r="F42" i="193" s="1"/>
  <c r="F41" i="193" s="1"/>
  <c r="O100" i="193"/>
  <c r="J119" i="193"/>
  <c r="J118" i="193" s="1"/>
  <c r="J140" i="193"/>
  <c r="J139" i="193" s="1"/>
  <c r="J138" i="193" s="1"/>
  <c r="O139" i="193"/>
  <c r="O138" i="193" s="1"/>
  <c r="G137" i="193"/>
  <c r="G103" i="193" s="1"/>
  <c r="G102" i="193" s="1"/>
  <c r="O137" i="193"/>
  <c r="E146" i="193"/>
  <c r="J152" i="193"/>
  <c r="P152" i="193" s="1"/>
  <c r="P188" i="193"/>
  <c r="P187" i="193" s="1"/>
  <c r="P186" i="193" s="1"/>
  <c r="E187" i="193"/>
  <c r="E186" i="193" s="1"/>
  <c r="J191" i="193"/>
  <c r="O190" i="193"/>
  <c r="O189" i="193" s="1"/>
  <c r="L211" i="193"/>
  <c r="O47" i="193"/>
  <c r="O45" i="193" s="1"/>
  <c r="P50" i="193"/>
  <c r="P49" i="193" s="1"/>
  <c r="O53" i="193"/>
  <c r="L58" i="193"/>
  <c r="L43" i="193" s="1"/>
  <c r="L42" i="193" s="1"/>
  <c r="P80" i="193"/>
  <c r="P79" i="193" s="1"/>
  <c r="P78" i="193" s="1"/>
  <c r="E99" i="193"/>
  <c r="E98" i="193" s="1"/>
  <c r="E129" i="193"/>
  <c r="F131" i="193"/>
  <c r="F108" i="193" s="1"/>
  <c r="F103" i="193" s="1"/>
  <c r="F102" i="193" s="1"/>
  <c r="R140" i="193"/>
  <c r="G146" i="193"/>
  <c r="G145" i="193" s="1"/>
  <c r="E167" i="193"/>
  <c r="P185" i="193"/>
  <c r="M193" i="193"/>
  <c r="M192" i="193" s="1"/>
  <c r="E51" i="193"/>
  <c r="I137" i="193"/>
  <c r="H146" i="193"/>
  <c r="H145" i="193" s="1"/>
  <c r="P153" i="193"/>
  <c r="J159" i="193"/>
  <c r="J158" i="193" s="1"/>
  <c r="J157" i="193" s="1"/>
  <c r="P160" i="193"/>
  <c r="P159" i="193" s="1"/>
  <c r="P158" i="193" s="1"/>
  <c r="P157" i="193" s="1"/>
  <c r="P176" i="193"/>
  <c r="P174" i="193" s="1"/>
  <c r="J174" i="193"/>
  <c r="J213" i="193"/>
  <c r="P215" i="193"/>
  <c r="E74" i="193"/>
  <c r="E91" i="193"/>
  <c r="E85" i="193" s="1"/>
  <c r="J137" i="193"/>
  <c r="K146" i="193"/>
  <c r="O147" i="193"/>
  <c r="J148" i="193"/>
  <c r="J147" i="193" s="1"/>
  <c r="E197" i="193"/>
  <c r="P171" i="193"/>
  <c r="P170" i="193" s="1"/>
  <c r="O227" i="193"/>
  <c r="O226" i="193" s="1"/>
  <c r="J228" i="193"/>
  <c r="G283" i="193"/>
  <c r="G282" i="193" s="1"/>
  <c r="P291" i="193"/>
  <c r="P290" i="193" s="1"/>
  <c r="E290" i="193"/>
  <c r="E287" i="193" s="1"/>
  <c r="E284" i="193" s="1"/>
  <c r="K295" i="193"/>
  <c r="R296" i="193"/>
  <c r="P315" i="193"/>
  <c r="P314" i="193" s="1"/>
  <c r="J314" i="193"/>
  <c r="J311" i="193" s="1"/>
  <c r="P322" i="193"/>
  <c r="R222" i="193"/>
  <c r="O222" i="193"/>
  <c r="J222" i="193" s="1"/>
  <c r="P222" i="193" s="1"/>
  <c r="O293" i="193"/>
  <c r="O292" i="193" s="1"/>
  <c r="J294" i="193"/>
  <c r="J293" i="193" s="1"/>
  <c r="J292" i="193" s="1"/>
  <c r="P319" i="193"/>
  <c r="P318" i="193" s="1"/>
  <c r="E318" i="193"/>
  <c r="F149" i="193"/>
  <c r="F146" i="193" s="1"/>
  <c r="F145" i="193" s="1"/>
  <c r="P178" i="193"/>
  <c r="P177" i="193" s="1"/>
  <c r="E182" i="193"/>
  <c r="P183" i="193"/>
  <c r="K205" i="193"/>
  <c r="K204" i="193" s="1"/>
  <c r="O207" i="193"/>
  <c r="J207" i="193" s="1"/>
  <c r="P207" i="193" s="1"/>
  <c r="K217" i="193"/>
  <c r="K212" i="193" s="1"/>
  <c r="J248" i="193"/>
  <c r="J247" i="193" s="1"/>
  <c r="J246" i="193" s="1"/>
  <c r="O247" i="193"/>
  <c r="O246" i="193" s="1"/>
  <c r="L270" i="193"/>
  <c r="J287" i="193"/>
  <c r="J284" i="193" s="1"/>
  <c r="P303" i="193"/>
  <c r="O154" i="193"/>
  <c r="O149" i="193" s="1"/>
  <c r="P155" i="193"/>
  <c r="P154" i="193" s="1"/>
  <c r="P164" i="193"/>
  <c r="P163" i="193" s="1"/>
  <c r="P162" i="193" s="1"/>
  <c r="P169" i="193"/>
  <c r="P168" i="193" s="1"/>
  <c r="P167" i="193" s="1"/>
  <c r="J180" i="193"/>
  <c r="J179" i="193" s="1"/>
  <c r="O264" i="193"/>
  <c r="O263" i="193" s="1"/>
  <c r="O262" i="193" s="1"/>
  <c r="J265" i="193"/>
  <c r="J264" i="193" s="1"/>
  <c r="J302" i="193"/>
  <c r="J301" i="193" s="1"/>
  <c r="J300" i="193" s="1"/>
  <c r="Q303" i="193"/>
  <c r="P311" i="193"/>
  <c r="O159" i="193"/>
  <c r="O158" i="193" s="1"/>
  <c r="O157" i="193" s="1"/>
  <c r="E174" i="193"/>
  <c r="E173" i="193" s="1"/>
  <c r="F179" i="193"/>
  <c r="O185" i="193"/>
  <c r="J185" i="193" s="1"/>
  <c r="J182" i="193" s="1"/>
  <c r="F187" i="193"/>
  <c r="F186" i="193" s="1"/>
  <c r="O201" i="193"/>
  <c r="J201" i="193" s="1"/>
  <c r="P201" i="193" s="1"/>
  <c r="O206" i="193"/>
  <c r="O223" i="193"/>
  <c r="P243" i="193"/>
  <c r="P242" i="193" s="1"/>
  <c r="E242" i="193"/>
  <c r="P289" i="193"/>
  <c r="E297" i="193"/>
  <c r="E296" i="193" s="1"/>
  <c r="E208" i="193"/>
  <c r="E205" i="193" s="1"/>
  <c r="E204" i="193" s="1"/>
  <c r="G223" i="193"/>
  <c r="G212" i="193" s="1"/>
  <c r="G211" i="193" s="1"/>
  <c r="P233" i="193"/>
  <c r="P232" i="193" s="1"/>
  <c r="P229" i="193" s="1"/>
  <c r="J232" i="193"/>
  <c r="J229" i="193" s="1"/>
  <c r="P239" i="193"/>
  <c r="J263" i="193"/>
  <c r="L262" i="193"/>
  <c r="P281" i="193"/>
  <c r="P280" i="193" s="1"/>
  <c r="P277" i="193" s="1"/>
  <c r="P276" i="193" s="1"/>
  <c r="E280" i="193"/>
  <c r="E277" i="193" s="1"/>
  <c r="E276" i="193" s="1"/>
  <c r="K283" i="193"/>
  <c r="R308" i="193"/>
  <c r="K307" i="193"/>
  <c r="L307" i="193"/>
  <c r="K317" i="193"/>
  <c r="P327" i="193"/>
  <c r="P326" i="193" s="1"/>
  <c r="P325" i="193" s="1"/>
  <c r="J326" i="193"/>
  <c r="J325" i="193" s="1"/>
  <c r="K198" i="193"/>
  <c r="K197" i="193" s="1"/>
  <c r="K193" i="193" s="1"/>
  <c r="P214" i="193"/>
  <c r="P213" i="193" s="1"/>
  <c r="P216" i="193"/>
  <c r="E217" i="193"/>
  <c r="E212" i="193" s="1"/>
  <c r="H223" i="193"/>
  <c r="H212" i="193" s="1"/>
  <c r="H211" i="193" s="1"/>
  <c r="E236" i="193"/>
  <c r="E235" i="193" s="1"/>
  <c r="J242" i="193"/>
  <c r="L240" i="193"/>
  <c r="J253" i="193"/>
  <c r="J252" i="193" s="1"/>
  <c r="J250" i="193" s="1"/>
  <c r="J249" i="193" s="1"/>
  <c r="O252" i="193"/>
  <c r="L282" i="193"/>
  <c r="E309" i="193"/>
  <c r="E308" i="193" s="1"/>
  <c r="P310" i="193"/>
  <c r="P309" i="193" s="1"/>
  <c r="L317" i="193"/>
  <c r="O213" i="193"/>
  <c r="P219" i="193"/>
  <c r="P218" i="193" s="1"/>
  <c r="J218" i="193"/>
  <c r="J217" i="193" s="1"/>
  <c r="J236" i="193"/>
  <c r="J235" i="193" s="1"/>
  <c r="K241" i="193"/>
  <c r="I283" i="193"/>
  <c r="I282" i="193" s="1"/>
  <c r="P294" i="193"/>
  <c r="P293" i="193" s="1"/>
  <c r="P292" i="193" s="1"/>
  <c r="P304" i="193"/>
  <c r="Q304" i="193"/>
  <c r="G308" i="193"/>
  <c r="G307" i="193" s="1"/>
  <c r="P237" i="193"/>
  <c r="E247" i="193"/>
  <c r="E246" i="193" s="1"/>
  <c r="R253" i="193"/>
  <c r="L302" i="193"/>
  <c r="L301" i="193" s="1"/>
  <c r="L300" i="193" s="1"/>
  <c r="L296" i="193" s="1"/>
  <c r="O309" i="193"/>
  <c r="O308" i="193" s="1"/>
  <c r="O307" i="193" s="1"/>
  <c r="R248" i="193"/>
  <c r="F280" i="193"/>
  <c r="F277" i="193" s="1"/>
  <c r="F276" i="193" s="1"/>
  <c r="F271" i="193" s="1"/>
  <c r="F270" i="193" s="1"/>
  <c r="O285" i="193"/>
  <c r="O284" i="193" s="1"/>
  <c r="O283" i="193" s="1"/>
  <c r="J230" i="193"/>
  <c r="P230" i="193" s="1"/>
  <c r="O280" i="193"/>
  <c r="O277" i="193" s="1"/>
  <c r="O276" i="193" s="1"/>
  <c r="K293" i="193"/>
  <c r="K292" i="193" s="1"/>
  <c r="F297" i="193"/>
  <c r="F296" i="193" s="1"/>
  <c r="F295" i="193" s="1"/>
  <c r="O298" i="193"/>
  <c r="P306" i="193"/>
  <c r="F318" i="193"/>
  <c r="O326" i="193"/>
  <c r="O325" i="193" s="1"/>
  <c r="O317" i="193" s="1"/>
  <c r="O316" i="193" s="1"/>
  <c r="O236" i="193"/>
  <c r="O235" i="193" s="1"/>
  <c r="F242" i="193"/>
  <c r="F241" i="193" s="1"/>
  <c r="F240" i="193" s="1"/>
  <c r="O257" i="193"/>
  <c r="J257" i="193" s="1"/>
  <c r="P257" i="193" s="1"/>
  <c r="E272" i="193"/>
  <c r="E271" i="193" s="1"/>
  <c r="E323" i="193"/>
  <c r="E321" i="193" s="1"/>
  <c r="P324" i="193"/>
  <c r="P323" i="193" s="1"/>
  <c r="O259" i="193"/>
  <c r="O258" i="193" s="1"/>
  <c r="E264" i="193"/>
  <c r="E263" i="193" s="1"/>
  <c r="O273" i="193"/>
  <c r="E293" i="193"/>
  <c r="E292" i="193" s="1"/>
  <c r="F323" i="193"/>
  <c r="F321" i="193" s="1"/>
  <c r="O256" i="193"/>
  <c r="J256" i="193" s="1"/>
  <c r="P256" i="193" s="1"/>
  <c r="E330" i="193"/>
  <c r="D97" i="194" l="1"/>
  <c r="C97" i="194" s="1"/>
  <c r="R193" i="193"/>
  <c r="K192" i="193"/>
  <c r="L102" i="193"/>
  <c r="O282" i="193"/>
  <c r="J283" i="193"/>
  <c r="J282" i="193" s="1"/>
  <c r="R103" i="193"/>
  <c r="K102" i="193"/>
  <c r="K211" i="193"/>
  <c r="R212" i="193"/>
  <c r="E193" i="193"/>
  <c r="L328" i="193"/>
  <c r="L340" i="193" s="1"/>
  <c r="J17" i="193"/>
  <c r="L16" i="193"/>
  <c r="L295" i="193"/>
  <c r="E211" i="193"/>
  <c r="L41" i="193"/>
  <c r="P248" i="193"/>
  <c r="P247" i="193" s="1"/>
  <c r="P246" i="193" s="1"/>
  <c r="K240" i="193"/>
  <c r="R241" i="193"/>
  <c r="L316" i="193"/>
  <c r="J317" i="193"/>
  <c r="J316" i="193" s="1"/>
  <c r="E283" i="193"/>
  <c r="E166" i="193"/>
  <c r="J149" i="193"/>
  <c r="E58" i="193"/>
  <c r="P58" i="193" s="1"/>
  <c r="P59" i="193"/>
  <c r="J69" i="193"/>
  <c r="P69" i="193" s="1"/>
  <c r="O68" i="193"/>
  <c r="J68" i="193" s="1"/>
  <c r="P68" i="193" s="1"/>
  <c r="P35" i="193"/>
  <c r="P34" i="193" s="1"/>
  <c r="P33" i="193" s="1"/>
  <c r="J34" i="193"/>
  <c r="J33" i="193" s="1"/>
  <c r="F16" i="193"/>
  <c r="P39" i="193"/>
  <c r="P37" i="193" s="1"/>
  <c r="P36" i="193" s="1"/>
  <c r="K282" i="193"/>
  <c r="R283" i="193"/>
  <c r="P287" i="193"/>
  <c r="P284" i="193" s="1"/>
  <c r="J53" i="193"/>
  <c r="O51" i="193"/>
  <c r="O99" i="193"/>
  <c r="O98" i="193" s="1"/>
  <c r="O82" i="193" s="1"/>
  <c r="J100" i="193"/>
  <c r="P148" i="193"/>
  <c r="P147" i="193" s="1"/>
  <c r="P140" i="193"/>
  <c r="P139" i="193" s="1"/>
  <c r="P138" i="193" s="1"/>
  <c r="P137" i="193" s="1"/>
  <c r="J47" i="193"/>
  <c r="C90" i="192"/>
  <c r="E85" i="192"/>
  <c r="E96" i="192" s="1"/>
  <c r="E120" i="192" s="1"/>
  <c r="I120" i="192" s="1"/>
  <c r="E307" i="193"/>
  <c r="E241" i="193"/>
  <c r="P302" i="193"/>
  <c r="P301" i="193" s="1"/>
  <c r="P300" i="193" s="1"/>
  <c r="E317" i="193"/>
  <c r="O131" i="193"/>
  <c r="J132" i="193"/>
  <c r="P198" i="193"/>
  <c r="P197" i="193" s="1"/>
  <c r="O217" i="193"/>
  <c r="O212" i="193" s="1"/>
  <c r="D85" i="192"/>
  <c r="C86" i="192"/>
  <c r="I328" i="193"/>
  <c r="I340" i="193" s="1"/>
  <c r="M328" i="193"/>
  <c r="M340" i="193" s="1"/>
  <c r="O272" i="193"/>
  <c r="O271" i="193" s="1"/>
  <c r="J273" i="193"/>
  <c r="P321" i="193"/>
  <c r="E145" i="193"/>
  <c r="J198" i="193"/>
  <c r="J197" i="193" s="1"/>
  <c r="O182" i="193"/>
  <c r="O173" i="193" s="1"/>
  <c r="O166" i="193" s="1"/>
  <c r="P29" i="193"/>
  <c r="P27" i="193" s="1"/>
  <c r="P23" i="193" s="1"/>
  <c r="E27" i="193"/>
  <c r="E23" i="193" s="1"/>
  <c r="E17" i="193" s="1"/>
  <c r="E82" i="193"/>
  <c r="K328" i="193"/>
  <c r="K16" i="193"/>
  <c r="R17" i="193"/>
  <c r="Q330" i="193"/>
  <c r="J190" i="193"/>
  <c r="J189" i="193" s="1"/>
  <c r="P191" i="193"/>
  <c r="P190" i="193" s="1"/>
  <c r="P189" i="193" s="1"/>
  <c r="P110" i="193"/>
  <c r="P109" i="193" s="1"/>
  <c r="E109" i="193"/>
  <c r="F317" i="193"/>
  <c r="F316" i="193" s="1"/>
  <c r="O297" i="193"/>
  <c r="O296" i="193" s="1"/>
  <c r="O295" i="193" s="1"/>
  <c r="J298" i="193"/>
  <c r="E262" i="193"/>
  <c r="P263" i="193"/>
  <c r="P217" i="193"/>
  <c r="K316" i="193"/>
  <c r="R317" i="193"/>
  <c r="O198" i="193"/>
  <c r="O197" i="193" s="1"/>
  <c r="O193" i="193" s="1"/>
  <c r="P265" i="193"/>
  <c r="P264" i="193" s="1"/>
  <c r="J173" i="193"/>
  <c r="D55" i="192"/>
  <c r="C55" i="192" s="1"/>
  <c r="D97" i="192"/>
  <c r="C97" i="192" s="1"/>
  <c r="C100" i="192"/>
  <c r="H328" i="193"/>
  <c r="H340" i="193" s="1"/>
  <c r="E270" i="193"/>
  <c r="J262" i="193"/>
  <c r="R263" i="193"/>
  <c r="O205" i="193"/>
  <c r="O204" i="193" s="1"/>
  <c r="J206" i="193"/>
  <c r="P182" i="193"/>
  <c r="J227" i="193"/>
  <c r="J226" i="193" s="1"/>
  <c r="J223" i="193" s="1"/>
  <c r="P228" i="193"/>
  <c r="P227" i="193" s="1"/>
  <c r="P226" i="193" s="1"/>
  <c r="P223" i="193" s="1"/>
  <c r="O146" i="193"/>
  <c r="O121" i="193"/>
  <c r="J122" i="193"/>
  <c r="P180" i="193"/>
  <c r="P179" i="193" s="1"/>
  <c r="P173" i="193" s="1"/>
  <c r="P149" i="193"/>
  <c r="O16" i="193"/>
  <c r="P236" i="193"/>
  <c r="P235" i="193" s="1"/>
  <c r="O250" i="193"/>
  <c r="O249" i="193" s="1"/>
  <c r="J308" i="193"/>
  <c r="J307" i="193" s="1"/>
  <c r="P253" i="193"/>
  <c r="P252" i="193" s="1"/>
  <c r="P250" i="193" s="1"/>
  <c r="P249" i="193" s="1"/>
  <c r="E295" i="193"/>
  <c r="O241" i="193"/>
  <c r="K145" i="193"/>
  <c r="R146" i="193"/>
  <c r="O65" i="193"/>
  <c r="J65" i="193" s="1"/>
  <c r="P65" i="193" s="1"/>
  <c r="J66" i="193"/>
  <c r="P66" i="193" s="1"/>
  <c r="E118" i="193"/>
  <c r="P119" i="193"/>
  <c r="P118" i="193" s="1"/>
  <c r="P19" i="193"/>
  <c r="P18" i="193" s="1"/>
  <c r="J18" i="193"/>
  <c r="G328" i="193"/>
  <c r="G340" i="193" s="1"/>
  <c r="N328" i="193"/>
  <c r="N340" i="193" s="1"/>
  <c r="E85" i="194" l="1"/>
  <c r="E55" i="194"/>
  <c r="C55" i="194" s="1"/>
  <c r="O211" i="193"/>
  <c r="J212" i="193"/>
  <c r="O240" i="193"/>
  <c r="J241" i="193"/>
  <c r="J240" i="193" s="1"/>
  <c r="E108" i="193"/>
  <c r="E103" i="193" s="1"/>
  <c r="K343" i="193"/>
  <c r="Q328" i="193"/>
  <c r="K340" i="193"/>
  <c r="P308" i="193"/>
  <c r="J99" i="193"/>
  <c r="J98" i="193" s="1"/>
  <c r="P100" i="193"/>
  <c r="P99" i="193" s="1"/>
  <c r="P98" i="193" s="1"/>
  <c r="O43" i="193"/>
  <c r="O42" i="193" s="1"/>
  <c r="J205" i="193"/>
  <c r="J204" i="193" s="1"/>
  <c r="P206" i="193"/>
  <c r="P205" i="193" s="1"/>
  <c r="P204" i="193" s="1"/>
  <c r="E81" i="193"/>
  <c r="J272" i="193"/>
  <c r="P273" i="193"/>
  <c r="P272" i="193" s="1"/>
  <c r="O81" i="193"/>
  <c r="J82" i="193"/>
  <c r="J81" i="193" s="1"/>
  <c r="J16" i="193"/>
  <c r="F328" i="193"/>
  <c r="E165" i="193"/>
  <c r="P122" i="193"/>
  <c r="P121" i="193" s="1"/>
  <c r="J121" i="193"/>
  <c r="P262" i="193"/>
  <c r="Q263" i="193"/>
  <c r="O108" i="193"/>
  <c r="O103" i="193" s="1"/>
  <c r="J51" i="193"/>
  <c r="P51" i="193" s="1"/>
  <c r="P53" i="193"/>
  <c r="E282" i="193"/>
  <c r="P283" i="193"/>
  <c r="E192" i="193"/>
  <c r="D96" i="192"/>
  <c r="C85" i="192"/>
  <c r="O270" i="193"/>
  <c r="J271" i="193"/>
  <c r="O165" i="193"/>
  <c r="J166" i="193"/>
  <c r="J165" i="193" s="1"/>
  <c r="J131" i="193"/>
  <c r="J108" i="193" s="1"/>
  <c r="P132" i="193"/>
  <c r="P131" i="193" s="1"/>
  <c r="P108" i="193" s="1"/>
  <c r="O145" i="193"/>
  <c r="J146" i="193"/>
  <c r="J297" i="193"/>
  <c r="P298" i="193"/>
  <c r="P297" i="193" s="1"/>
  <c r="E43" i="193"/>
  <c r="E42" i="193" s="1"/>
  <c r="E316" i="193"/>
  <c r="P317" i="193"/>
  <c r="P47" i="193"/>
  <c r="J45" i="193"/>
  <c r="O192" i="193"/>
  <c r="J193" i="193"/>
  <c r="J192" i="193" s="1"/>
  <c r="P241" i="193"/>
  <c r="E240" i="193"/>
  <c r="E16" i="193"/>
  <c r="P17" i="193"/>
  <c r="J296" i="193"/>
  <c r="E96" i="194" l="1"/>
  <c r="E129" i="194" s="1"/>
  <c r="I129" i="194" s="1"/>
  <c r="C85" i="194"/>
  <c r="O102" i="193"/>
  <c r="J103" i="193"/>
  <c r="J102" i="193" s="1"/>
  <c r="J43" i="193"/>
  <c r="P45" i="193"/>
  <c r="P43" i="193" s="1"/>
  <c r="C96" i="192"/>
  <c r="D120" i="192"/>
  <c r="E102" i="193"/>
  <c r="P103" i="193"/>
  <c r="J295" i="193"/>
  <c r="P296" i="193"/>
  <c r="P193" i="193"/>
  <c r="Q317" i="193"/>
  <c r="P316" i="193"/>
  <c r="O41" i="193"/>
  <c r="J42" i="193"/>
  <c r="O328" i="193"/>
  <c r="J145" i="193"/>
  <c r="P146" i="193"/>
  <c r="P16" i="193"/>
  <c r="Q17" i="193"/>
  <c r="F340" i="193"/>
  <c r="F345" i="193"/>
  <c r="E328" i="193"/>
  <c r="E41" i="193"/>
  <c r="P166" i="193"/>
  <c r="J211" i="193"/>
  <c r="P212" i="193"/>
  <c r="P282" i="193"/>
  <c r="Q283" i="193"/>
  <c r="P240" i="193"/>
  <c r="Q241" i="193"/>
  <c r="J270" i="193"/>
  <c r="P271" i="193"/>
  <c r="P82" i="193"/>
  <c r="P307" i="193"/>
  <c r="Q308" i="193"/>
  <c r="E341" i="193" l="1"/>
  <c r="E349" i="193"/>
  <c r="F341" i="193"/>
  <c r="E340" i="193"/>
  <c r="O343" i="193"/>
  <c r="O340" i="193"/>
  <c r="P102" i="193"/>
  <c r="S103" i="193"/>
  <c r="Q103" i="193"/>
  <c r="J41" i="193"/>
  <c r="J328" i="193"/>
  <c r="H120" i="192"/>
  <c r="C120" i="192"/>
  <c r="G120" i="192" s="1"/>
  <c r="P211" i="193"/>
  <c r="Q212" i="193"/>
  <c r="Q82" i="193"/>
  <c r="P81" i="193"/>
  <c r="P270" i="193"/>
  <c r="Q271" i="193"/>
  <c r="P165" i="193"/>
  <c r="Q166" i="193"/>
  <c r="P192" i="193"/>
  <c r="Q193" i="193"/>
  <c r="P145" i="193"/>
  <c r="Q146" i="193"/>
  <c r="Q296" i="193"/>
  <c r="P295" i="193"/>
  <c r="P42" i="193"/>
  <c r="P41" i="193" l="1"/>
  <c r="Q42" i="193"/>
  <c r="P328" i="193"/>
  <c r="J340" i="193"/>
  <c r="J343" i="193"/>
  <c r="P341" i="193"/>
  <c r="R328" i="193" l="1"/>
  <c r="F343" i="193"/>
  <c r="P340" i="193"/>
  <c r="P358" i="191" l="1"/>
  <c r="O358" i="191"/>
  <c r="N358" i="191"/>
  <c r="M358" i="191"/>
  <c r="L358" i="191"/>
  <c r="K358" i="191"/>
  <c r="J358" i="191"/>
  <c r="H358" i="191"/>
  <c r="G358" i="191"/>
  <c r="F358" i="191"/>
  <c r="K345" i="191"/>
  <c r="I345" i="191"/>
  <c r="M345" i="191"/>
  <c r="M344" i="191" s="1"/>
  <c r="S347" i="191"/>
  <c r="Q347" i="191"/>
  <c r="N345" i="191"/>
  <c r="N344" i="191" s="1"/>
  <c r="L345" i="191"/>
  <c r="I344" i="191"/>
  <c r="R343" i="191"/>
  <c r="R341" i="191"/>
  <c r="K336" i="191"/>
  <c r="R336" i="191" s="1"/>
  <c r="N336" i="191"/>
  <c r="N335" i="191" s="1"/>
  <c r="M336" i="191"/>
  <c r="M335" i="191" s="1"/>
  <c r="R338" i="191"/>
  <c r="G336" i="191"/>
  <c r="G335" i="191" s="1"/>
  <c r="F336" i="191"/>
  <c r="F335" i="191" s="1"/>
  <c r="L336" i="191"/>
  <c r="L335" i="191" s="1"/>
  <c r="H336" i="191"/>
  <c r="H335" i="191" s="1"/>
  <c r="K335" i="191"/>
  <c r="Q334" i="191"/>
  <c r="L324" i="191"/>
  <c r="Q333" i="191"/>
  <c r="Q332" i="191"/>
  <c r="Q331" i="191"/>
  <c r="F324" i="191"/>
  <c r="F323" i="191" s="1"/>
  <c r="K324" i="191"/>
  <c r="H324" i="191"/>
  <c r="H323" i="191" s="1"/>
  <c r="N324" i="191"/>
  <c r="N323" i="191" s="1"/>
  <c r="M324" i="191"/>
  <c r="M323" i="191" s="1"/>
  <c r="I324" i="191"/>
  <c r="I323" i="191"/>
  <c r="H311" i="191"/>
  <c r="H310" i="191" s="1"/>
  <c r="I311" i="191"/>
  <c r="I310" i="191" s="1"/>
  <c r="N311" i="191"/>
  <c r="N310" i="191" s="1"/>
  <c r="M311" i="191"/>
  <c r="M310" i="191" s="1"/>
  <c r="L311" i="191"/>
  <c r="G311" i="191"/>
  <c r="G310" i="191" s="1"/>
  <c r="L298" i="191"/>
  <c r="M298" i="191"/>
  <c r="M297" i="191" s="1"/>
  <c r="G298" i="191"/>
  <c r="G297" i="191" s="1"/>
  <c r="K298" i="191"/>
  <c r="N298" i="191"/>
  <c r="N297" i="191" s="1"/>
  <c r="I298" i="191"/>
  <c r="I297" i="191" s="1"/>
  <c r="H298" i="191"/>
  <c r="H297" i="191" s="1"/>
  <c r="R296" i="191"/>
  <c r="N290" i="191"/>
  <c r="N289" i="191" s="1"/>
  <c r="R292" i="191"/>
  <c r="H290" i="191"/>
  <c r="H289" i="191" s="1"/>
  <c r="G290" i="191"/>
  <c r="G289" i="191" s="1"/>
  <c r="K290" i="191"/>
  <c r="K289" i="191" s="1"/>
  <c r="M290" i="191"/>
  <c r="I290" i="191"/>
  <c r="I289" i="191" s="1"/>
  <c r="M289" i="191"/>
  <c r="F268" i="191"/>
  <c r="F267" i="191" s="1"/>
  <c r="R284" i="191"/>
  <c r="R283" i="191"/>
  <c r="R281" i="191"/>
  <c r="N268" i="191"/>
  <c r="N267" i="191" s="1"/>
  <c r="R275" i="191"/>
  <c r="I268" i="191"/>
  <c r="I267" i="191" s="1"/>
  <c r="L268" i="191"/>
  <c r="H268" i="191"/>
  <c r="H267" i="191" s="1"/>
  <c r="G268" i="191"/>
  <c r="G267" i="191" s="1"/>
  <c r="M268" i="191"/>
  <c r="M267" i="191" s="1"/>
  <c r="O266" i="191"/>
  <c r="J266" i="191"/>
  <c r="H266" i="191"/>
  <c r="G266" i="191"/>
  <c r="F266" i="191"/>
  <c r="E266" i="191" s="1"/>
  <c r="P266" i="191" s="1"/>
  <c r="R265" i="191"/>
  <c r="H239" i="191"/>
  <c r="H238" i="191" s="1"/>
  <c r="R258" i="191"/>
  <c r="R257" i="191"/>
  <c r="R255" i="191"/>
  <c r="R252" i="191"/>
  <c r="R249" i="191"/>
  <c r="R241" i="191"/>
  <c r="G239" i="191"/>
  <c r="G238" i="191" s="1"/>
  <c r="M239" i="191"/>
  <c r="M238" i="191" s="1"/>
  <c r="K239" i="191"/>
  <c r="N239" i="191"/>
  <c r="N238" i="191" s="1"/>
  <c r="L239" i="191"/>
  <c r="L238" i="191" s="1"/>
  <c r="I239" i="191"/>
  <c r="I238" i="191" s="1"/>
  <c r="R234" i="191"/>
  <c r="R233" i="191"/>
  <c r="R228" i="191"/>
  <c r="R227" i="191"/>
  <c r="R226" i="191"/>
  <c r="M220" i="191"/>
  <c r="M219" i="191" s="1"/>
  <c r="R222" i="191"/>
  <c r="G220" i="191"/>
  <c r="G219" i="191" s="1"/>
  <c r="K220" i="191"/>
  <c r="H220" i="191"/>
  <c r="H219" i="191" s="1"/>
  <c r="I220" i="191"/>
  <c r="I219" i="191" s="1"/>
  <c r="R218" i="191"/>
  <c r="R209" i="191"/>
  <c r="R205" i="191"/>
  <c r="R204" i="191"/>
  <c r="G190" i="191"/>
  <c r="G189" i="191" s="1"/>
  <c r="R195" i="191"/>
  <c r="N190" i="191"/>
  <c r="N189" i="191" s="1"/>
  <c r="H190" i="191"/>
  <c r="H189" i="191" s="1"/>
  <c r="I190" i="191"/>
  <c r="I189" i="191" s="1"/>
  <c r="M190" i="191"/>
  <c r="M189" i="191" s="1"/>
  <c r="I170" i="191"/>
  <c r="I169" i="191" s="1"/>
  <c r="R185" i="191"/>
  <c r="M170" i="191"/>
  <c r="M169" i="191" s="1"/>
  <c r="K170" i="191"/>
  <c r="R179" i="191"/>
  <c r="H170" i="191"/>
  <c r="H169" i="191" s="1"/>
  <c r="R177" i="191"/>
  <c r="R176" i="191"/>
  <c r="N170" i="191"/>
  <c r="N169" i="191" s="1"/>
  <c r="R175" i="191"/>
  <c r="R172" i="191"/>
  <c r="G170" i="191"/>
  <c r="G169" i="191" s="1"/>
  <c r="L170" i="191"/>
  <c r="R164" i="191"/>
  <c r="R160" i="191"/>
  <c r="R159" i="191"/>
  <c r="R155" i="191"/>
  <c r="R151" i="191"/>
  <c r="R148" i="191"/>
  <c r="R144" i="191"/>
  <c r="R141" i="191"/>
  <c r="R132" i="191"/>
  <c r="R130" i="191"/>
  <c r="R129" i="191"/>
  <c r="R120" i="191"/>
  <c r="G113" i="191"/>
  <c r="G112" i="191" s="1"/>
  <c r="R115" i="191"/>
  <c r="M113" i="191"/>
  <c r="M112" i="191" s="1"/>
  <c r="I113" i="191"/>
  <c r="I112" i="191" s="1"/>
  <c r="N113" i="191"/>
  <c r="N112" i="191" s="1"/>
  <c r="P111" i="191"/>
  <c r="O111" i="191"/>
  <c r="J111" i="191"/>
  <c r="E111" i="191"/>
  <c r="R110" i="191"/>
  <c r="R108" i="191"/>
  <c r="G89" i="191"/>
  <c r="G88" i="191" s="1"/>
  <c r="R103" i="191"/>
  <c r="L89" i="191"/>
  <c r="H89" i="191"/>
  <c r="H88" i="191" s="1"/>
  <c r="I89" i="191"/>
  <c r="I88" i="191" s="1"/>
  <c r="N89" i="191"/>
  <c r="N88" i="191" s="1"/>
  <c r="R91" i="191"/>
  <c r="R87" i="191"/>
  <c r="R82" i="191"/>
  <c r="R78" i="191"/>
  <c r="R77" i="191"/>
  <c r="R73" i="191"/>
  <c r="G42" i="191"/>
  <c r="G41" i="191" s="1"/>
  <c r="R72" i="191"/>
  <c r="R70" i="191"/>
  <c r="R69" i="191"/>
  <c r="R67" i="191"/>
  <c r="R66" i="191"/>
  <c r="R64" i="191"/>
  <c r="R62" i="191"/>
  <c r="R56" i="191"/>
  <c r="R54" i="191"/>
  <c r="R53" i="191"/>
  <c r="R46" i="191"/>
  <c r="R44" i="191"/>
  <c r="M42" i="191"/>
  <c r="M41" i="191" s="1"/>
  <c r="R40" i="191"/>
  <c r="R25" i="191"/>
  <c r="R19" i="191"/>
  <c r="G17" i="191"/>
  <c r="N17" i="191"/>
  <c r="N16" i="191" s="1"/>
  <c r="L17" i="191"/>
  <c r="H17" i="191"/>
  <c r="H16" i="191" s="1"/>
  <c r="L16" i="191"/>
  <c r="D40" i="170"/>
  <c r="D46" i="170" s="1"/>
  <c r="D28" i="170"/>
  <c r="D58" i="170"/>
  <c r="D56" i="170"/>
  <c r="D55" i="170"/>
  <c r="J292" i="184"/>
  <c r="J290" i="184"/>
  <c r="R280" i="165"/>
  <c r="J277" i="184"/>
  <c r="J278" i="184"/>
  <c r="J275" i="184"/>
  <c r="K280" i="165"/>
  <c r="K278" i="165"/>
  <c r="M89" i="191" l="1"/>
  <c r="M88" i="191" s="1"/>
  <c r="I17" i="191"/>
  <c r="G16" i="191"/>
  <c r="M17" i="191"/>
  <c r="F42" i="191"/>
  <c r="F41" i="191" s="1"/>
  <c r="I42" i="191"/>
  <c r="I41" i="191" s="1"/>
  <c r="F89" i="191"/>
  <c r="F88" i="191" s="1"/>
  <c r="L42" i="191"/>
  <c r="L88" i="191"/>
  <c r="R220" i="191"/>
  <c r="K219" i="191"/>
  <c r="K238" i="191"/>
  <c r="R239" i="191"/>
  <c r="R47" i="191"/>
  <c r="L220" i="191"/>
  <c r="N220" i="191"/>
  <c r="N219" i="191" s="1"/>
  <c r="L297" i="191"/>
  <c r="E220" i="191"/>
  <c r="F220" i="191"/>
  <c r="F219" i="191" s="1"/>
  <c r="R170" i="191"/>
  <c r="K169" i="191"/>
  <c r="O113" i="191"/>
  <c r="O112" i="191" s="1"/>
  <c r="F190" i="191"/>
  <c r="F189" i="191" s="1"/>
  <c r="O324" i="191"/>
  <c r="O323" i="191" s="1"/>
  <c r="L323" i="191"/>
  <c r="R156" i="191"/>
  <c r="L169" i="191"/>
  <c r="R319" i="191"/>
  <c r="K113" i="191"/>
  <c r="F298" i="191"/>
  <c r="F297" i="191" s="1"/>
  <c r="G324" i="191"/>
  <c r="G323" i="191" s="1"/>
  <c r="O345" i="191"/>
  <c r="L113" i="191"/>
  <c r="E324" i="191"/>
  <c r="G345" i="191"/>
  <c r="G344" i="191" s="1"/>
  <c r="J369" i="191"/>
  <c r="F239" i="191"/>
  <c r="F238" i="191" s="1"/>
  <c r="E239" i="191"/>
  <c r="O290" i="191"/>
  <c r="O289" i="191" s="1"/>
  <c r="H345" i="191"/>
  <c r="H344" i="191" s="1"/>
  <c r="L267" i="191"/>
  <c r="E268" i="191"/>
  <c r="L290" i="191"/>
  <c r="K344" i="191"/>
  <c r="R345" i="191"/>
  <c r="R278" i="191"/>
  <c r="R298" i="191"/>
  <c r="K297" i="191"/>
  <c r="L310" i="191"/>
  <c r="R324" i="191"/>
  <c r="K323" i="191"/>
  <c r="I336" i="191"/>
  <c r="I335" i="191" s="1"/>
  <c r="L190" i="191"/>
  <c r="R322" i="191"/>
  <c r="L344" i="191"/>
  <c r="R280" i="191"/>
  <c r="O336" i="191"/>
  <c r="O335" i="191" s="1"/>
  <c r="R300" i="191"/>
  <c r="R326" i="191"/>
  <c r="E358" i="191"/>
  <c r="D29" i="170"/>
  <c r="E29" i="170" s="1"/>
  <c r="D60" i="170"/>
  <c r="O260" i="165"/>
  <c r="R258" i="165"/>
  <c r="J251" i="184"/>
  <c r="J247" i="184"/>
  <c r="J226" i="184"/>
  <c r="J235" i="184"/>
  <c r="J232" i="184"/>
  <c r="J237" i="184"/>
  <c r="J234" i="184"/>
  <c r="J239" i="184"/>
  <c r="J229" i="184"/>
  <c r="J207" i="184"/>
  <c r="J203" i="184"/>
  <c r="J201" i="184"/>
  <c r="J200" i="184"/>
  <c r="J198" i="184"/>
  <c r="J196" i="184"/>
  <c r="J193" i="184"/>
  <c r="K258" i="165"/>
  <c r="K252" i="165"/>
  <c r="K249" i="165"/>
  <c r="H249" i="165"/>
  <c r="F249" i="165"/>
  <c r="F248" i="165"/>
  <c r="K233" i="165"/>
  <c r="J184" i="184"/>
  <c r="J177" i="184"/>
  <c r="K226" i="165"/>
  <c r="F233" i="165"/>
  <c r="F229" i="165"/>
  <c r="F226" i="165"/>
  <c r="F205" i="165"/>
  <c r="G209" i="165"/>
  <c r="F209" i="165"/>
  <c r="H196" i="165"/>
  <c r="G196" i="165"/>
  <c r="F196" i="165"/>
  <c r="F200" i="165"/>
  <c r="F199" i="165"/>
  <c r="H195" i="165"/>
  <c r="F195" i="165"/>
  <c r="H193" i="165"/>
  <c r="G193" i="165"/>
  <c r="F193" i="165"/>
  <c r="J166" i="167"/>
  <c r="I166" i="167"/>
  <c r="H166" i="167"/>
  <c r="D22" i="188"/>
  <c r="P213" i="165"/>
  <c r="O213" i="165"/>
  <c r="N213" i="165"/>
  <c r="M213" i="165"/>
  <c r="L213" i="165"/>
  <c r="K213" i="165"/>
  <c r="J213" i="165"/>
  <c r="I213" i="165"/>
  <c r="H213" i="165"/>
  <c r="G213" i="165"/>
  <c r="F213" i="165"/>
  <c r="E213" i="165"/>
  <c r="O216" i="165"/>
  <c r="J216" i="165" s="1"/>
  <c r="J215" i="165" s="1"/>
  <c r="J214" i="165" s="1"/>
  <c r="E216" i="165"/>
  <c r="N215" i="165"/>
  <c r="N214" i="165" s="1"/>
  <c r="M215" i="165"/>
  <c r="M214" i="165" s="1"/>
  <c r="L215" i="165"/>
  <c r="L214" i="165" s="1"/>
  <c r="K215" i="165"/>
  <c r="I215" i="165"/>
  <c r="H215" i="165"/>
  <c r="H214" i="165" s="1"/>
  <c r="G215" i="165"/>
  <c r="G214" i="165" s="1"/>
  <c r="F215" i="165"/>
  <c r="F214" i="165" s="1"/>
  <c r="E215" i="165"/>
  <c r="E214" i="165" s="1"/>
  <c r="K214" i="165"/>
  <c r="I214" i="165"/>
  <c r="J168" i="184"/>
  <c r="J167" i="184"/>
  <c r="K167" i="184" s="1"/>
  <c r="J162" i="184"/>
  <c r="K204" i="165"/>
  <c r="O204" i="165" s="1"/>
  <c r="H204" i="165"/>
  <c r="F204" i="165"/>
  <c r="L204" i="165"/>
  <c r="J157" i="184"/>
  <c r="J156" i="184"/>
  <c r="K185" i="165"/>
  <c r="F184" i="165"/>
  <c r="H179" i="165"/>
  <c r="F179" i="165"/>
  <c r="H176" i="165"/>
  <c r="F176" i="165"/>
  <c r="H177" i="165"/>
  <c r="F177" i="165"/>
  <c r="H172" i="165"/>
  <c r="F172" i="165"/>
  <c r="H175" i="165"/>
  <c r="F175" i="165"/>
  <c r="E82" i="188"/>
  <c r="E81" i="188"/>
  <c r="F121" i="165"/>
  <c r="J120" i="184"/>
  <c r="K120" i="165"/>
  <c r="F156" i="165"/>
  <c r="D37" i="188"/>
  <c r="J324" i="191" l="1"/>
  <c r="J323" i="191" s="1"/>
  <c r="L189" i="191"/>
  <c r="L356" i="191"/>
  <c r="L368" i="191" s="1"/>
  <c r="E267" i="191"/>
  <c r="O344" i="191"/>
  <c r="J345" i="191"/>
  <c r="J344" i="191" s="1"/>
  <c r="E238" i="191"/>
  <c r="Q358" i="191"/>
  <c r="L219" i="191"/>
  <c r="E336" i="191"/>
  <c r="E190" i="191"/>
  <c r="M356" i="191"/>
  <c r="M368" i="191" s="1"/>
  <c r="M16" i="191"/>
  <c r="O220" i="191"/>
  <c r="O219" i="191" s="1"/>
  <c r="O239" i="191"/>
  <c r="E298" i="191"/>
  <c r="O170" i="191"/>
  <c r="L41" i="191"/>
  <c r="K112" i="191"/>
  <c r="L112" i="191"/>
  <c r="J113" i="191"/>
  <c r="J112" i="191" s="1"/>
  <c r="O298" i="191"/>
  <c r="E323" i="191"/>
  <c r="P324" i="191"/>
  <c r="G356" i="191"/>
  <c r="G368" i="191" s="1"/>
  <c r="J336" i="191"/>
  <c r="J335" i="191" s="1"/>
  <c r="L289" i="191"/>
  <c r="J290" i="191"/>
  <c r="E219" i="191"/>
  <c r="I356" i="191"/>
  <c r="I368" i="191" s="1"/>
  <c r="I16" i="191"/>
  <c r="G166" i="167"/>
  <c r="O215" i="165"/>
  <c r="O214" i="165" s="1"/>
  <c r="P216" i="165"/>
  <c r="P215" i="165" s="1"/>
  <c r="P214" i="165" s="1"/>
  <c r="K156" i="165"/>
  <c r="R156" i="165" s="1"/>
  <c r="G155" i="165"/>
  <c r="H130" i="165"/>
  <c r="F130" i="165"/>
  <c r="H129" i="165"/>
  <c r="F129" i="165"/>
  <c r="H347" i="165"/>
  <c r="G347" i="165"/>
  <c r="F347" i="165"/>
  <c r="H338" i="165"/>
  <c r="F338" i="165"/>
  <c r="H326" i="165"/>
  <c r="G326" i="165"/>
  <c r="F326" i="165"/>
  <c r="J234" i="167"/>
  <c r="H234" i="167"/>
  <c r="O309" i="165"/>
  <c r="J309" i="165" s="1"/>
  <c r="I234" i="167" s="1"/>
  <c r="E309" i="165"/>
  <c r="H300" i="165"/>
  <c r="G300" i="165"/>
  <c r="F300" i="165"/>
  <c r="J299" i="184"/>
  <c r="K296" i="165"/>
  <c r="I225" i="167"/>
  <c r="J297" i="184"/>
  <c r="K292" i="165"/>
  <c r="H292" i="165"/>
  <c r="G292" i="165"/>
  <c r="H270" i="165"/>
  <c r="G270" i="165"/>
  <c r="F270" i="165"/>
  <c r="H265" i="165"/>
  <c r="G265" i="165"/>
  <c r="F265" i="165"/>
  <c r="H241" i="165"/>
  <c r="G241" i="165"/>
  <c r="F241" i="165"/>
  <c r="H222" i="165"/>
  <c r="G222" i="165"/>
  <c r="F222" i="165"/>
  <c r="I102" i="167"/>
  <c r="J118" i="184"/>
  <c r="K115" i="165"/>
  <c r="H115" i="165"/>
  <c r="G115" i="165"/>
  <c r="F115" i="165"/>
  <c r="E189" i="191" l="1"/>
  <c r="E335" i="191"/>
  <c r="P336" i="191"/>
  <c r="J220" i="191"/>
  <c r="O169" i="191"/>
  <c r="J170" i="191"/>
  <c r="J169" i="191" s="1"/>
  <c r="Q324" i="191"/>
  <c r="P323" i="191"/>
  <c r="E89" i="191"/>
  <c r="O297" i="191"/>
  <c r="J298" i="191"/>
  <c r="J297" i="191" s="1"/>
  <c r="O238" i="191"/>
  <c r="J239" i="191"/>
  <c r="J289" i="191"/>
  <c r="E42" i="191"/>
  <c r="E297" i="191"/>
  <c r="G234" i="167"/>
  <c r="P309" i="165"/>
  <c r="P335" i="191" l="1"/>
  <c r="Q336" i="191"/>
  <c r="P298" i="191"/>
  <c r="E88" i="191"/>
  <c r="J238" i="191"/>
  <c r="P239" i="191"/>
  <c r="J219" i="191"/>
  <c r="P220" i="191"/>
  <c r="E41" i="191"/>
  <c r="P219" i="191" l="1"/>
  <c r="Q220" i="191"/>
  <c r="P238" i="191"/>
  <c r="Q239" i="191"/>
  <c r="P297" i="191"/>
  <c r="Q298" i="191"/>
  <c r="R91" i="165" l="1"/>
  <c r="G91" i="165"/>
  <c r="F91" i="165"/>
  <c r="R103" i="165"/>
  <c r="J110" i="184"/>
  <c r="J114" i="184"/>
  <c r="J104" i="184"/>
  <c r="H57" i="167"/>
  <c r="F104" i="165"/>
  <c r="F95" i="165"/>
  <c r="F97" i="165"/>
  <c r="F99" i="165"/>
  <c r="F94" i="165"/>
  <c r="F96" i="165"/>
  <c r="F93" i="165"/>
  <c r="G18" i="167"/>
  <c r="H21" i="167"/>
  <c r="G20" i="165"/>
  <c r="F20" i="165"/>
  <c r="H19" i="165"/>
  <c r="F19" i="165"/>
  <c r="G19" i="165"/>
  <c r="F47" i="165"/>
  <c r="F46" i="165"/>
  <c r="D86" i="170"/>
  <c r="J92" i="184"/>
  <c r="K87" i="165"/>
  <c r="I52" i="184"/>
  <c r="J87" i="184"/>
  <c r="K73" i="165"/>
  <c r="G73" i="165"/>
  <c r="F73" i="165"/>
  <c r="J72" i="167"/>
  <c r="N83" i="165"/>
  <c r="M83" i="165"/>
  <c r="L83" i="165"/>
  <c r="K83" i="165"/>
  <c r="I83" i="165"/>
  <c r="H83" i="165"/>
  <c r="G83" i="165"/>
  <c r="F84" i="165"/>
  <c r="E84" i="165" s="1"/>
  <c r="E83" i="165" s="1"/>
  <c r="O84" i="165"/>
  <c r="J84" i="165" s="1"/>
  <c r="I72" i="167" s="1"/>
  <c r="F59" i="165"/>
  <c r="L56" i="165"/>
  <c r="F44" i="165"/>
  <c r="H48" i="167"/>
  <c r="J71" i="167"/>
  <c r="R82" i="165"/>
  <c r="F81" i="165"/>
  <c r="F80" i="165" s="1"/>
  <c r="G81" i="165"/>
  <c r="G80" i="165" s="1"/>
  <c r="G79" i="165" s="1"/>
  <c r="H81" i="165"/>
  <c r="H80" i="165" s="1"/>
  <c r="H79" i="165" s="1"/>
  <c r="I81" i="165"/>
  <c r="I80" i="165" s="1"/>
  <c r="K81" i="165"/>
  <c r="K80" i="165" s="1"/>
  <c r="L81" i="165"/>
  <c r="L80" i="165" s="1"/>
  <c r="M81" i="165"/>
  <c r="M80" i="165" s="1"/>
  <c r="M79" i="165" s="1"/>
  <c r="N81" i="165"/>
  <c r="N80" i="165" s="1"/>
  <c r="N79" i="165" s="1"/>
  <c r="O82" i="165"/>
  <c r="J82" i="165" s="1"/>
  <c r="E82" i="165"/>
  <c r="H71" i="167" s="1"/>
  <c r="F56" i="165"/>
  <c r="J76" i="184"/>
  <c r="K56" i="165"/>
  <c r="O56" i="165" s="1"/>
  <c r="J75" i="184"/>
  <c r="J74" i="184"/>
  <c r="K54" i="165"/>
  <c r="K47" i="165"/>
  <c r="J63" i="184"/>
  <c r="J54" i="184"/>
  <c r="J59" i="184"/>
  <c r="J48" i="184"/>
  <c r="J40" i="184"/>
  <c r="J32" i="184"/>
  <c r="K33" i="184"/>
  <c r="I33" i="184"/>
  <c r="P82" i="165" l="1"/>
  <c r="P81" i="165" s="1"/>
  <c r="P80" i="165" s="1"/>
  <c r="J83" i="165"/>
  <c r="H72" i="167"/>
  <c r="G72" i="167" s="1"/>
  <c r="E81" i="165"/>
  <c r="E80" i="165" s="1"/>
  <c r="E79" i="165" s="1"/>
  <c r="L79" i="165"/>
  <c r="F83" i="165"/>
  <c r="F79" i="165" s="1"/>
  <c r="K79" i="165"/>
  <c r="O83" i="165"/>
  <c r="I79" i="165"/>
  <c r="P84" i="165"/>
  <c r="P83" i="165" s="1"/>
  <c r="I71" i="167"/>
  <c r="G71" i="167" s="1"/>
  <c r="J81" i="165"/>
  <c r="J80" i="165" s="1"/>
  <c r="J79" i="165" s="1"/>
  <c r="O81" i="165"/>
  <c r="O80" i="165" s="1"/>
  <c r="O79" i="165" s="1"/>
  <c r="P79" i="165" l="1"/>
  <c r="O46" i="165"/>
  <c r="O46" i="191" s="1"/>
  <c r="H46" i="165"/>
  <c r="G46" i="165"/>
  <c r="F54" i="165"/>
  <c r="H48" i="165"/>
  <c r="G48" i="165"/>
  <c r="F48" i="165"/>
  <c r="H59" i="165"/>
  <c r="N56" i="165"/>
  <c r="H56" i="165"/>
  <c r="H47" i="165"/>
  <c r="L46" i="165"/>
  <c r="N46" i="165"/>
  <c r="M44" i="165"/>
  <c r="M46" i="165"/>
  <c r="N44" i="165"/>
  <c r="L44" i="165"/>
  <c r="H44" i="165"/>
  <c r="G64" i="165"/>
  <c r="F64" i="165"/>
  <c r="G62" i="165"/>
  <c r="F62" i="165"/>
  <c r="G59" i="165"/>
  <c r="F93" i="188"/>
  <c r="E93" i="188"/>
  <c r="E92" i="188"/>
  <c r="F92" i="188"/>
  <c r="F89" i="188"/>
  <c r="E89" i="188"/>
  <c r="D62" i="188"/>
  <c r="D61" i="188"/>
  <c r="D45" i="188"/>
  <c r="D44" i="188"/>
  <c r="M56" i="165"/>
  <c r="G56" i="165"/>
  <c r="G54" i="165"/>
  <c r="G47" i="165"/>
  <c r="G44" i="165"/>
  <c r="G358" i="165"/>
  <c r="M358" i="165"/>
  <c r="F122" i="188"/>
  <c r="E122" i="188"/>
  <c r="D122" i="188"/>
  <c r="C128" i="188"/>
  <c r="C127" i="188"/>
  <c r="D117" i="188"/>
  <c r="F123" i="188"/>
  <c r="E123" i="188"/>
  <c r="D69" i="188"/>
  <c r="D64" i="188" s="1"/>
  <c r="D65" i="188"/>
  <c r="D46" i="188"/>
  <c r="D32" i="188"/>
  <c r="D25" i="188"/>
  <c r="E95" i="188"/>
  <c r="D48" i="188"/>
  <c r="D47" i="188"/>
  <c r="D59" i="188"/>
  <c r="D70" i="188"/>
  <c r="D67" i="188"/>
  <c r="D30" i="188"/>
  <c r="D40" i="188"/>
  <c r="D38" i="188"/>
  <c r="D60" i="188" l="1"/>
  <c r="D56" i="188" s="1"/>
  <c r="C56" i="188" s="1"/>
  <c r="D55" i="188" l="1"/>
  <c r="J359" i="190"/>
  <c r="P348" i="190"/>
  <c r="O348" i="190"/>
  <c r="N348" i="190"/>
  <c r="M348" i="190"/>
  <c r="L348" i="190"/>
  <c r="K348" i="190"/>
  <c r="J348" i="190"/>
  <c r="H348" i="190"/>
  <c r="G348" i="190"/>
  <c r="F348" i="190"/>
  <c r="O345" i="190"/>
  <c r="J345" i="190" s="1"/>
  <c r="E345" i="190"/>
  <c r="O344" i="190"/>
  <c r="O343" i="190" s="1"/>
  <c r="N344" i="190"/>
  <c r="N343" i="190" s="1"/>
  <c r="M344" i="190"/>
  <c r="M343" i="190" s="1"/>
  <c r="L344" i="190"/>
  <c r="L343" i="190" s="1"/>
  <c r="K344" i="190"/>
  <c r="I344" i="190"/>
  <c r="H344" i="190"/>
  <c r="G344" i="190"/>
  <c r="G343" i="190" s="1"/>
  <c r="F344" i="190"/>
  <c r="F343" i="190" s="1"/>
  <c r="E344" i="190"/>
  <c r="E343" i="190" s="1"/>
  <c r="K343" i="190"/>
  <c r="I343" i="190"/>
  <c r="H343" i="190"/>
  <c r="O342" i="190"/>
  <c r="O341" i="190" s="1"/>
  <c r="O339" i="190" s="1"/>
  <c r="F342" i="190"/>
  <c r="N341" i="190"/>
  <c r="M341" i="190"/>
  <c r="M339" i="190" s="1"/>
  <c r="M335" i="190" s="1"/>
  <c r="M334" i="190" s="1"/>
  <c r="L341" i="190"/>
  <c r="L339" i="190" s="1"/>
  <c r="K341" i="190"/>
  <c r="I341" i="190"/>
  <c r="I339" i="190" s="1"/>
  <c r="I335" i="190" s="1"/>
  <c r="I334" i="190" s="1"/>
  <c r="H341" i="190"/>
  <c r="H339" i="190" s="1"/>
  <c r="G341" i="190"/>
  <c r="O340" i="190"/>
  <c r="J340" i="190"/>
  <c r="F340" i="190"/>
  <c r="E340" i="190" s="1"/>
  <c r="N339" i="190"/>
  <c r="N335" i="190" s="1"/>
  <c r="K339" i="190"/>
  <c r="G339" i="190"/>
  <c r="O338" i="190"/>
  <c r="E338" i="190"/>
  <c r="S337" i="190"/>
  <c r="Q337" i="190"/>
  <c r="O337" i="190"/>
  <c r="J337" i="190" s="1"/>
  <c r="H337" i="190"/>
  <c r="H336" i="190" s="1"/>
  <c r="H335" i="190" s="1"/>
  <c r="H334" i="190" s="1"/>
  <c r="G337" i="190"/>
  <c r="G336" i="190" s="1"/>
  <c r="F337" i="190"/>
  <c r="E337" i="190"/>
  <c r="N336" i="190"/>
  <c r="M336" i="190"/>
  <c r="L336" i="190"/>
  <c r="L335" i="190" s="1"/>
  <c r="L334" i="190" s="1"/>
  <c r="K336" i="190"/>
  <c r="I336" i="190"/>
  <c r="F336" i="190"/>
  <c r="E336" i="190"/>
  <c r="N334" i="190"/>
  <c r="R333" i="190"/>
  <c r="O333" i="190"/>
  <c r="J333" i="190"/>
  <c r="E333" i="190"/>
  <c r="E332" i="190" s="1"/>
  <c r="O332" i="190"/>
  <c r="N332" i="190"/>
  <c r="M332" i="190"/>
  <c r="L332" i="190"/>
  <c r="K332" i="190"/>
  <c r="J332" i="190"/>
  <c r="I332" i="190"/>
  <c r="H332" i="190"/>
  <c r="G332" i="190"/>
  <c r="F332" i="190"/>
  <c r="R331" i="190"/>
  <c r="J331" i="190"/>
  <c r="P331" i="190" s="1"/>
  <c r="P330" i="190" s="1"/>
  <c r="E331" i="190"/>
  <c r="E330" i="190" s="1"/>
  <c r="O330" i="190"/>
  <c r="O329" i="190" s="1"/>
  <c r="N330" i="190"/>
  <c r="N329" i="190" s="1"/>
  <c r="M330" i="190"/>
  <c r="L330" i="190"/>
  <c r="K330" i="190"/>
  <c r="J330" i="190"/>
  <c r="I330" i="190"/>
  <c r="I329" i="190" s="1"/>
  <c r="I326" i="190" s="1"/>
  <c r="I325" i="190" s="1"/>
  <c r="H330" i="190"/>
  <c r="G330" i="190"/>
  <c r="G329" i="190" s="1"/>
  <c r="F330" i="190"/>
  <c r="F329" i="190" s="1"/>
  <c r="M329" i="190"/>
  <c r="L329" i="190"/>
  <c r="K329" i="190"/>
  <c r="J329" i="190"/>
  <c r="H329" i="190"/>
  <c r="R328" i="190"/>
  <c r="P328" i="190"/>
  <c r="P327" i="190" s="1"/>
  <c r="O328" i="190"/>
  <c r="J328" i="190" s="1"/>
  <c r="J327" i="190" s="1"/>
  <c r="H328" i="190"/>
  <c r="G328" i="190"/>
  <c r="F328" i="190"/>
  <c r="E328" i="190" s="1"/>
  <c r="E327" i="190" s="1"/>
  <c r="O327" i="190"/>
  <c r="O326" i="190" s="1"/>
  <c r="O325" i="190" s="1"/>
  <c r="N327" i="190"/>
  <c r="N326" i="190" s="1"/>
  <c r="N325" i="190" s="1"/>
  <c r="M327" i="190"/>
  <c r="L327" i="190"/>
  <c r="K327" i="190"/>
  <c r="K326" i="190" s="1"/>
  <c r="I327" i="190"/>
  <c r="H327" i="190"/>
  <c r="G327" i="190"/>
  <c r="F327" i="190"/>
  <c r="F326" i="190" s="1"/>
  <c r="F325" i="190" s="1"/>
  <c r="M326" i="190"/>
  <c r="M325" i="190" s="1"/>
  <c r="L326" i="190"/>
  <c r="H326" i="190"/>
  <c r="H325" i="190"/>
  <c r="O324" i="190"/>
  <c r="L324" i="190"/>
  <c r="J324" i="190" s="1"/>
  <c r="O323" i="190"/>
  <c r="L323" i="190"/>
  <c r="J323" i="190" s="1"/>
  <c r="Q323" i="190" s="1"/>
  <c r="E323" i="190"/>
  <c r="P323" i="190" s="1"/>
  <c r="Q322" i="190"/>
  <c r="P322" i="190"/>
  <c r="O322" i="190"/>
  <c r="L322" i="190"/>
  <c r="J322" i="190"/>
  <c r="E322" i="190"/>
  <c r="E320" i="190" s="1"/>
  <c r="E319" i="190" s="1"/>
  <c r="E318" i="190" s="1"/>
  <c r="O321" i="190"/>
  <c r="O320" i="190" s="1"/>
  <c r="O319" i="190" s="1"/>
  <c r="O318" i="190" s="1"/>
  <c r="L321" i="190"/>
  <c r="J321" i="190" s="1"/>
  <c r="E321" i="190"/>
  <c r="N320" i="190"/>
  <c r="N319" i="190" s="1"/>
  <c r="N318" i="190" s="1"/>
  <c r="N314" i="190" s="1"/>
  <c r="M320" i="190"/>
  <c r="M319" i="190" s="1"/>
  <c r="M318" i="190" s="1"/>
  <c r="M314" i="190" s="1"/>
  <c r="M313" i="190" s="1"/>
  <c r="L320" i="190"/>
  <c r="K320" i="190"/>
  <c r="I320" i="190"/>
  <c r="H320" i="190"/>
  <c r="G320" i="190"/>
  <c r="F320" i="190"/>
  <c r="F319" i="190" s="1"/>
  <c r="F318" i="190" s="1"/>
  <c r="F314" i="190" s="1"/>
  <c r="K319" i="190"/>
  <c r="I319" i="190"/>
  <c r="I318" i="190" s="1"/>
  <c r="I314" i="190" s="1"/>
  <c r="I313" i="190" s="1"/>
  <c r="H319" i="190"/>
  <c r="H318" i="190" s="1"/>
  <c r="G319" i="190"/>
  <c r="K318" i="190"/>
  <c r="G318" i="190"/>
  <c r="P317" i="190"/>
  <c r="O317" i="190"/>
  <c r="J317" i="190" s="1"/>
  <c r="E317" i="190"/>
  <c r="O316" i="190"/>
  <c r="K316" i="190"/>
  <c r="J316" i="190"/>
  <c r="J315" i="190" s="1"/>
  <c r="H316" i="190"/>
  <c r="H315" i="190" s="1"/>
  <c r="F316" i="190"/>
  <c r="E316" i="190" s="1"/>
  <c r="O315" i="190"/>
  <c r="N315" i="190"/>
  <c r="M315" i="190"/>
  <c r="L315" i="190"/>
  <c r="K315" i="190"/>
  <c r="K314" i="190" s="1"/>
  <c r="K313" i="190" s="1"/>
  <c r="I315" i="190"/>
  <c r="G315" i="190"/>
  <c r="G314" i="190" s="1"/>
  <c r="G313" i="190" s="1"/>
  <c r="F315" i="190"/>
  <c r="N313" i="190"/>
  <c r="F313" i="190"/>
  <c r="K312" i="190"/>
  <c r="F312" i="190"/>
  <c r="E312" i="190"/>
  <c r="N311" i="190"/>
  <c r="M311" i="190"/>
  <c r="L311" i="190"/>
  <c r="L310" i="190" s="1"/>
  <c r="I311" i="190"/>
  <c r="I310" i="190" s="1"/>
  <c r="H311" i="190"/>
  <c r="G311" i="190"/>
  <c r="F311" i="190"/>
  <c r="N310" i="190"/>
  <c r="M310" i="190"/>
  <c r="H310" i="190"/>
  <c r="G310" i="190"/>
  <c r="F310" i="190"/>
  <c r="K309" i="190"/>
  <c r="O309" i="190" s="1"/>
  <c r="F309" i="190"/>
  <c r="F308" i="190" s="1"/>
  <c r="N308" i="190"/>
  <c r="M308" i="190"/>
  <c r="L308" i="190"/>
  <c r="L305" i="190" s="1"/>
  <c r="L302" i="190" s="1"/>
  <c r="L301" i="190" s="1"/>
  <c r="K308" i="190"/>
  <c r="K305" i="190" s="1"/>
  <c r="K302" i="190" s="1"/>
  <c r="I308" i="190"/>
  <c r="H308" i="190"/>
  <c r="H305" i="190" s="1"/>
  <c r="H302" i="190" s="1"/>
  <c r="H301" i="190" s="1"/>
  <c r="H300" i="190" s="1"/>
  <c r="G308" i="190"/>
  <c r="G305" i="190" s="1"/>
  <c r="G302" i="190" s="1"/>
  <c r="G301" i="190" s="1"/>
  <c r="G300" i="190" s="1"/>
  <c r="O307" i="190"/>
  <c r="J307" i="190" s="1"/>
  <c r="F307" i="190"/>
  <c r="E307" i="190"/>
  <c r="P306" i="190"/>
  <c r="O306" i="190"/>
  <c r="J306" i="190"/>
  <c r="F306" i="190"/>
  <c r="E306" i="190"/>
  <c r="N305" i="190"/>
  <c r="N302" i="190" s="1"/>
  <c r="N301" i="190" s="1"/>
  <c r="N300" i="190" s="1"/>
  <c r="M305" i="190"/>
  <c r="I305" i="190"/>
  <c r="F305" i="190"/>
  <c r="F302" i="190" s="1"/>
  <c r="F301" i="190" s="1"/>
  <c r="F300" i="190" s="1"/>
  <c r="O304" i="190"/>
  <c r="O303" i="190" s="1"/>
  <c r="J304" i="190"/>
  <c r="E304" i="190"/>
  <c r="P304" i="190" s="1"/>
  <c r="P303" i="190" s="1"/>
  <c r="N303" i="190"/>
  <c r="M303" i="190"/>
  <c r="L303" i="190"/>
  <c r="K303" i="190"/>
  <c r="J303" i="190"/>
  <c r="I303" i="190"/>
  <c r="H303" i="190"/>
  <c r="G303" i="190"/>
  <c r="F303" i="190"/>
  <c r="E303" i="190"/>
  <c r="M302" i="190"/>
  <c r="I302" i="190"/>
  <c r="I301" i="190" s="1"/>
  <c r="I300" i="190" s="1"/>
  <c r="O299" i="190"/>
  <c r="J299" i="190" s="1"/>
  <c r="J298" i="190" s="1"/>
  <c r="F299" i="190"/>
  <c r="E299" i="190"/>
  <c r="N298" i="190"/>
  <c r="M298" i="190"/>
  <c r="M295" i="190" s="1"/>
  <c r="M294" i="190" s="1"/>
  <c r="L298" i="190"/>
  <c r="K298" i="190"/>
  <c r="I298" i="190"/>
  <c r="H298" i="190"/>
  <c r="G298" i="190"/>
  <c r="F298" i="190"/>
  <c r="E298" i="190"/>
  <c r="E295" i="190" s="1"/>
  <c r="E294" i="190" s="1"/>
  <c r="O297" i="190"/>
  <c r="J297" i="190" s="1"/>
  <c r="E297" i="190"/>
  <c r="O296" i="190"/>
  <c r="N296" i="190"/>
  <c r="M296" i="190"/>
  <c r="L296" i="190"/>
  <c r="K296" i="190"/>
  <c r="I296" i="190"/>
  <c r="H296" i="190"/>
  <c r="H295" i="190" s="1"/>
  <c r="H294" i="190" s="1"/>
  <c r="H289" i="190" s="1"/>
  <c r="H288" i="190" s="1"/>
  <c r="G296" i="190"/>
  <c r="F296" i="190"/>
  <c r="E296" i="190"/>
  <c r="N295" i="190"/>
  <c r="L295" i="190"/>
  <c r="K295" i="190"/>
  <c r="I295" i="190"/>
  <c r="I294" i="190" s="1"/>
  <c r="G295" i="190"/>
  <c r="G294" i="190" s="1"/>
  <c r="F295" i="190"/>
  <c r="N294" i="190"/>
  <c r="L294" i="190"/>
  <c r="L289" i="190" s="1"/>
  <c r="K294" i="190"/>
  <c r="F294" i="190"/>
  <c r="O293" i="190"/>
  <c r="J293" i="190" s="1"/>
  <c r="F293" i="190"/>
  <c r="E293" i="190"/>
  <c r="P293" i="190" s="1"/>
  <c r="O292" i="190"/>
  <c r="J292" i="190"/>
  <c r="E292" i="190"/>
  <c r="E290" i="190" s="1"/>
  <c r="E289" i="190" s="1"/>
  <c r="K291" i="190"/>
  <c r="H291" i="190"/>
  <c r="F291" i="190"/>
  <c r="F290" i="190" s="1"/>
  <c r="F289" i="190" s="1"/>
  <c r="F288" i="190" s="1"/>
  <c r="E291" i="190"/>
  <c r="N290" i="190"/>
  <c r="N289" i="190" s="1"/>
  <c r="N288" i="190" s="1"/>
  <c r="M290" i="190"/>
  <c r="L290" i="190"/>
  <c r="I290" i="190"/>
  <c r="H290" i="190"/>
  <c r="G290" i="190"/>
  <c r="G289" i="190"/>
  <c r="G288" i="190"/>
  <c r="P287" i="190"/>
  <c r="P286" i="190" s="1"/>
  <c r="P285" i="190" s="1"/>
  <c r="O287" i="190"/>
  <c r="O286" i="190" s="1"/>
  <c r="O285" i="190" s="1"/>
  <c r="J287" i="190"/>
  <c r="E287" i="190"/>
  <c r="N286" i="190"/>
  <c r="M286" i="190"/>
  <c r="M285" i="190" s="1"/>
  <c r="L286" i="190"/>
  <c r="L285" i="190" s="1"/>
  <c r="K286" i="190"/>
  <c r="J286" i="190"/>
  <c r="J285" i="190" s="1"/>
  <c r="I286" i="190"/>
  <c r="H286" i="190"/>
  <c r="H285" i="190" s="1"/>
  <c r="G286" i="190"/>
  <c r="F286" i="190"/>
  <c r="E286" i="190"/>
  <c r="E285" i="190" s="1"/>
  <c r="N285" i="190"/>
  <c r="K285" i="190"/>
  <c r="I285" i="190"/>
  <c r="G285" i="190"/>
  <c r="F285" i="190"/>
  <c r="P284" i="190"/>
  <c r="O284" i="190"/>
  <c r="J284" i="190"/>
  <c r="E284" i="190"/>
  <c r="R283" i="190"/>
  <c r="K283" i="190"/>
  <c r="O283" i="190" s="1"/>
  <c r="O282" i="190" s="1"/>
  <c r="J283" i="190"/>
  <c r="J282" i="190" s="1"/>
  <c r="H283" i="190"/>
  <c r="F283" i="190"/>
  <c r="E283" i="190"/>
  <c r="N282" i="190"/>
  <c r="M282" i="190"/>
  <c r="L282" i="190"/>
  <c r="I282" i="190"/>
  <c r="H282" i="190"/>
  <c r="H281" i="190" s="1"/>
  <c r="H280" i="190" s="1"/>
  <c r="G282" i="190"/>
  <c r="F282" i="190"/>
  <c r="O281" i="190"/>
  <c r="O280" i="190" s="1"/>
  <c r="N281" i="190"/>
  <c r="G281" i="190"/>
  <c r="G280" i="190" s="1"/>
  <c r="F281" i="190"/>
  <c r="F280" i="190" s="1"/>
  <c r="N280" i="190"/>
  <c r="O278" i="190"/>
  <c r="O277" i="190" s="1"/>
  <c r="O276" i="190" s="1"/>
  <c r="E278" i="190"/>
  <c r="N277" i="190"/>
  <c r="N276" i="190" s="1"/>
  <c r="M277" i="190"/>
  <c r="L277" i="190"/>
  <c r="K277" i="190"/>
  <c r="K276" i="190" s="1"/>
  <c r="I277" i="190"/>
  <c r="H277" i="190"/>
  <c r="G277" i="190"/>
  <c r="F277" i="190"/>
  <c r="F276" i="190" s="1"/>
  <c r="E277" i="190"/>
  <c r="M276" i="190"/>
  <c r="L276" i="190"/>
  <c r="I276" i="190"/>
  <c r="H276" i="190"/>
  <c r="G276" i="190"/>
  <c r="E276" i="190"/>
  <c r="O275" i="190"/>
  <c r="J275" i="190" s="1"/>
  <c r="K275" i="190"/>
  <c r="E275" i="190"/>
  <c r="K274" i="190"/>
  <c r="O274" i="190" s="1"/>
  <c r="J274" i="190" s="1"/>
  <c r="E274" i="190"/>
  <c r="O273" i="190"/>
  <c r="J273" i="190"/>
  <c r="E273" i="190"/>
  <c r="P273" i="190" s="1"/>
  <c r="R272" i="190"/>
  <c r="O272" i="190"/>
  <c r="J272" i="190" s="1"/>
  <c r="P272" i="190" s="1"/>
  <c r="E272" i="190"/>
  <c r="K271" i="190"/>
  <c r="O271" i="190" s="1"/>
  <c r="E271" i="190"/>
  <c r="N270" i="190"/>
  <c r="N268" i="190" s="1"/>
  <c r="N267" i="190" s="1"/>
  <c r="M270" i="190"/>
  <c r="M268" i="190" s="1"/>
  <c r="M267" i="190" s="1"/>
  <c r="L270" i="190"/>
  <c r="K270" i="190"/>
  <c r="I270" i="190"/>
  <c r="I268" i="190" s="1"/>
  <c r="I267" i="190" s="1"/>
  <c r="I259" i="190" s="1"/>
  <c r="I258" i="190" s="1"/>
  <c r="H270" i="190"/>
  <c r="G270" i="190"/>
  <c r="F270" i="190"/>
  <c r="E270" i="190"/>
  <c r="E268" i="190" s="1"/>
  <c r="E267" i="190" s="1"/>
  <c r="R269" i="190"/>
  <c r="O269" i="190"/>
  <c r="J269" i="190"/>
  <c r="P269" i="190" s="1"/>
  <c r="E269" i="190"/>
  <c r="L268" i="190"/>
  <c r="K268" i="190"/>
  <c r="H268" i="190"/>
  <c r="G268" i="190"/>
  <c r="G267" i="190" s="1"/>
  <c r="F268" i="190"/>
  <c r="F267" i="190" s="1"/>
  <c r="L267" i="190"/>
  <c r="K267" i="190"/>
  <c r="H267" i="190"/>
  <c r="O266" i="190"/>
  <c r="K266" i="190"/>
  <c r="E266" i="190"/>
  <c r="N265" i="190"/>
  <c r="N264" i="190" s="1"/>
  <c r="M265" i="190"/>
  <c r="M264" i="190" s="1"/>
  <c r="M259" i="190" s="1"/>
  <c r="L265" i="190"/>
  <c r="L264" i="190" s="1"/>
  <c r="L259" i="190" s="1"/>
  <c r="K265" i="190"/>
  <c r="I265" i="190"/>
  <c r="H265" i="190"/>
  <c r="G265" i="190"/>
  <c r="F265" i="190"/>
  <c r="F264" i="190" s="1"/>
  <c r="E265" i="190"/>
  <c r="E264" i="190" s="1"/>
  <c r="K264" i="190"/>
  <c r="I264" i="190"/>
  <c r="H264" i="190"/>
  <c r="G264" i="190"/>
  <c r="O263" i="190"/>
  <c r="J263" i="190"/>
  <c r="E263" i="190"/>
  <c r="P263" i="190" s="1"/>
  <c r="P262" i="190"/>
  <c r="O262" i="190"/>
  <c r="J262" i="190"/>
  <c r="E262" i="190"/>
  <c r="O261" i="190"/>
  <c r="J261" i="190"/>
  <c r="H261" i="190"/>
  <c r="H260" i="190" s="1"/>
  <c r="H259" i="190" s="1"/>
  <c r="H258" i="190" s="1"/>
  <c r="F261" i="190"/>
  <c r="E261" i="190" s="1"/>
  <c r="O260" i="190"/>
  <c r="N260" i="190"/>
  <c r="M260" i="190"/>
  <c r="L260" i="190"/>
  <c r="K260" i="190"/>
  <c r="J260" i="190"/>
  <c r="I260" i="190"/>
  <c r="G260" i="190"/>
  <c r="M258" i="190"/>
  <c r="P257" i="190"/>
  <c r="O257" i="190"/>
  <c r="J257" i="190"/>
  <c r="H257" i="190"/>
  <c r="G257" i="190"/>
  <c r="F257" i="190"/>
  <c r="E257" i="190"/>
  <c r="R256" i="190"/>
  <c r="P256" i="190"/>
  <c r="O256" i="190"/>
  <c r="J256" i="190"/>
  <c r="H256" i="190"/>
  <c r="G256" i="190"/>
  <c r="G254" i="190" s="1"/>
  <c r="G253" i="190" s="1"/>
  <c r="F256" i="190"/>
  <c r="E256" i="190"/>
  <c r="O255" i="190"/>
  <c r="E255" i="190"/>
  <c r="N254" i="190"/>
  <c r="M254" i="190"/>
  <c r="L254" i="190"/>
  <c r="L253" i="190" s="1"/>
  <c r="K254" i="190"/>
  <c r="I254" i="190"/>
  <c r="H254" i="190"/>
  <c r="F254" i="190"/>
  <c r="E254" i="190"/>
  <c r="N253" i="190"/>
  <c r="M253" i="190"/>
  <c r="K253" i="190"/>
  <c r="I253" i="190"/>
  <c r="H253" i="190"/>
  <c r="F253" i="190"/>
  <c r="E253" i="190"/>
  <c r="O251" i="190"/>
  <c r="J251" i="190" s="1"/>
  <c r="L251" i="190"/>
  <c r="N250" i="190"/>
  <c r="M250" i="190"/>
  <c r="L250" i="190"/>
  <c r="K250" i="190"/>
  <c r="I250" i="190"/>
  <c r="H250" i="190"/>
  <c r="H247" i="190" s="1"/>
  <c r="G250" i="190"/>
  <c r="F250" i="190"/>
  <c r="E250" i="190"/>
  <c r="P249" i="190"/>
  <c r="K249" i="190"/>
  <c r="O249" i="190" s="1"/>
  <c r="J249" i="190"/>
  <c r="E249" i="190"/>
  <c r="E247" i="190" s="1"/>
  <c r="O248" i="190"/>
  <c r="J248" i="190" s="1"/>
  <c r="K248" i="190"/>
  <c r="E248" i="190"/>
  <c r="N247" i="190"/>
  <c r="M247" i="190"/>
  <c r="L247" i="190"/>
  <c r="L241" i="190" s="1"/>
  <c r="L230" i="190" s="1"/>
  <c r="K247" i="190"/>
  <c r="I247" i="190"/>
  <c r="G247" i="190"/>
  <c r="F247" i="190"/>
  <c r="K246" i="190"/>
  <c r="O246" i="190" s="1"/>
  <c r="O245" i="190" s="1"/>
  <c r="J246" i="190"/>
  <c r="F246" i="190"/>
  <c r="E246" i="190" s="1"/>
  <c r="E245" i="190" s="1"/>
  <c r="E244" i="190" s="1"/>
  <c r="N245" i="190"/>
  <c r="N244" i="190" s="1"/>
  <c r="M245" i="190"/>
  <c r="L245" i="190"/>
  <c r="L244" i="190" s="1"/>
  <c r="K245" i="190"/>
  <c r="I245" i="190"/>
  <c r="H245" i="190"/>
  <c r="G245" i="190"/>
  <c r="F245" i="190"/>
  <c r="O244" i="190"/>
  <c r="M244" i="190"/>
  <c r="K244" i="190"/>
  <c r="I244" i="190"/>
  <c r="H244" i="190"/>
  <c r="G244" i="190"/>
  <c r="G241" i="190" s="1"/>
  <c r="F244" i="190"/>
  <c r="F241" i="190" s="1"/>
  <c r="O243" i="190"/>
  <c r="K243" i="190"/>
  <c r="E243" i="190"/>
  <c r="N242" i="190"/>
  <c r="M242" i="190"/>
  <c r="M241" i="190" s="1"/>
  <c r="L242" i="190"/>
  <c r="K242" i="190"/>
  <c r="I242" i="190"/>
  <c r="H242" i="190"/>
  <c r="H241" i="190" s="1"/>
  <c r="H230" i="190" s="1"/>
  <c r="H229" i="190" s="1"/>
  <c r="G242" i="190"/>
  <c r="F242" i="190"/>
  <c r="E242" i="190"/>
  <c r="E241" i="190" s="1"/>
  <c r="I241" i="190"/>
  <c r="K240" i="190"/>
  <c r="F240" i="190"/>
  <c r="E240" i="190"/>
  <c r="O239" i="190"/>
  <c r="J239" i="190" s="1"/>
  <c r="P239" i="190" s="1"/>
  <c r="F239" i="190"/>
  <c r="E239" i="190"/>
  <c r="P238" i="190"/>
  <c r="O238" i="190"/>
  <c r="J238" i="190"/>
  <c r="F238" i="190"/>
  <c r="E238" i="190"/>
  <c r="O237" i="190"/>
  <c r="J237" i="190"/>
  <c r="F237" i="190"/>
  <c r="E237" i="190" s="1"/>
  <c r="O236" i="190"/>
  <c r="N236" i="190"/>
  <c r="N235" i="190" s="1"/>
  <c r="M236" i="190"/>
  <c r="L236" i="190"/>
  <c r="K236" i="190"/>
  <c r="J236" i="190"/>
  <c r="I236" i="190"/>
  <c r="H236" i="190"/>
  <c r="G236" i="190"/>
  <c r="G235" i="190" s="1"/>
  <c r="F236" i="190"/>
  <c r="F235" i="190" s="1"/>
  <c r="M235" i="190"/>
  <c r="L235" i="190"/>
  <c r="I235" i="190"/>
  <c r="H235" i="190"/>
  <c r="O234" i="190"/>
  <c r="J234" i="190"/>
  <c r="P234" i="190" s="1"/>
  <c r="E234" i="190"/>
  <c r="O233" i="190"/>
  <c r="J233" i="190"/>
  <c r="P233" i="190" s="1"/>
  <c r="E233" i="190"/>
  <c r="R232" i="190"/>
  <c r="O232" i="190"/>
  <c r="H232" i="190"/>
  <c r="F232" i="190"/>
  <c r="E232" i="190"/>
  <c r="N231" i="190"/>
  <c r="M231" i="190"/>
  <c r="M230" i="190" s="1"/>
  <c r="M229" i="190" s="1"/>
  <c r="L231" i="190"/>
  <c r="K231" i="190"/>
  <c r="I231" i="190"/>
  <c r="I230" i="190" s="1"/>
  <c r="I229" i="190" s="1"/>
  <c r="H231" i="190"/>
  <c r="G231" i="190"/>
  <c r="F231" i="190"/>
  <c r="F230" i="190" s="1"/>
  <c r="F229" i="190" s="1"/>
  <c r="E231" i="190"/>
  <c r="O227" i="190"/>
  <c r="L227" i="190"/>
  <c r="E227" i="190"/>
  <c r="N226" i="190"/>
  <c r="M226" i="190"/>
  <c r="L226" i="190"/>
  <c r="L223" i="190" s="1"/>
  <c r="L222" i="190" s="1"/>
  <c r="L211" i="190" s="1"/>
  <c r="K226" i="190"/>
  <c r="I226" i="190"/>
  <c r="H226" i="190"/>
  <c r="H223" i="190" s="1"/>
  <c r="H222" i="190" s="1"/>
  <c r="G226" i="190"/>
  <c r="F226" i="190"/>
  <c r="K225" i="190"/>
  <c r="E225" i="190"/>
  <c r="R224" i="190"/>
  <c r="O224" i="190"/>
  <c r="K224" i="190"/>
  <c r="F224" i="190"/>
  <c r="F223" i="190" s="1"/>
  <c r="F222" i="190" s="1"/>
  <c r="N223" i="190"/>
  <c r="M223" i="190"/>
  <c r="I223" i="190"/>
  <c r="G223" i="190"/>
  <c r="N222" i="190"/>
  <c r="M222" i="190"/>
  <c r="I222" i="190"/>
  <c r="G222" i="190"/>
  <c r="O221" i="190"/>
  <c r="J221" i="190"/>
  <c r="E221" i="190"/>
  <c r="P221" i="190" s="1"/>
  <c r="O220" i="190"/>
  <c r="J220" i="190"/>
  <c r="P220" i="190" s="1"/>
  <c r="F220" i="190"/>
  <c r="E220" i="190" s="1"/>
  <c r="R219" i="190"/>
  <c r="O219" i="190"/>
  <c r="J219" i="190" s="1"/>
  <c r="P219" i="190" s="1"/>
  <c r="K219" i="190"/>
  <c r="E219" i="190"/>
  <c r="K218" i="190"/>
  <c r="O218" i="190" s="1"/>
  <c r="J218" i="190"/>
  <c r="P218" i="190" s="1"/>
  <c r="E218" i="190"/>
  <c r="R217" i="190"/>
  <c r="O217" i="190"/>
  <c r="K217" i="190"/>
  <c r="F217" i="190"/>
  <c r="E217" i="190"/>
  <c r="N216" i="190"/>
  <c r="N215" i="190" s="1"/>
  <c r="M216" i="190"/>
  <c r="L216" i="190"/>
  <c r="I216" i="190"/>
  <c r="H216" i="190"/>
  <c r="G216" i="190"/>
  <c r="F216" i="190"/>
  <c r="F215" i="190" s="1"/>
  <c r="E216" i="190"/>
  <c r="M215" i="190"/>
  <c r="L215" i="190"/>
  <c r="I215" i="190"/>
  <c r="H215" i="190"/>
  <c r="G215" i="190"/>
  <c r="E215" i="190"/>
  <c r="O214" i="190"/>
  <c r="J214" i="190"/>
  <c r="P214" i="190" s="1"/>
  <c r="E214" i="190"/>
  <c r="K213" i="190"/>
  <c r="H213" i="190"/>
  <c r="H212" i="190" s="1"/>
  <c r="F213" i="190"/>
  <c r="F212" i="190" s="1"/>
  <c r="N212" i="190"/>
  <c r="M212" i="190"/>
  <c r="L212" i="190"/>
  <c r="I212" i="190"/>
  <c r="G212" i="190"/>
  <c r="H211" i="190"/>
  <c r="H210" i="190" s="1"/>
  <c r="G211" i="190"/>
  <c r="G210" i="190" s="1"/>
  <c r="L210" i="190"/>
  <c r="K209" i="190"/>
  <c r="O209" i="190" s="1"/>
  <c r="E209" i="190"/>
  <c r="E208" i="190" s="1"/>
  <c r="E207" i="190" s="1"/>
  <c r="N208" i="190"/>
  <c r="N207" i="190" s="1"/>
  <c r="M208" i="190"/>
  <c r="L208" i="190"/>
  <c r="K208" i="190"/>
  <c r="I208" i="190"/>
  <c r="I207" i="190" s="1"/>
  <c r="H208" i="190"/>
  <c r="G208" i="190"/>
  <c r="F208" i="190"/>
  <c r="F207" i="190" s="1"/>
  <c r="M207" i="190"/>
  <c r="L207" i="190"/>
  <c r="K207" i="190"/>
  <c r="H207" i="190"/>
  <c r="G207" i="190"/>
  <c r="O206" i="190"/>
  <c r="J206" i="190"/>
  <c r="F206" i="190"/>
  <c r="E206" i="190" s="1"/>
  <c r="O205" i="190"/>
  <c r="N205" i="190"/>
  <c r="N204" i="190" s="1"/>
  <c r="M205" i="190"/>
  <c r="L205" i="190"/>
  <c r="K205" i="190"/>
  <c r="K204" i="190" s="1"/>
  <c r="J205" i="190"/>
  <c r="J204" i="190" s="1"/>
  <c r="I205" i="190"/>
  <c r="H205" i="190"/>
  <c r="G205" i="190"/>
  <c r="F205" i="190"/>
  <c r="O204" i="190"/>
  <c r="M204" i="190"/>
  <c r="L204" i="190"/>
  <c r="I204" i="190"/>
  <c r="H204" i="190"/>
  <c r="G204" i="190"/>
  <c r="F204" i="190"/>
  <c r="R203" i="190"/>
  <c r="O203" i="190"/>
  <c r="J203" i="190" s="1"/>
  <c r="K203" i="190"/>
  <c r="F203" i="190"/>
  <c r="E203" i="190" s="1"/>
  <c r="P203" i="190" s="1"/>
  <c r="O202" i="190"/>
  <c r="J202" i="190"/>
  <c r="F202" i="190"/>
  <c r="O201" i="190"/>
  <c r="J201" i="190" s="1"/>
  <c r="J200" i="190" s="1"/>
  <c r="F201" i="190"/>
  <c r="E201" i="190"/>
  <c r="O200" i="190"/>
  <c r="N200" i="190"/>
  <c r="M200" i="190"/>
  <c r="L200" i="190"/>
  <c r="K200" i="190"/>
  <c r="I200" i="190"/>
  <c r="H200" i="190"/>
  <c r="G200" i="190"/>
  <c r="R199" i="190"/>
  <c r="K199" i="190"/>
  <c r="O199" i="190" s="1"/>
  <c r="J199" i="190" s="1"/>
  <c r="F199" i="190"/>
  <c r="N198" i="190"/>
  <c r="M198" i="190"/>
  <c r="M197" i="190" s="1"/>
  <c r="L198" i="190"/>
  <c r="K198" i="190"/>
  <c r="H198" i="190"/>
  <c r="G198" i="190"/>
  <c r="G197" i="190" s="1"/>
  <c r="F198" i="190"/>
  <c r="E198" i="190" s="1"/>
  <c r="N197" i="190"/>
  <c r="I197" i="190"/>
  <c r="H197" i="190"/>
  <c r="O196" i="190"/>
  <c r="F196" i="190"/>
  <c r="E196" i="190"/>
  <c r="N195" i="190"/>
  <c r="M195" i="190"/>
  <c r="L195" i="190"/>
  <c r="K195" i="190"/>
  <c r="I195" i="190"/>
  <c r="H195" i="190"/>
  <c r="H191" i="190" s="1"/>
  <c r="G195" i="190"/>
  <c r="F195" i="190"/>
  <c r="E195" i="190"/>
  <c r="O194" i="190"/>
  <c r="F194" i="190"/>
  <c r="E194" i="190"/>
  <c r="O193" i="190"/>
  <c r="J193" i="190"/>
  <c r="F193" i="190"/>
  <c r="F192" i="190" s="1"/>
  <c r="E193" i="190"/>
  <c r="P193" i="190" s="1"/>
  <c r="N192" i="190"/>
  <c r="M192" i="190"/>
  <c r="M191" i="190" s="1"/>
  <c r="L192" i="190"/>
  <c r="K192" i="190"/>
  <c r="I192" i="190"/>
  <c r="I191" i="190" s="1"/>
  <c r="H192" i="190"/>
  <c r="G192" i="190"/>
  <c r="N191" i="190"/>
  <c r="N184" i="190" s="1"/>
  <c r="N183" i="190" s="1"/>
  <c r="O190" i="190"/>
  <c r="J190" i="190"/>
  <c r="H190" i="190"/>
  <c r="F190" i="190"/>
  <c r="E190" i="190"/>
  <c r="P190" i="190" s="1"/>
  <c r="N189" i="190"/>
  <c r="L189" i="190"/>
  <c r="K189" i="190"/>
  <c r="H189" i="190"/>
  <c r="H188" i="190" s="1"/>
  <c r="H185" i="190" s="1"/>
  <c r="H184" i="190" s="1"/>
  <c r="H183" i="190" s="1"/>
  <c r="F189" i="190"/>
  <c r="N188" i="190"/>
  <c r="N185" i="190" s="1"/>
  <c r="M188" i="190"/>
  <c r="M185" i="190" s="1"/>
  <c r="M184" i="190" s="1"/>
  <c r="M183" i="190" s="1"/>
  <c r="I188" i="190"/>
  <c r="I185" i="190" s="1"/>
  <c r="G188" i="190"/>
  <c r="O187" i="190"/>
  <c r="J187" i="190"/>
  <c r="H187" i="190"/>
  <c r="H186" i="190" s="1"/>
  <c r="F187" i="190"/>
  <c r="E187" i="190"/>
  <c r="O186" i="190"/>
  <c r="N186" i="190"/>
  <c r="M186" i="190"/>
  <c r="L186" i="190"/>
  <c r="K186" i="190"/>
  <c r="I186" i="190"/>
  <c r="G186" i="190"/>
  <c r="G185" i="190" s="1"/>
  <c r="F186" i="190"/>
  <c r="E186" i="190"/>
  <c r="O182" i="190"/>
  <c r="O181" i="190" s="1"/>
  <c r="O180" i="190" s="1"/>
  <c r="J182" i="190"/>
  <c r="J181" i="190" s="1"/>
  <c r="J180" i="190" s="1"/>
  <c r="E182" i="190"/>
  <c r="N181" i="190"/>
  <c r="M181" i="190"/>
  <c r="L181" i="190"/>
  <c r="K181" i="190"/>
  <c r="I181" i="190"/>
  <c r="H181" i="190"/>
  <c r="G181" i="190"/>
  <c r="F181" i="190"/>
  <c r="N180" i="190"/>
  <c r="M180" i="190"/>
  <c r="L180" i="190"/>
  <c r="K180" i="190"/>
  <c r="I180" i="190"/>
  <c r="H180" i="190"/>
  <c r="G180" i="190"/>
  <c r="F180" i="190"/>
  <c r="K179" i="190"/>
  <c r="E179" i="190"/>
  <c r="O178" i="190"/>
  <c r="J178" i="190" s="1"/>
  <c r="J177" i="190" s="1"/>
  <c r="E178" i="190"/>
  <c r="O177" i="190"/>
  <c r="N177" i="190"/>
  <c r="M177" i="190"/>
  <c r="L177" i="190"/>
  <c r="L176" i="190" s="1"/>
  <c r="K177" i="190"/>
  <c r="I177" i="190"/>
  <c r="H177" i="190"/>
  <c r="G177" i="190"/>
  <c r="G176" i="190" s="1"/>
  <c r="G175" i="190" s="1"/>
  <c r="F177" i="190"/>
  <c r="E177" i="190"/>
  <c r="N176" i="190"/>
  <c r="M176" i="190"/>
  <c r="K176" i="190"/>
  <c r="I176" i="190"/>
  <c r="H176" i="190"/>
  <c r="H175" i="190" s="1"/>
  <c r="F176" i="190"/>
  <c r="E176" i="190"/>
  <c r="N175" i="190"/>
  <c r="M175" i="190"/>
  <c r="L175" i="190"/>
  <c r="K175" i="190"/>
  <c r="I175" i="190"/>
  <c r="F175" i="190"/>
  <c r="E175" i="190"/>
  <c r="O174" i="190"/>
  <c r="J174" i="190" s="1"/>
  <c r="P174" i="190" s="1"/>
  <c r="F174" i="190"/>
  <c r="E174" i="190"/>
  <c r="R173" i="190"/>
  <c r="O173" i="190"/>
  <c r="L173" i="190"/>
  <c r="J173" i="190" s="1"/>
  <c r="J172" i="190" s="1"/>
  <c r="H173" i="190"/>
  <c r="F173" i="190"/>
  <c r="E173" i="190"/>
  <c r="N172" i="190"/>
  <c r="M172" i="190"/>
  <c r="L172" i="190"/>
  <c r="K172" i="190"/>
  <c r="I172" i="190"/>
  <c r="H172" i="190"/>
  <c r="H167" i="190" s="1"/>
  <c r="G172" i="190"/>
  <c r="F172" i="190"/>
  <c r="E172" i="190"/>
  <c r="E167" i="190" s="1"/>
  <c r="O171" i="190"/>
  <c r="N171" i="190"/>
  <c r="L171" i="190"/>
  <c r="J171" i="190" s="1"/>
  <c r="K171" i="190"/>
  <c r="H171" i="190"/>
  <c r="G171" i="190"/>
  <c r="G167" i="190" s="1"/>
  <c r="F171" i="190"/>
  <c r="E171" i="190"/>
  <c r="N170" i="190"/>
  <c r="L170" i="190"/>
  <c r="K170" i="190"/>
  <c r="H170" i="190"/>
  <c r="F170" i="190"/>
  <c r="F167" i="190" s="1"/>
  <c r="F164" i="190" s="1"/>
  <c r="F163" i="190" s="1"/>
  <c r="E170" i="190"/>
  <c r="O169" i="190"/>
  <c r="J169" i="190" s="1"/>
  <c r="N169" i="190"/>
  <c r="N167" i="190" s="1"/>
  <c r="L169" i="190"/>
  <c r="K169" i="190"/>
  <c r="H169" i="190"/>
  <c r="F169" i="190"/>
  <c r="E169" i="190"/>
  <c r="P169" i="190" s="1"/>
  <c r="P168" i="190"/>
  <c r="O168" i="190"/>
  <c r="J168" i="190" s="1"/>
  <c r="F168" i="190"/>
  <c r="E168" i="190"/>
  <c r="M167" i="190"/>
  <c r="L167" i="190"/>
  <c r="I167" i="190"/>
  <c r="R166" i="190"/>
  <c r="O166" i="190"/>
  <c r="N166" i="190"/>
  <c r="N165" i="190" s="1"/>
  <c r="L166" i="190"/>
  <c r="J166" i="190" s="1"/>
  <c r="J165" i="190" s="1"/>
  <c r="K166" i="190"/>
  <c r="H166" i="190"/>
  <c r="H165" i="190" s="1"/>
  <c r="G166" i="190"/>
  <c r="F166" i="190"/>
  <c r="E166" i="190"/>
  <c r="O165" i="190"/>
  <c r="M165" i="190"/>
  <c r="L165" i="190"/>
  <c r="L164" i="190" s="1"/>
  <c r="L163" i="190" s="1"/>
  <c r="K165" i="190"/>
  <c r="I165" i="190"/>
  <c r="G165" i="190"/>
  <c r="F165" i="190"/>
  <c r="E165" i="190"/>
  <c r="M164" i="190"/>
  <c r="M163" i="190" s="1"/>
  <c r="I164" i="190"/>
  <c r="I163" i="190" s="1"/>
  <c r="O161" i="190"/>
  <c r="J161" i="190"/>
  <c r="E161" i="190"/>
  <c r="P161" i="190" s="1"/>
  <c r="P160" i="190" s="1"/>
  <c r="P159" i="190" s="1"/>
  <c r="O160" i="190"/>
  <c r="O159" i="190" s="1"/>
  <c r="N160" i="190"/>
  <c r="N159" i="190" s="1"/>
  <c r="N155" i="190" s="1"/>
  <c r="M160" i="190"/>
  <c r="L160" i="190"/>
  <c r="K160" i="190"/>
  <c r="J160" i="190"/>
  <c r="I160" i="190"/>
  <c r="I159" i="190" s="1"/>
  <c r="I155" i="190" s="1"/>
  <c r="H160" i="190"/>
  <c r="G160" i="190"/>
  <c r="G159" i="190" s="1"/>
  <c r="F160" i="190"/>
  <c r="F159" i="190" s="1"/>
  <c r="F155" i="190" s="1"/>
  <c r="M159" i="190"/>
  <c r="L159" i="190"/>
  <c r="K159" i="190"/>
  <c r="J159" i="190"/>
  <c r="H159" i="190"/>
  <c r="K158" i="190"/>
  <c r="R158" i="190" s="1"/>
  <c r="N157" i="190"/>
  <c r="M157" i="190"/>
  <c r="M156" i="190" s="1"/>
  <c r="L157" i="190"/>
  <c r="L156" i="190" s="1"/>
  <c r="I157" i="190"/>
  <c r="H157" i="190"/>
  <c r="G157" i="190"/>
  <c r="F157" i="190"/>
  <c r="N156" i="190"/>
  <c r="I156" i="190"/>
  <c r="H156" i="190"/>
  <c r="H155" i="190" s="1"/>
  <c r="G156" i="190"/>
  <c r="G155" i="190" s="1"/>
  <c r="F156" i="190"/>
  <c r="L155" i="190"/>
  <c r="R154" i="190"/>
  <c r="P154" i="190"/>
  <c r="O154" i="190"/>
  <c r="J154" i="190"/>
  <c r="E154" i="190"/>
  <c r="R153" i="190"/>
  <c r="O153" i="190"/>
  <c r="O152" i="190" s="1"/>
  <c r="O151" i="190" s="1"/>
  <c r="J153" i="190"/>
  <c r="E153" i="190"/>
  <c r="P153" i="190" s="1"/>
  <c r="P152" i="190" s="1"/>
  <c r="P151" i="190" s="1"/>
  <c r="N152" i="190"/>
  <c r="M152" i="190"/>
  <c r="M151" i="190" s="1"/>
  <c r="L152" i="190"/>
  <c r="K152" i="190"/>
  <c r="K151" i="190" s="1"/>
  <c r="J152" i="190"/>
  <c r="J151" i="190" s="1"/>
  <c r="I152" i="190"/>
  <c r="H152" i="190"/>
  <c r="G152" i="190"/>
  <c r="F152" i="190"/>
  <c r="N151" i="190"/>
  <c r="L151" i="190"/>
  <c r="I151" i="190"/>
  <c r="H151" i="190"/>
  <c r="G151" i="190"/>
  <c r="F151" i="190"/>
  <c r="R150" i="190"/>
  <c r="O150" i="190"/>
  <c r="J150" i="190"/>
  <c r="J148" i="190" s="1"/>
  <c r="F150" i="190"/>
  <c r="E150" i="190"/>
  <c r="N149" i="190"/>
  <c r="L149" i="190"/>
  <c r="J149" i="190" s="1"/>
  <c r="P149" i="190" s="1"/>
  <c r="K149" i="190"/>
  <c r="O149" i="190" s="1"/>
  <c r="O148" i="190" s="1"/>
  <c r="H149" i="190"/>
  <c r="H148" i="190" s="1"/>
  <c r="G149" i="190"/>
  <c r="G148" i="190" s="1"/>
  <c r="F149" i="190"/>
  <c r="E149" i="190" s="1"/>
  <c r="E148" i="190" s="1"/>
  <c r="N148" i="190"/>
  <c r="M148" i="190"/>
  <c r="K148" i="190"/>
  <c r="I148" i="190"/>
  <c r="F148" i="190"/>
  <c r="R145" i="190"/>
  <c r="O145" i="190"/>
  <c r="J145" i="190" s="1"/>
  <c r="P145" i="190" s="1"/>
  <c r="E145" i="190"/>
  <c r="R142" i="190"/>
  <c r="P142" i="190"/>
  <c r="O142" i="190"/>
  <c r="J142" i="190"/>
  <c r="E142" i="190"/>
  <c r="R138" i="190"/>
  <c r="O138" i="190"/>
  <c r="J138" i="190"/>
  <c r="E138" i="190"/>
  <c r="R135" i="190"/>
  <c r="O135" i="190"/>
  <c r="J135" i="190"/>
  <c r="E135" i="190"/>
  <c r="N134" i="190"/>
  <c r="M134" i="190"/>
  <c r="L134" i="190"/>
  <c r="K134" i="190"/>
  <c r="I134" i="190"/>
  <c r="H134" i="190"/>
  <c r="G134" i="190"/>
  <c r="F134" i="190"/>
  <c r="O133" i="190"/>
  <c r="J133" i="190" s="1"/>
  <c r="P133" i="190" s="1"/>
  <c r="E133" i="190"/>
  <c r="O132" i="190"/>
  <c r="J132" i="190"/>
  <c r="J131" i="190" s="1"/>
  <c r="F132" i="190"/>
  <c r="F131" i="190" s="1"/>
  <c r="E132" i="190"/>
  <c r="O131" i="190"/>
  <c r="N131" i="190"/>
  <c r="M131" i="190"/>
  <c r="L131" i="190"/>
  <c r="K131" i="190"/>
  <c r="I131" i="190"/>
  <c r="H131" i="190"/>
  <c r="G131" i="190"/>
  <c r="P130" i="190"/>
  <c r="O130" i="190"/>
  <c r="J130" i="190" s="1"/>
  <c r="E130" i="190"/>
  <c r="P129" i="190"/>
  <c r="O129" i="190"/>
  <c r="J129" i="190" s="1"/>
  <c r="E129" i="190"/>
  <c r="N128" i="190"/>
  <c r="M128" i="190"/>
  <c r="L128" i="190"/>
  <c r="K128" i="190"/>
  <c r="O128" i="190" s="1"/>
  <c r="I128" i="190"/>
  <c r="H128" i="190"/>
  <c r="G128" i="190"/>
  <c r="F128" i="190"/>
  <c r="E128" i="190"/>
  <c r="O127" i="190"/>
  <c r="J127" i="190" s="1"/>
  <c r="P127" i="190" s="1"/>
  <c r="F127" i="190"/>
  <c r="E127" i="190"/>
  <c r="K126" i="190"/>
  <c r="O126" i="190" s="1"/>
  <c r="J126" i="190" s="1"/>
  <c r="E126" i="190"/>
  <c r="N125" i="190"/>
  <c r="M125" i="190"/>
  <c r="L125" i="190"/>
  <c r="K125" i="190"/>
  <c r="I125" i="190"/>
  <c r="H125" i="190"/>
  <c r="G125" i="190"/>
  <c r="F125" i="190"/>
  <c r="E125" i="190"/>
  <c r="R124" i="190"/>
  <c r="P124" i="190"/>
  <c r="O124" i="190"/>
  <c r="J124" i="190" s="1"/>
  <c r="H124" i="190"/>
  <c r="G124" i="190"/>
  <c r="G122" i="190" s="1"/>
  <c r="F124" i="190"/>
  <c r="E124" i="190" s="1"/>
  <c r="O123" i="190"/>
  <c r="O122" i="190" s="1"/>
  <c r="N123" i="190"/>
  <c r="L123" i="190"/>
  <c r="K123" i="190"/>
  <c r="H123" i="190"/>
  <c r="F123" i="190"/>
  <c r="F122" i="190" s="1"/>
  <c r="E123" i="190"/>
  <c r="E122" i="190" s="1"/>
  <c r="N122" i="190"/>
  <c r="M122" i="190"/>
  <c r="L122" i="190"/>
  <c r="I122" i="190"/>
  <c r="H122" i="190"/>
  <c r="O121" i="190"/>
  <c r="J121" i="190"/>
  <c r="E121" i="190"/>
  <c r="P121" i="190" s="1"/>
  <c r="P120" i="190"/>
  <c r="O120" i="190"/>
  <c r="J120" i="190"/>
  <c r="E120" i="190"/>
  <c r="O119" i="190"/>
  <c r="J119" i="190"/>
  <c r="E119" i="190"/>
  <c r="P119" i="190" s="1"/>
  <c r="O118" i="190"/>
  <c r="J118" i="190"/>
  <c r="F118" i="190"/>
  <c r="E118" i="190"/>
  <c r="P118" i="190" s="1"/>
  <c r="O117" i="190"/>
  <c r="J117" i="190" s="1"/>
  <c r="E117" i="190"/>
  <c r="P117" i="190" s="1"/>
  <c r="O116" i="190"/>
  <c r="J116" i="190"/>
  <c r="F116" i="190"/>
  <c r="E116" i="190" s="1"/>
  <c r="P116" i="190" s="1"/>
  <c r="O115" i="190"/>
  <c r="J115" i="190"/>
  <c r="E115" i="190"/>
  <c r="R114" i="190"/>
  <c r="O114" i="190"/>
  <c r="J114" i="190"/>
  <c r="F114" i="190"/>
  <c r="E114" i="190"/>
  <c r="P114" i="190" s="1"/>
  <c r="N113" i="190"/>
  <c r="M113" i="190"/>
  <c r="M112" i="190" s="1"/>
  <c r="L113" i="190"/>
  <c r="K113" i="190"/>
  <c r="I113" i="190"/>
  <c r="H113" i="190"/>
  <c r="G113" i="190"/>
  <c r="G112" i="190" s="1"/>
  <c r="E113" i="190"/>
  <c r="N112" i="190"/>
  <c r="I112" i="190"/>
  <c r="J111" i="190"/>
  <c r="P111" i="190" s="1"/>
  <c r="E111" i="190"/>
  <c r="P110" i="190"/>
  <c r="O110" i="190"/>
  <c r="J110" i="190" s="1"/>
  <c r="E110" i="190"/>
  <c r="O109" i="190"/>
  <c r="O108" i="190" s="1"/>
  <c r="K109" i="190"/>
  <c r="K108" i="190" s="1"/>
  <c r="J109" i="190"/>
  <c r="J108" i="190" s="1"/>
  <c r="H109" i="190"/>
  <c r="H108" i="190" s="1"/>
  <c r="F109" i="190"/>
  <c r="E109" i="190"/>
  <c r="P109" i="190" s="1"/>
  <c r="N108" i="190"/>
  <c r="N107" i="190" s="1"/>
  <c r="N106" i="190" s="1"/>
  <c r="M108" i="190"/>
  <c r="L108" i="190"/>
  <c r="I108" i="190"/>
  <c r="I107" i="190" s="1"/>
  <c r="I106" i="190" s="1"/>
  <c r="G108" i="190"/>
  <c r="F108" i="190"/>
  <c r="O105" i="190"/>
  <c r="J105" i="190"/>
  <c r="E105" i="190"/>
  <c r="P105" i="190" s="1"/>
  <c r="P104" i="190"/>
  <c r="P103" i="190" s="1"/>
  <c r="O104" i="190"/>
  <c r="K104" i="190"/>
  <c r="J104" i="190"/>
  <c r="E104" i="190"/>
  <c r="O103" i="190"/>
  <c r="N103" i="190"/>
  <c r="M103" i="190"/>
  <c r="L103" i="190"/>
  <c r="K103" i="190"/>
  <c r="J103" i="190"/>
  <c r="I103" i="190"/>
  <c r="H103" i="190"/>
  <c r="G103" i="190"/>
  <c r="F103" i="190"/>
  <c r="E103" i="190"/>
  <c r="R102" i="190"/>
  <c r="O102" i="190"/>
  <c r="J102" i="190" s="1"/>
  <c r="J101" i="190" s="1"/>
  <c r="E102" i="190"/>
  <c r="E101" i="190" s="1"/>
  <c r="E100" i="190" s="1"/>
  <c r="O101" i="190"/>
  <c r="O100" i="190" s="1"/>
  <c r="O99" i="190" s="1"/>
  <c r="N101" i="190"/>
  <c r="N100" i="190" s="1"/>
  <c r="N99" i="190" s="1"/>
  <c r="M101" i="190"/>
  <c r="L101" i="190"/>
  <c r="K101" i="190"/>
  <c r="I101" i="190"/>
  <c r="I100" i="190" s="1"/>
  <c r="I99" i="190" s="1"/>
  <c r="H101" i="190"/>
  <c r="H100" i="190" s="1"/>
  <c r="H99" i="190" s="1"/>
  <c r="G101" i="190"/>
  <c r="G100" i="190" s="1"/>
  <c r="G99" i="190" s="1"/>
  <c r="F101" i="190"/>
  <c r="F100" i="190" s="1"/>
  <c r="F99" i="190" s="1"/>
  <c r="M100" i="190"/>
  <c r="L100" i="190"/>
  <c r="L99" i="190" s="1"/>
  <c r="L83" i="190" s="1"/>
  <c r="K100" i="190"/>
  <c r="K99" i="190" s="1"/>
  <c r="J100" i="190"/>
  <c r="J99" i="190" s="1"/>
  <c r="O98" i="190"/>
  <c r="J98" i="190" s="1"/>
  <c r="F98" i="190"/>
  <c r="E98" i="190"/>
  <c r="P98" i="190" s="1"/>
  <c r="O97" i="190"/>
  <c r="H97" i="190"/>
  <c r="G97" i="190"/>
  <c r="F97" i="190"/>
  <c r="E97" i="190"/>
  <c r="E96" i="190" s="1"/>
  <c r="N96" i="190"/>
  <c r="N86" i="190" s="1"/>
  <c r="M96" i="190"/>
  <c r="L96" i="190"/>
  <c r="K96" i="190"/>
  <c r="I96" i="190"/>
  <c r="H96" i="190"/>
  <c r="G96" i="190"/>
  <c r="F96" i="190"/>
  <c r="O95" i="190"/>
  <c r="J95" i="190" s="1"/>
  <c r="J94" i="190" s="1"/>
  <c r="F95" i="190"/>
  <c r="F94" i="190" s="1"/>
  <c r="E95" i="190"/>
  <c r="P95" i="190" s="1"/>
  <c r="P94" i="190" s="1"/>
  <c r="O94" i="190"/>
  <c r="N94" i="190"/>
  <c r="M94" i="190"/>
  <c r="L94" i="190"/>
  <c r="K94" i="190"/>
  <c r="I94" i="190"/>
  <c r="H94" i="190"/>
  <c r="G94" i="190"/>
  <c r="O93" i="190"/>
  <c r="J93" i="190"/>
  <c r="F93" i="190"/>
  <c r="F92" i="190" s="1"/>
  <c r="F86" i="190" s="1"/>
  <c r="O92" i="190"/>
  <c r="N92" i="190"/>
  <c r="M92" i="190"/>
  <c r="L92" i="190"/>
  <c r="K92" i="190"/>
  <c r="J92" i="190"/>
  <c r="I92" i="190"/>
  <c r="I86" i="190" s="1"/>
  <c r="I83" i="190" s="1"/>
  <c r="I82" i="190" s="1"/>
  <c r="H92" i="190"/>
  <c r="H86" i="190" s="1"/>
  <c r="G92" i="190"/>
  <c r="O91" i="190"/>
  <c r="J91" i="190"/>
  <c r="E91" i="190"/>
  <c r="P91" i="190" s="1"/>
  <c r="P90" i="190"/>
  <c r="O90" i="190"/>
  <c r="J90" i="190" s="1"/>
  <c r="F90" i="190"/>
  <c r="E90" i="190" s="1"/>
  <c r="O89" i="190"/>
  <c r="J89" i="190" s="1"/>
  <c r="F89" i="190"/>
  <c r="E89" i="190" s="1"/>
  <c r="P89" i="190" s="1"/>
  <c r="J88" i="190"/>
  <c r="F88" i="190"/>
  <c r="E88" i="190"/>
  <c r="P88" i="190" s="1"/>
  <c r="O87" i="190"/>
  <c r="J87" i="190"/>
  <c r="F87" i="190"/>
  <c r="E87" i="190" s="1"/>
  <c r="P87" i="190" s="1"/>
  <c r="M86" i="190"/>
  <c r="L86" i="190"/>
  <c r="K86" i="190"/>
  <c r="O85" i="190"/>
  <c r="H85" i="190"/>
  <c r="G85" i="190"/>
  <c r="F85" i="190"/>
  <c r="E85" i="190"/>
  <c r="E84" i="190" s="1"/>
  <c r="N84" i="190"/>
  <c r="M84" i="190"/>
  <c r="L84" i="190"/>
  <c r="K84" i="190"/>
  <c r="K83" i="190" s="1"/>
  <c r="I84" i="190"/>
  <c r="H84" i="190"/>
  <c r="H83" i="190" s="1"/>
  <c r="H82" i="190" s="1"/>
  <c r="G84" i="190"/>
  <c r="F84" i="190"/>
  <c r="R81" i="190"/>
  <c r="O81" i="190"/>
  <c r="O80" i="190" s="1"/>
  <c r="O79" i="190" s="1"/>
  <c r="E81" i="190"/>
  <c r="N80" i="190"/>
  <c r="M80" i="190"/>
  <c r="L80" i="190"/>
  <c r="L79" i="190" s="1"/>
  <c r="K80" i="190"/>
  <c r="K79" i="190" s="1"/>
  <c r="I80" i="190"/>
  <c r="I79" i="190" s="1"/>
  <c r="H80" i="190"/>
  <c r="G80" i="190"/>
  <c r="F80" i="190"/>
  <c r="N79" i="190"/>
  <c r="M79" i="190"/>
  <c r="H79" i="190"/>
  <c r="G79" i="190"/>
  <c r="F79" i="190"/>
  <c r="R78" i="190"/>
  <c r="O78" i="190"/>
  <c r="J78" i="190" s="1"/>
  <c r="E78" i="190"/>
  <c r="R77" i="190"/>
  <c r="O77" i="190"/>
  <c r="K77" i="190"/>
  <c r="E77" i="190"/>
  <c r="N76" i="190"/>
  <c r="M76" i="190"/>
  <c r="L76" i="190"/>
  <c r="K76" i="190"/>
  <c r="I76" i="190"/>
  <c r="H76" i="190"/>
  <c r="G76" i="190"/>
  <c r="F76" i="190"/>
  <c r="E76" i="190" s="1"/>
  <c r="O75" i="190"/>
  <c r="J75" i="190" s="1"/>
  <c r="J74" i="190" s="1"/>
  <c r="F75" i="190"/>
  <c r="E75" i="190" s="1"/>
  <c r="E74" i="190" s="1"/>
  <c r="O74" i="190"/>
  <c r="N74" i="190"/>
  <c r="M74" i="190"/>
  <c r="L74" i="190"/>
  <c r="K74" i="190"/>
  <c r="I74" i="190"/>
  <c r="H74" i="190"/>
  <c r="G74" i="190"/>
  <c r="F74" i="190"/>
  <c r="R73" i="190"/>
  <c r="O73" i="190"/>
  <c r="J73" i="190" s="1"/>
  <c r="F73" i="190"/>
  <c r="E73" i="190"/>
  <c r="P73" i="190" s="1"/>
  <c r="P72" i="190"/>
  <c r="O72" i="190"/>
  <c r="J72" i="190" s="1"/>
  <c r="G72" i="190"/>
  <c r="F72" i="190"/>
  <c r="E72" i="190"/>
  <c r="O70" i="190"/>
  <c r="J70" i="190" s="1"/>
  <c r="P70" i="190" s="1"/>
  <c r="K70" i="190"/>
  <c r="E70" i="190"/>
  <c r="O69" i="190"/>
  <c r="K69" i="190"/>
  <c r="J69" i="190"/>
  <c r="P69" i="190" s="1"/>
  <c r="E69" i="190"/>
  <c r="N68" i="190"/>
  <c r="M68" i="190"/>
  <c r="L68" i="190"/>
  <c r="K68" i="190"/>
  <c r="I68" i="190"/>
  <c r="H68" i="190"/>
  <c r="G68" i="190"/>
  <c r="F68" i="190"/>
  <c r="E68" i="190"/>
  <c r="R67" i="190"/>
  <c r="O67" i="190"/>
  <c r="J67" i="190" s="1"/>
  <c r="P67" i="190" s="1"/>
  <c r="E67" i="190"/>
  <c r="K66" i="190"/>
  <c r="F66" i="190"/>
  <c r="N65" i="190"/>
  <c r="M65" i="190"/>
  <c r="L65" i="190"/>
  <c r="I65" i="190"/>
  <c r="H65" i="190"/>
  <c r="G65" i="190"/>
  <c r="R64" i="190"/>
  <c r="O64" i="190"/>
  <c r="J64" i="190" s="1"/>
  <c r="P64" i="190" s="1"/>
  <c r="H64" i="190"/>
  <c r="G64" i="190"/>
  <c r="F64" i="190"/>
  <c r="E64" i="190"/>
  <c r="O63" i="190"/>
  <c r="J63" i="190"/>
  <c r="P63" i="190" s="1"/>
  <c r="G63" i="190"/>
  <c r="F63" i="190"/>
  <c r="E63" i="190"/>
  <c r="R62" i="190"/>
  <c r="O62" i="190"/>
  <c r="O61" i="190" s="1"/>
  <c r="H62" i="190"/>
  <c r="H61" i="190" s="1"/>
  <c r="G62" i="190"/>
  <c r="F62" i="190"/>
  <c r="E62" i="190"/>
  <c r="N61" i="190"/>
  <c r="M61" i="190"/>
  <c r="L61" i="190"/>
  <c r="K61" i="190"/>
  <c r="I61" i="190"/>
  <c r="G61" i="190"/>
  <c r="F61" i="190"/>
  <c r="E61" i="190"/>
  <c r="O60" i="190"/>
  <c r="J60" i="190" s="1"/>
  <c r="F60" i="190"/>
  <c r="E60" i="190" s="1"/>
  <c r="P60" i="190" s="1"/>
  <c r="O59" i="190"/>
  <c r="O58" i="190" s="1"/>
  <c r="N59" i="190"/>
  <c r="L59" i="190"/>
  <c r="H59" i="190"/>
  <c r="G59" i="190"/>
  <c r="F59" i="190"/>
  <c r="E59" i="190"/>
  <c r="N58" i="190"/>
  <c r="M58" i="190"/>
  <c r="K58" i="190"/>
  <c r="I58" i="190"/>
  <c r="H58" i="190"/>
  <c r="G58" i="190"/>
  <c r="F58" i="190"/>
  <c r="J57" i="190"/>
  <c r="E57" i="190"/>
  <c r="P57" i="190" s="1"/>
  <c r="O56" i="190"/>
  <c r="O55" i="190" s="1"/>
  <c r="N56" i="190"/>
  <c r="N55" i="190" s="1"/>
  <c r="M56" i="190"/>
  <c r="L56" i="190"/>
  <c r="K56" i="190"/>
  <c r="R56" i="190" s="1"/>
  <c r="H56" i="190"/>
  <c r="H55" i="190" s="1"/>
  <c r="G56" i="190"/>
  <c r="G55" i="190" s="1"/>
  <c r="F56" i="190"/>
  <c r="F55" i="190" s="1"/>
  <c r="E56" i="190"/>
  <c r="M55" i="190"/>
  <c r="L55" i="190"/>
  <c r="K55" i="190"/>
  <c r="I55" i="190"/>
  <c r="R54" i="190"/>
  <c r="O54" i="190"/>
  <c r="J54" i="190" s="1"/>
  <c r="N54" i="190"/>
  <c r="L54" i="190"/>
  <c r="K54" i="190"/>
  <c r="H54" i="190"/>
  <c r="G54" i="190"/>
  <c r="F54" i="190"/>
  <c r="E54" i="190" s="1"/>
  <c r="P54" i="190" s="1"/>
  <c r="R53" i="190"/>
  <c r="K53" i="190"/>
  <c r="O53" i="190" s="1"/>
  <c r="E53" i="190"/>
  <c r="N51" i="190"/>
  <c r="M51" i="190"/>
  <c r="L51" i="190"/>
  <c r="K51" i="190"/>
  <c r="I51" i="190"/>
  <c r="H51" i="190"/>
  <c r="G51" i="190"/>
  <c r="F51" i="190"/>
  <c r="O50" i="190"/>
  <c r="J50" i="190" s="1"/>
  <c r="J49" i="190" s="1"/>
  <c r="E50" i="190"/>
  <c r="E49" i="190" s="1"/>
  <c r="O49" i="190"/>
  <c r="N49" i="190"/>
  <c r="M49" i="190"/>
  <c r="L49" i="190"/>
  <c r="K49" i="190"/>
  <c r="I49" i="190"/>
  <c r="H49" i="190"/>
  <c r="G49" i="190"/>
  <c r="F49" i="190"/>
  <c r="O48" i="190"/>
  <c r="J48" i="190" s="1"/>
  <c r="H48" i="190"/>
  <c r="F48" i="190"/>
  <c r="E48" i="190" s="1"/>
  <c r="P48" i="190" s="1"/>
  <c r="N47" i="190"/>
  <c r="L47" i="190"/>
  <c r="K47" i="190"/>
  <c r="O47" i="190" s="1"/>
  <c r="J47" i="190" s="1"/>
  <c r="H47" i="190"/>
  <c r="G47" i="190"/>
  <c r="F47" i="190"/>
  <c r="E47" i="190" s="1"/>
  <c r="O46" i="190"/>
  <c r="N46" i="190"/>
  <c r="N45" i="190" s="1"/>
  <c r="M46" i="190"/>
  <c r="M45" i="190" s="1"/>
  <c r="L46" i="190"/>
  <c r="J46" i="190" s="1"/>
  <c r="J45" i="190" s="1"/>
  <c r="K46" i="190"/>
  <c r="K45" i="190" s="1"/>
  <c r="H46" i="190"/>
  <c r="H45" i="190" s="1"/>
  <c r="H43" i="190" s="1"/>
  <c r="H42" i="190" s="1"/>
  <c r="H41" i="190" s="1"/>
  <c r="G46" i="190"/>
  <c r="F46" i="190"/>
  <c r="F45" i="190" s="1"/>
  <c r="E46" i="190"/>
  <c r="O45" i="190"/>
  <c r="L45" i="190"/>
  <c r="I45" i="190"/>
  <c r="I43" i="190" s="1"/>
  <c r="I42" i="190" s="1"/>
  <c r="I41" i="190" s="1"/>
  <c r="G45" i="190"/>
  <c r="G43" i="190" s="1"/>
  <c r="G42" i="190" s="1"/>
  <c r="G41" i="190" s="1"/>
  <c r="O44" i="190"/>
  <c r="N44" i="190"/>
  <c r="M44" i="190"/>
  <c r="L44" i="190"/>
  <c r="K44" i="190"/>
  <c r="H44" i="190"/>
  <c r="G44" i="190"/>
  <c r="F44" i="190"/>
  <c r="E44" i="190"/>
  <c r="P40" i="190"/>
  <c r="O40" i="190"/>
  <c r="J40" i="190" s="1"/>
  <c r="K40" i="190"/>
  <c r="F40" i="190"/>
  <c r="E40" i="190"/>
  <c r="O39" i="190"/>
  <c r="J39" i="190" s="1"/>
  <c r="E39" i="190"/>
  <c r="E37" i="190" s="1"/>
  <c r="E36" i="190" s="1"/>
  <c r="P38" i="190"/>
  <c r="O38" i="190"/>
  <c r="J38" i="190" s="1"/>
  <c r="E38" i="190"/>
  <c r="N37" i="190"/>
  <c r="N36" i="190" s="1"/>
  <c r="M37" i="190"/>
  <c r="M36" i="190" s="1"/>
  <c r="L37" i="190"/>
  <c r="L36" i="190" s="1"/>
  <c r="K37" i="190"/>
  <c r="I37" i="190"/>
  <c r="I36" i="190" s="1"/>
  <c r="H37" i="190"/>
  <c r="G37" i="190"/>
  <c r="G36" i="190" s="1"/>
  <c r="F37" i="190"/>
  <c r="F36" i="190" s="1"/>
  <c r="K36" i="190"/>
  <c r="H36" i="190"/>
  <c r="O35" i="190"/>
  <c r="O34" i="190" s="1"/>
  <c r="O33" i="190" s="1"/>
  <c r="J35" i="190"/>
  <c r="J34" i="190" s="1"/>
  <c r="J33" i="190" s="1"/>
  <c r="E35" i="190"/>
  <c r="N34" i="190"/>
  <c r="M34" i="190"/>
  <c r="M33" i="190" s="1"/>
  <c r="L34" i="190"/>
  <c r="K34" i="190"/>
  <c r="K33" i="190" s="1"/>
  <c r="I34" i="190"/>
  <c r="I33" i="190" s="1"/>
  <c r="H34" i="190"/>
  <c r="G34" i="190"/>
  <c r="F34" i="190"/>
  <c r="E34" i="190"/>
  <c r="N33" i="190"/>
  <c r="N17" i="190" s="1"/>
  <c r="L33" i="190"/>
  <c r="H33" i="190"/>
  <c r="G33" i="190"/>
  <c r="F33" i="190"/>
  <c r="E33" i="190"/>
  <c r="J32" i="190"/>
  <c r="P32" i="190" s="1"/>
  <c r="E32" i="190"/>
  <c r="O30" i="190"/>
  <c r="L30" i="190"/>
  <c r="J30" i="190" s="1"/>
  <c r="E30" i="190"/>
  <c r="O29" i="190"/>
  <c r="N29" i="190"/>
  <c r="M29" i="190"/>
  <c r="L29" i="190"/>
  <c r="K29" i="190"/>
  <c r="I29" i="190"/>
  <c r="H29" i="190"/>
  <c r="G29" i="190"/>
  <c r="G27" i="190" s="1"/>
  <c r="G23" i="190" s="1"/>
  <c r="F29" i="190"/>
  <c r="E29" i="190"/>
  <c r="O28" i="190"/>
  <c r="J28" i="190" s="1"/>
  <c r="P28" i="190" s="1"/>
  <c r="E28" i="190"/>
  <c r="O27" i="190"/>
  <c r="N27" i="190"/>
  <c r="M27" i="190"/>
  <c r="L27" i="190"/>
  <c r="K27" i="190"/>
  <c r="I27" i="190"/>
  <c r="H27" i="190"/>
  <c r="F27" i="190"/>
  <c r="E27" i="190"/>
  <c r="P26" i="190"/>
  <c r="J26" i="190"/>
  <c r="E26" i="190"/>
  <c r="R25" i="190"/>
  <c r="O25" i="190"/>
  <c r="J25" i="190" s="1"/>
  <c r="E25" i="190"/>
  <c r="E24" i="190" s="1"/>
  <c r="E23" i="190" s="1"/>
  <c r="N24" i="190"/>
  <c r="M24" i="190"/>
  <c r="L24" i="190"/>
  <c r="K24" i="190"/>
  <c r="K23" i="190" s="1"/>
  <c r="I24" i="190"/>
  <c r="I23" i="190" s="1"/>
  <c r="H24" i="190"/>
  <c r="H23" i="190" s="1"/>
  <c r="G24" i="190"/>
  <c r="F24" i="190"/>
  <c r="N23" i="190"/>
  <c r="M23" i="190"/>
  <c r="L23" i="190"/>
  <c r="F23" i="190"/>
  <c r="O22" i="190"/>
  <c r="J22" i="190" s="1"/>
  <c r="F22" i="190"/>
  <c r="E22" i="190" s="1"/>
  <c r="P22" i="190" s="1"/>
  <c r="P21" i="190"/>
  <c r="O21" i="190"/>
  <c r="J21" i="190"/>
  <c r="E21" i="190"/>
  <c r="O20" i="190"/>
  <c r="J20" i="190"/>
  <c r="G20" i="190"/>
  <c r="F20" i="190"/>
  <c r="E20" i="190" s="1"/>
  <c r="O19" i="190"/>
  <c r="K19" i="190"/>
  <c r="J19" i="190"/>
  <c r="H19" i="190"/>
  <c r="G19" i="190"/>
  <c r="G18" i="190" s="1"/>
  <c r="F19" i="190"/>
  <c r="F18" i="190" s="1"/>
  <c r="F17" i="190" s="1"/>
  <c r="E19" i="190"/>
  <c r="E18" i="190" s="1"/>
  <c r="E17" i="190" s="1"/>
  <c r="O18" i="190"/>
  <c r="N18" i="190"/>
  <c r="M18" i="190"/>
  <c r="L18" i="190"/>
  <c r="L17" i="190" s="1"/>
  <c r="K18" i="190"/>
  <c r="I18" i="190"/>
  <c r="H18" i="190"/>
  <c r="C126" i="189"/>
  <c r="C125" i="189"/>
  <c r="C124" i="189"/>
  <c r="C123" i="189"/>
  <c r="F122" i="189"/>
  <c r="E122" i="189"/>
  <c r="D122" i="189"/>
  <c r="C122" i="189" s="1"/>
  <c r="C121" i="189"/>
  <c r="C120" i="189"/>
  <c r="C119" i="189"/>
  <c r="D118" i="189"/>
  <c r="C118" i="189"/>
  <c r="C117" i="189"/>
  <c r="C116" i="189"/>
  <c r="C115" i="189"/>
  <c r="C114" i="189"/>
  <c r="C113" i="189"/>
  <c r="C112" i="189"/>
  <c r="C111" i="189"/>
  <c r="C110" i="189"/>
  <c r="F109" i="189"/>
  <c r="E109" i="189"/>
  <c r="E100" i="189" s="1"/>
  <c r="E97" i="189" s="1"/>
  <c r="C108" i="189"/>
  <c r="C107" i="189"/>
  <c r="C106" i="189"/>
  <c r="C105" i="189"/>
  <c r="C104" i="189"/>
  <c r="C103" i="189"/>
  <c r="C102" i="189"/>
  <c r="F101" i="189"/>
  <c r="F100" i="189" s="1"/>
  <c r="F97" i="189" s="1"/>
  <c r="E101" i="189"/>
  <c r="D101" i="189"/>
  <c r="C101" i="189" s="1"/>
  <c r="C99" i="189"/>
  <c r="D98" i="189"/>
  <c r="C98" i="189" s="1"/>
  <c r="C95" i="189"/>
  <c r="E94" i="189"/>
  <c r="C94" i="189"/>
  <c r="C93" i="189"/>
  <c r="C92" i="189"/>
  <c r="F91" i="189"/>
  <c r="F90" i="189" s="1"/>
  <c r="F85" i="189" s="1"/>
  <c r="F96" i="189" s="1"/>
  <c r="F127" i="189" s="1"/>
  <c r="J127" i="189" s="1"/>
  <c r="E91" i="189"/>
  <c r="C91" i="189" s="1"/>
  <c r="C89" i="189"/>
  <c r="C88" i="189"/>
  <c r="D87" i="189"/>
  <c r="C87" i="189" s="1"/>
  <c r="F86" i="189"/>
  <c r="E86" i="189"/>
  <c r="C84" i="189"/>
  <c r="C83" i="189"/>
  <c r="C82" i="189"/>
  <c r="C81" i="189"/>
  <c r="E80" i="189"/>
  <c r="E79" i="189" s="1"/>
  <c r="D79" i="189"/>
  <c r="C79" i="189" s="1"/>
  <c r="C78" i="189"/>
  <c r="C77" i="189"/>
  <c r="C76" i="189"/>
  <c r="C75" i="189"/>
  <c r="F74" i="189"/>
  <c r="E74" i="189"/>
  <c r="E55" i="189" s="1"/>
  <c r="D74" i="189"/>
  <c r="C74" i="189" s="1"/>
  <c r="C73" i="189"/>
  <c r="C72" i="189"/>
  <c r="D71" i="189"/>
  <c r="C71" i="189"/>
  <c r="C70" i="189"/>
  <c r="C69" i="189"/>
  <c r="C68" i="189"/>
  <c r="C67" i="189"/>
  <c r="C66" i="189"/>
  <c r="D65" i="189"/>
  <c r="C65" i="189"/>
  <c r="D64" i="189"/>
  <c r="D55" i="189" s="1"/>
  <c r="C63" i="189"/>
  <c r="C62" i="189"/>
  <c r="C61" i="189"/>
  <c r="D60" i="189"/>
  <c r="C60" i="189"/>
  <c r="C59" i="189"/>
  <c r="C58" i="189"/>
  <c r="D57" i="189"/>
  <c r="C57" i="189"/>
  <c r="D56" i="189"/>
  <c r="C56" i="189" s="1"/>
  <c r="F55" i="189"/>
  <c r="C54" i="189"/>
  <c r="C53" i="189"/>
  <c r="C52" i="189"/>
  <c r="E51" i="189"/>
  <c r="D51" i="189"/>
  <c r="C51" i="189"/>
  <c r="E50" i="189"/>
  <c r="E11" i="189" s="1"/>
  <c r="C50" i="189"/>
  <c r="C49" i="189"/>
  <c r="C48" i="189"/>
  <c r="C47" i="189"/>
  <c r="D46" i="189"/>
  <c r="C46" i="189" s="1"/>
  <c r="C45" i="189"/>
  <c r="C44" i="189"/>
  <c r="D43" i="189"/>
  <c r="D31" i="189" s="1"/>
  <c r="C31" i="189" s="1"/>
  <c r="C42" i="189"/>
  <c r="C41" i="189"/>
  <c r="C40" i="189"/>
  <c r="C39" i="189"/>
  <c r="C38" i="189"/>
  <c r="C37" i="189"/>
  <c r="C36" i="189"/>
  <c r="C35" i="189"/>
  <c r="C34" i="189"/>
  <c r="C33" i="189"/>
  <c r="D32" i="189"/>
  <c r="C32" i="189" s="1"/>
  <c r="C30" i="189"/>
  <c r="C29" i="189"/>
  <c r="D28" i="189"/>
  <c r="C28" i="189" s="1"/>
  <c r="C27" i="189"/>
  <c r="D26" i="189"/>
  <c r="C26" i="189"/>
  <c r="D25" i="189"/>
  <c r="C25" i="189"/>
  <c r="C24" i="189"/>
  <c r="D23" i="189"/>
  <c r="C23" i="189" s="1"/>
  <c r="C22" i="189"/>
  <c r="D21" i="189"/>
  <c r="C21" i="189"/>
  <c r="D20" i="189"/>
  <c r="C20" i="189"/>
  <c r="C19" i="189"/>
  <c r="D18" i="189"/>
  <c r="C18" i="189" s="1"/>
  <c r="C17" i="189"/>
  <c r="C16" i="189"/>
  <c r="C15" i="189"/>
  <c r="C14" i="189"/>
  <c r="D13" i="189"/>
  <c r="C13" i="189" s="1"/>
  <c r="F11" i="189"/>
  <c r="H17" i="190" l="1"/>
  <c r="I17" i="190"/>
  <c r="F16" i="190"/>
  <c r="G17" i="190"/>
  <c r="P20" i="190"/>
  <c r="P30" i="190"/>
  <c r="J29" i="190"/>
  <c r="J27" i="190" s="1"/>
  <c r="E16" i="190"/>
  <c r="K17" i="190"/>
  <c r="N16" i="190"/>
  <c r="L16" i="190"/>
  <c r="J18" i="190"/>
  <c r="L82" i="190"/>
  <c r="M17" i="190"/>
  <c r="J24" i="190"/>
  <c r="J23" i="190" s="1"/>
  <c r="P25" i="190"/>
  <c r="P24" i="190" s="1"/>
  <c r="J97" i="190"/>
  <c r="O96" i="190"/>
  <c r="P126" i="190"/>
  <c r="P125" i="190" s="1"/>
  <c r="J125" i="190"/>
  <c r="J209" i="190"/>
  <c r="O208" i="190"/>
  <c r="O207" i="190" s="1"/>
  <c r="E288" i="190"/>
  <c r="L288" i="190"/>
  <c r="P47" i="190"/>
  <c r="E55" i="190"/>
  <c r="M99" i="190"/>
  <c r="P113" i="190"/>
  <c r="H164" i="190"/>
  <c r="H163" i="190" s="1"/>
  <c r="E199" i="190"/>
  <c r="P199" i="190" s="1"/>
  <c r="F197" i="190"/>
  <c r="J53" i="190"/>
  <c r="J51" i="190" s="1"/>
  <c r="O51" i="190"/>
  <c r="K82" i="190"/>
  <c r="E80" i="190"/>
  <c r="E79" i="190" s="1"/>
  <c r="F188" i="190"/>
  <c r="F185" i="190" s="1"/>
  <c r="E189" i="190"/>
  <c r="J44" i="190"/>
  <c r="E58" i="190"/>
  <c r="E99" i="190"/>
  <c r="H112" i="190"/>
  <c r="H107" i="190" s="1"/>
  <c r="H106" i="190" s="1"/>
  <c r="P135" i="190"/>
  <c r="J134" i="190"/>
  <c r="O37" i="190"/>
  <c r="O36" i="190" s="1"/>
  <c r="O24" i="190"/>
  <c r="O23" i="190" s="1"/>
  <c r="J37" i="190"/>
  <c r="J36" i="190" s="1"/>
  <c r="M43" i="190"/>
  <c r="M42" i="190" s="1"/>
  <c r="M41" i="190" s="1"/>
  <c r="G86" i="190"/>
  <c r="O86" i="190"/>
  <c r="P108" i="190"/>
  <c r="P75" i="190"/>
  <c r="P74" i="190" s="1"/>
  <c r="J85" i="190"/>
  <c r="O84" i="190"/>
  <c r="O83" i="190" s="1"/>
  <c r="O82" i="190" s="1"/>
  <c r="P19" i="190"/>
  <c r="P18" i="190" s="1"/>
  <c r="P37" i="190"/>
  <c r="P36" i="190" s="1"/>
  <c r="N43" i="190"/>
  <c r="N42" i="190" s="1"/>
  <c r="N41" i="190" s="1"/>
  <c r="E66" i="190"/>
  <c r="F65" i="190"/>
  <c r="E65" i="190" s="1"/>
  <c r="J77" i="190"/>
  <c r="P77" i="190" s="1"/>
  <c r="O76" i="190"/>
  <c r="J76" i="190" s="1"/>
  <c r="P76" i="190" s="1"/>
  <c r="N83" i="190"/>
  <c r="N82" i="190" s="1"/>
  <c r="M83" i="190"/>
  <c r="M82" i="190" s="1"/>
  <c r="J196" i="190"/>
  <c r="J195" i="190" s="1"/>
  <c r="O195" i="190"/>
  <c r="O225" i="190"/>
  <c r="J225" i="190" s="1"/>
  <c r="P225" i="190" s="1"/>
  <c r="K223" i="190"/>
  <c r="K222" i="190" s="1"/>
  <c r="R225" i="190"/>
  <c r="L258" i="190"/>
  <c r="P39" i="190"/>
  <c r="F83" i="190"/>
  <c r="F82" i="190" s="1"/>
  <c r="P35" i="190"/>
  <c r="P34" i="190" s="1"/>
  <c r="P33" i="190" s="1"/>
  <c r="F43" i="190"/>
  <c r="F42" i="190" s="1"/>
  <c r="F41" i="190" s="1"/>
  <c r="E45" i="190"/>
  <c r="P45" i="190" s="1"/>
  <c r="P46" i="190"/>
  <c r="J59" i="190"/>
  <c r="J58" i="190" s="1"/>
  <c r="L58" i="190"/>
  <c r="L43" i="190" s="1"/>
  <c r="L42" i="190" s="1"/>
  <c r="O68" i="190"/>
  <c r="J68" i="190" s="1"/>
  <c r="P68" i="190" s="1"/>
  <c r="P78" i="190"/>
  <c r="G83" i="190"/>
  <c r="G82" i="190" s="1"/>
  <c r="G107" i="190"/>
  <c r="G106" i="190" s="1"/>
  <c r="J113" i="190"/>
  <c r="I184" i="190"/>
  <c r="I183" i="190" s="1"/>
  <c r="E202" i="190"/>
  <c r="F200" i="190"/>
  <c r="J62" i="190"/>
  <c r="J61" i="190" s="1"/>
  <c r="P61" i="190" s="1"/>
  <c r="K65" i="190"/>
  <c r="K43" i="190" s="1"/>
  <c r="K42" i="190" s="1"/>
  <c r="J81" i="190"/>
  <c r="J80" i="190" s="1"/>
  <c r="J79" i="190" s="1"/>
  <c r="E93" i="190"/>
  <c r="E108" i="190"/>
  <c r="F113" i="190"/>
  <c r="F112" i="190" s="1"/>
  <c r="F107" i="190" s="1"/>
  <c r="F106" i="190" s="1"/>
  <c r="O134" i="190"/>
  <c r="K164" i="190"/>
  <c r="P173" i="190"/>
  <c r="P172" i="190" s="1"/>
  <c r="P182" i="190"/>
  <c r="P181" i="190" s="1"/>
  <c r="P180" i="190" s="1"/>
  <c r="E192" i="190"/>
  <c r="J194" i="190"/>
  <c r="O192" i="190"/>
  <c r="M211" i="190"/>
  <c r="M210" i="190" s="1"/>
  <c r="E224" i="190"/>
  <c r="O240" i="190"/>
  <c r="J240" i="190" s="1"/>
  <c r="Q324" i="190"/>
  <c r="P324" i="190"/>
  <c r="O170" i="190"/>
  <c r="O189" i="190"/>
  <c r="O188" i="190" s="1"/>
  <c r="O185" i="190" s="1"/>
  <c r="K188" i="190"/>
  <c r="K185" i="190" s="1"/>
  <c r="N211" i="190"/>
  <c r="N210" i="190" s="1"/>
  <c r="E226" i="190"/>
  <c r="G230" i="190"/>
  <c r="G229" i="190" s="1"/>
  <c r="O235" i="190"/>
  <c r="L229" i="190"/>
  <c r="P59" i="190"/>
  <c r="O66" i="190"/>
  <c r="P123" i="190"/>
  <c r="P122" i="190" s="1"/>
  <c r="J128" i="190"/>
  <c r="P128" i="190" s="1"/>
  <c r="P138" i="190"/>
  <c r="E134" i="190"/>
  <c r="E152" i="190"/>
  <c r="E151" i="190" s="1"/>
  <c r="M155" i="190"/>
  <c r="M107" i="190" s="1"/>
  <c r="M106" i="190" s="1"/>
  <c r="N164" i="190"/>
  <c r="N163" i="190" s="1"/>
  <c r="K167" i="190"/>
  <c r="J170" i="190"/>
  <c r="P170" i="190" s="1"/>
  <c r="P178" i="190"/>
  <c r="P177" i="190" s="1"/>
  <c r="J189" i="190"/>
  <c r="J188" i="190" s="1"/>
  <c r="P206" i="190"/>
  <c r="P205" i="190" s="1"/>
  <c r="P204" i="190" s="1"/>
  <c r="E205" i="190"/>
  <c r="E204" i="190" s="1"/>
  <c r="E213" i="190"/>
  <c r="E212" i="190" s="1"/>
  <c r="P246" i="190"/>
  <c r="P245" i="190" s="1"/>
  <c r="P244" i="190" s="1"/>
  <c r="J245" i="190"/>
  <c r="J244" i="190" s="1"/>
  <c r="J56" i="190"/>
  <c r="J55" i="190" s="1"/>
  <c r="R109" i="190"/>
  <c r="P115" i="190"/>
  <c r="O125" i="190"/>
  <c r="O158" i="190"/>
  <c r="E160" i="190"/>
  <c r="E159" i="190" s="1"/>
  <c r="P179" i="190"/>
  <c r="P201" i="190"/>
  <c r="F211" i="190"/>
  <c r="F210" i="190" s="1"/>
  <c r="J217" i="190"/>
  <c r="O216" i="190"/>
  <c r="O215" i="190" s="1"/>
  <c r="J224" i="190"/>
  <c r="J223" i="190" s="1"/>
  <c r="J222" i="190" s="1"/>
  <c r="P166" i="190"/>
  <c r="P165" i="190" s="1"/>
  <c r="R179" i="190"/>
  <c r="O179" i="190"/>
  <c r="J179" i="190" s="1"/>
  <c r="J176" i="190" s="1"/>
  <c r="J175" i="190" s="1"/>
  <c r="G191" i="190"/>
  <c r="G184" i="190" s="1"/>
  <c r="G183" i="190" s="1"/>
  <c r="P196" i="190"/>
  <c r="P195" i="190" s="1"/>
  <c r="K197" i="190"/>
  <c r="K191" i="190" s="1"/>
  <c r="J235" i="190"/>
  <c r="N241" i="190"/>
  <c r="N230" i="190" s="1"/>
  <c r="N229" i="190" s="1"/>
  <c r="J255" i="190"/>
  <c r="O254" i="190"/>
  <c r="O253" i="190" s="1"/>
  <c r="P50" i="190"/>
  <c r="P49" i="190" s="1"/>
  <c r="E94" i="190"/>
  <c r="P102" i="190"/>
  <c r="P101" i="190" s="1"/>
  <c r="P100" i="190" s="1"/>
  <c r="P99" i="190" s="1"/>
  <c r="O113" i="190"/>
  <c r="O112" i="190" s="1"/>
  <c r="J123" i="190"/>
  <c r="J122" i="190" s="1"/>
  <c r="P150" i="190"/>
  <c r="P148" i="190" s="1"/>
  <c r="K157" i="190"/>
  <c r="K156" i="190" s="1"/>
  <c r="K155" i="190" s="1"/>
  <c r="P171" i="190"/>
  <c r="O172" i="190"/>
  <c r="O167" i="190" s="1"/>
  <c r="O198" i="190"/>
  <c r="O197" i="190" s="1"/>
  <c r="I211" i="190"/>
  <c r="I210" i="190" s="1"/>
  <c r="O213" i="190"/>
  <c r="K212" i="190"/>
  <c r="K235" i="190"/>
  <c r="E51" i="190"/>
  <c r="P51" i="190" s="1"/>
  <c r="K122" i="190"/>
  <c r="K112" i="190" s="1"/>
  <c r="K107" i="190" s="1"/>
  <c r="P132" i="190"/>
  <c r="P131" i="190" s="1"/>
  <c r="G164" i="190"/>
  <c r="G163" i="190" s="1"/>
  <c r="E181" i="190"/>
  <c r="E180" i="190" s="1"/>
  <c r="E164" i="190" s="1"/>
  <c r="J186" i="190"/>
  <c r="P187" i="190"/>
  <c r="P186" i="190" s="1"/>
  <c r="E197" i="190"/>
  <c r="G259" i="190"/>
  <c r="G258" i="190" s="1"/>
  <c r="E260" i="190"/>
  <c r="E259" i="190" s="1"/>
  <c r="P261" i="190"/>
  <c r="P260" i="190" s="1"/>
  <c r="L300" i="190"/>
  <c r="L148" i="190"/>
  <c r="L112" i="190" s="1"/>
  <c r="L107" i="190" s="1"/>
  <c r="L197" i="190"/>
  <c r="L191" i="190" s="1"/>
  <c r="O226" i="190"/>
  <c r="O223" i="190" s="1"/>
  <c r="O222" i="190" s="1"/>
  <c r="J227" i="190"/>
  <c r="J226" i="190" s="1"/>
  <c r="E236" i="190"/>
  <c r="E235" i="190" s="1"/>
  <c r="E230" i="190" s="1"/>
  <c r="P248" i="190"/>
  <c r="P278" i="190"/>
  <c r="P277" i="190" s="1"/>
  <c r="P276" i="190" s="1"/>
  <c r="I281" i="190"/>
  <c r="I280" i="190" s="1"/>
  <c r="P307" i="190"/>
  <c r="L319" i="190"/>
  <c r="L318" i="190" s="1"/>
  <c r="G326" i="190"/>
  <c r="G325" i="190" s="1"/>
  <c r="E342" i="190"/>
  <c r="F341" i="190"/>
  <c r="P345" i="190"/>
  <c r="P344" i="190" s="1"/>
  <c r="P343" i="190" s="1"/>
  <c r="J344" i="190"/>
  <c r="J343" i="190" s="1"/>
  <c r="L188" i="190"/>
  <c r="L185" i="190" s="1"/>
  <c r="P237" i="190"/>
  <c r="P236" i="190" s="1"/>
  <c r="P235" i="190" s="1"/>
  <c r="O250" i="190"/>
  <c r="O247" i="190" s="1"/>
  <c r="K259" i="190"/>
  <c r="P275" i="190"/>
  <c r="J278" i="190"/>
  <c r="J277" i="190" s="1"/>
  <c r="J276" i="190" s="1"/>
  <c r="L281" i="190"/>
  <c r="M301" i="190"/>
  <c r="M300" i="190" s="1"/>
  <c r="O314" i="190"/>
  <c r="O313" i="190" s="1"/>
  <c r="J338" i="190"/>
  <c r="P338" i="190" s="1"/>
  <c r="O336" i="190"/>
  <c r="O335" i="190" s="1"/>
  <c r="O334" i="190" s="1"/>
  <c r="M281" i="190"/>
  <c r="M280" i="190" s="1"/>
  <c r="P316" i="190"/>
  <c r="P315" i="190" s="1"/>
  <c r="E315" i="190"/>
  <c r="E314" i="190" s="1"/>
  <c r="J232" i="190"/>
  <c r="O231" i="190"/>
  <c r="O242" i="190"/>
  <c r="O241" i="190" s="1"/>
  <c r="J243" i="190"/>
  <c r="K241" i="190"/>
  <c r="I289" i="190"/>
  <c r="I288" i="190" s="1"/>
  <c r="O291" i="190"/>
  <c r="K290" i="190"/>
  <c r="K289" i="190" s="1"/>
  <c r="P299" i="190"/>
  <c r="P298" i="190" s="1"/>
  <c r="P295" i="190" s="1"/>
  <c r="P294" i="190" s="1"/>
  <c r="E311" i="190"/>
  <c r="E310" i="190" s="1"/>
  <c r="H314" i="190"/>
  <c r="H313" i="190" s="1"/>
  <c r="K325" i="190"/>
  <c r="G335" i="190"/>
  <c r="G334" i="190" s="1"/>
  <c r="E131" i="190"/>
  <c r="E112" i="190" s="1"/>
  <c r="K216" i="190"/>
  <c r="K215" i="190" s="1"/>
  <c r="P240" i="190"/>
  <c r="P251" i="190"/>
  <c r="P250" i="190" s="1"/>
  <c r="J250" i="190"/>
  <c r="J247" i="190" s="1"/>
  <c r="N259" i="190"/>
  <c r="N258" i="190" s="1"/>
  <c r="J271" i="190"/>
  <c r="J270" i="190" s="1"/>
  <c r="J268" i="190" s="1"/>
  <c r="J267" i="190" s="1"/>
  <c r="O270" i="190"/>
  <c r="O268" i="190" s="1"/>
  <c r="O267" i="190" s="1"/>
  <c r="O308" i="190"/>
  <c r="O305" i="190" s="1"/>
  <c r="O302" i="190" s="1"/>
  <c r="J309" i="190"/>
  <c r="J308" i="190" s="1"/>
  <c r="J305" i="190" s="1"/>
  <c r="J302" i="190" s="1"/>
  <c r="J320" i="190"/>
  <c r="J319" i="190" s="1"/>
  <c r="J318" i="190" s="1"/>
  <c r="Q321" i="190"/>
  <c r="P321" i="190"/>
  <c r="P320" i="190" s="1"/>
  <c r="P319" i="190" s="1"/>
  <c r="P318" i="190" s="1"/>
  <c r="F260" i="190"/>
  <c r="F259" i="190" s="1"/>
  <c r="F258" i="190" s="1"/>
  <c r="O259" i="190"/>
  <c r="O258" i="190" s="1"/>
  <c r="J266" i="190"/>
  <c r="O265" i="190"/>
  <c r="O264" i="190" s="1"/>
  <c r="P274" i="190"/>
  <c r="P283" i="190"/>
  <c r="P282" i="190" s="1"/>
  <c r="E282" i="190"/>
  <c r="E281" i="190" s="1"/>
  <c r="P292" i="190"/>
  <c r="J326" i="190"/>
  <c r="J325" i="190" s="1"/>
  <c r="E329" i="190"/>
  <c r="E326" i="190" s="1"/>
  <c r="K335" i="190"/>
  <c r="J336" i="190"/>
  <c r="P337" i="190"/>
  <c r="P336" i="190" s="1"/>
  <c r="P340" i="190"/>
  <c r="M289" i="190"/>
  <c r="M288" i="190" s="1"/>
  <c r="P297" i="190"/>
  <c r="P296" i="190" s="1"/>
  <c r="J296" i="190"/>
  <c r="J295" i="190" s="1"/>
  <c r="J294" i="190" s="1"/>
  <c r="L314" i="190"/>
  <c r="J339" i="190"/>
  <c r="E309" i="190"/>
  <c r="J342" i="190"/>
  <c r="J341" i="190" s="1"/>
  <c r="K282" i="190"/>
  <c r="K281" i="190" s="1"/>
  <c r="K280" i="190" s="1"/>
  <c r="O298" i="190"/>
  <c r="O295" i="190" s="1"/>
  <c r="O294" i="190" s="1"/>
  <c r="K311" i="190"/>
  <c r="K310" i="190" s="1"/>
  <c r="K301" i="190" s="1"/>
  <c r="L325" i="190"/>
  <c r="F339" i="190"/>
  <c r="F335" i="190" s="1"/>
  <c r="F334" i="190" s="1"/>
  <c r="O312" i="190"/>
  <c r="P333" i="190"/>
  <c r="P332" i="190" s="1"/>
  <c r="P329" i="190" s="1"/>
  <c r="E348" i="190"/>
  <c r="C55" i="189"/>
  <c r="D12" i="189"/>
  <c r="C43" i="189"/>
  <c r="C64" i="189"/>
  <c r="C80" i="189"/>
  <c r="D109" i="189"/>
  <c r="D86" i="189"/>
  <c r="E90" i="189"/>
  <c r="L184" i="190" l="1"/>
  <c r="L106" i="190"/>
  <c r="E163" i="190"/>
  <c r="K41" i="190"/>
  <c r="K300" i="190"/>
  <c r="L41" i="190"/>
  <c r="L346" i="190"/>
  <c r="L358" i="190" s="1"/>
  <c r="E229" i="190"/>
  <c r="K106" i="190"/>
  <c r="P224" i="190"/>
  <c r="E223" i="190"/>
  <c r="E222" i="190" s="1"/>
  <c r="K163" i="190"/>
  <c r="J259" i="190"/>
  <c r="J258" i="190" s="1"/>
  <c r="O230" i="190"/>
  <c r="P176" i="190"/>
  <c r="P175" i="190" s="1"/>
  <c r="P227" i="190"/>
  <c r="P226" i="190" s="1"/>
  <c r="O176" i="190"/>
  <c r="O175" i="190" s="1"/>
  <c r="O164" i="190" s="1"/>
  <c r="P189" i="190"/>
  <c r="P188" i="190" s="1"/>
  <c r="P185" i="190" s="1"/>
  <c r="E188" i="190"/>
  <c r="E185" i="190" s="1"/>
  <c r="E184" i="190" s="1"/>
  <c r="O311" i="190"/>
  <c r="O310" i="190" s="1"/>
  <c r="J312" i="190"/>
  <c r="P309" i="190"/>
  <c r="P308" i="190" s="1"/>
  <c r="P305" i="190" s="1"/>
  <c r="P302" i="190" s="1"/>
  <c r="E308" i="190"/>
  <c r="E305" i="190" s="1"/>
  <c r="E302" i="190" s="1"/>
  <c r="E301" i="190" s="1"/>
  <c r="K288" i="190"/>
  <c r="P232" i="190"/>
  <c r="P231" i="190" s="1"/>
  <c r="J231" i="190"/>
  <c r="P342" i="190"/>
  <c r="P341" i="190" s="1"/>
  <c r="E341" i="190"/>
  <c r="E339" i="190" s="1"/>
  <c r="E335" i="190" s="1"/>
  <c r="J185" i="190"/>
  <c r="K230" i="190"/>
  <c r="P202" i="190"/>
  <c r="P200" i="190" s="1"/>
  <c r="E200" i="190"/>
  <c r="F184" i="190"/>
  <c r="F183" i="190" s="1"/>
  <c r="M346" i="190"/>
  <c r="M358" i="190" s="1"/>
  <c r="M16" i="190"/>
  <c r="N346" i="190"/>
  <c r="N358" i="190" s="1"/>
  <c r="G346" i="190"/>
  <c r="G358" i="190" s="1"/>
  <c r="G16" i="190"/>
  <c r="O301" i="190"/>
  <c r="K258" i="190"/>
  <c r="E280" i="190"/>
  <c r="O290" i="190"/>
  <c r="O289" i="190" s="1"/>
  <c r="J291" i="190"/>
  <c r="E313" i="190"/>
  <c r="K211" i="190"/>
  <c r="J254" i="190"/>
  <c r="J253" i="190" s="1"/>
  <c r="P255" i="190"/>
  <c r="P254" i="190" s="1"/>
  <c r="P253" i="190" s="1"/>
  <c r="O65" i="190"/>
  <c r="J66" i="190"/>
  <c r="P271" i="190"/>
  <c r="P270" i="190" s="1"/>
  <c r="P268" i="190" s="1"/>
  <c r="P267" i="190" s="1"/>
  <c r="O191" i="190"/>
  <c r="P134" i="190"/>
  <c r="P112" i="190" s="1"/>
  <c r="J96" i="190"/>
  <c r="J86" i="190" s="1"/>
  <c r="P97" i="190"/>
  <c r="P96" i="190" s="1"/>
  <c r="K16" i="190"/>
  <c r="Q348" i="190"/>
  <c r="J335" i="190"/>
  <c r="J334" i="190" s="1"/>
  <c r="E258" i="190"/>
  <c r="O212" i="190"/>
  <c r="O211" i="190" s="1"/>
  <c r="J213" i="190"/>
  <c r="E158" i="190"/>
  <c r="E211" i="190"/>
  <c r="K184" i="190"/>
  <c r="J192" i="190"/>
  <c r="P194" i="190"/>
  <c r="P192" i="190" s="1"/>
  <c r="J112" i="190"/>
  <c r="P44" i="190"/>
  <c r="F191" i="190"/>
  <c r="J83" i="190"/>
  <c r="J82" i="190" s="1"/>
  <c r="L313" i="190"/>
  <c r="J314" i="190"/>
  <c r="J313" i="190" s="1"/>
  <c r="P247" i="190"/>
  <c r="L280" i="190"/>
  <c r="J281" i="190"/>
  <c r="J158" i="190"/>
  <c r="J157" i="190" s="1"/>
  <c r="J156" i="190" s="1"/>
  <c r="J155" i="190" s="1"/>
  <c r="O157" i="190"/>
  <c r="O156" i="190" s="1"/>
  <c r="O155" i="190" s="1"/>
  <c r="O107" i="190" s="1"/>
  <c r="O184" i="190"/>
  <c r="O183" i="190" s="1"/>
  <c r="E191" i="190"/>
  <c r="P93" i="190"/>
  <c r="P92" i="190" s="1"/>
  <c r="P86" i="190" s="1"/>
  <c r="E92" i="190"/>
  <c r="E86" i="190" s="1"/>
  <c r="E83" i="190" s="1"/>
  <c r="E43" i="190"/>
  <c r="E42" i="190" s="1"/>
  <c r="J84" i="190"/>
  <c r="P85" i="190"/>
  <c r="P84" i="190" s="1"/>
  <c r="P81" i="190"/>
  <c r="P80" i="190" s="1"/>
  <c r="P79" i="190" s="1"/>
  <c r="P56" i="190"/>
  <c r="P66" i="190"/>
  <c r="O17" i="190"/>
  <c r="J167" i="190"/>
  <c r="P55" i="190"/>
  <c r="J208" i="190"/>
  <c r="J207" i="190" s="1"/>
  <c r="P209" i="190"/>
  <c r="P208" i="190" s="1"/>
  <c r="P207" i="190" s="1"/>
  <c r="P29" i="190"/>
  <c r="P27" i="190" s="1"/>
  <c r="P23" i="190" s="1"/>
  <c r="I346" i="190"/>
  <c r="I358" i="190" s="1"/>
  <c r="I16" i="190"/>
  <c r="E325" i="190"/>
  <c r="P326" i="190"/>
  <c r="P339" i="190"/>
  <c r="K334" i="190"/>
  <c r="J265" i="190"/>
  <c r="J264" i="190" s="1"/>
  <c r="P266" i="190"/>
  <c r="P265" i="190" s="1"/>
  <c r="P264" i="190" s="1"/>
  <c r="J242" i="190"/>
  <c r="J241" i="190" s="1"/>
  <c r="P243" i="190"/>
  <c r="P242" i="190" s="1"/>
  <c r="P241" i="190" s="1"/>
  <c r="J216" i="190"/>
  <c r="J215" i="190" s="1"/>
  <c r="P217" i="190"/>
  <c r="P216" i="190" s="1"/>
  <c r="P215" i="190" s="1"/>
  <c r="J198" i="190"/>
  <c r="P167" i="190"/>
  <c r="P62" i="190"/>
  <c r="P58" i="190"/>
  <c r="P53" i="190"/>
  <c r="H346" i="190"/>
  <c r="H358" i="190" s="1"/>
  <c r="H16" i="190"/>
  <c r="C90" i="189"/>
  <c r="E85" i="189"/>
  <c r="E96" i="189" s="1"/>
  <c r="E127" i="189" s="1"/>
  <c r="I127" i="189" s="1"/>
  <c r="D85" i="189"/>
  <c r="C86" i="189"/>
  <c r="C109" i="189"/>
  <c r="D100" i="189"/>
  <c r="C12" i="189"/>
  <c r="D11" i="189"/>
  <c r="C11" i="189" s="1"/>
  <c r="O106" i="190" l="1"/>
  <c r="J107" i="190"/>
  <c r="J106" i="190" s="1"/>
  <c r="E183" i="190"/>
  <c r="P259" i="190"/>
  <c r="K210" i="190"/>
  <c r="F346" i="190"/>
  <c r="E210" i="190"/>
  <c r="K229" i="190"/>
  <c r="J197" i="190"/>
  <c r="J191" i="190" s="1"/>
  <c r="P198" i="190"/>
  <c r="P197" i="190" s="1"/>
  <c r="J290" i="190"/>
  <c r="P291" i="190"/>
  <c r="P290" i="190" s="1"/>
  <c r="E300" i="190"/>
  <c r="O300" i="190"/>
  <c r="J301" i="190"/>
  <c r="J300" i="190" s="1"/>
  <c r="J280" i="190"/>
  <c r="P158" i="190"/>
  <c r="P157" i="190" s="1"/>
  <c r="P156" i="190" s="1"/>
  <c r="P155" i="190" s="1"/>
  <c r="E157" i="190"/>
  <c r="E156" i="190" s="1"/>
  <c r="E155" i="190" s="1"/>
  <c r="E107" i="190" s="1"/>
  <c r="O288" i="190"/>
  <c r="J289" i="190"/>
  <c r="E334" i="190"/>
  <c r="P335" i="190"/>
  <c r="P191" i="190"/>
  <c r="O163" i="190"/>
  <c r="J164" i="190"/>
  <c r="P325" i="190"/>
  <c r="Q326" i="190"/>
  <c r="E41" i="190"/>
  <c r="E346" i="190"/>
  <c r="P213" i="190"/>
  <c r="P212" i="190" s="1"/>
  <c r="J212" i="190"/>
  <c r="J65" i="190"/>
  <c r="O43" i="190"/>
  <c r="O42" i="190" s="1"/>
  <c r="P281" i="190"/>
  <c r="J311" i="190"/>
  <c r="J310" i="190" s="1"/>
  <c r="P312" i="190"/>
  <c r="P311" i="190" s="1"/>
  <c r="P310" i="190" s="1"/>
  <c r="P223" i="190"/>
  <c r="P222" i="190" s="1"/>
  <c r="K183" i="190"/>
  <c r="P314" i="190"/>
  <c r="O346" i="190"/>
  <c r="O16" i="190"/>
  <c r="J17" i="190"/>
  <c r="E82" i="190"/>
  <c r="P83" i="190"/>
  <c r="O210" i="190"/>
  <c r="J211" i="190"/>
  <c r="J210" i="190" s="1"/>
  <c r="K346" i="190"/>
  <c r="O229" i="190"/>
  <c r="J230" i="190"/>
  <c r="J184" i="190"/>
  <c r="J183" i="190" s="1"/>
  <c r="L183" i="190"/>
  <c r="D96" i="189"/>
  <c r="C85" i="189"/>
  <c r="D97" i="189"/>
  <c r="C97" i="189" s="1"/>
  <c r="C100" i="189"/>
  <c r="P65" i="190" l="1"/>
  <c r="P43" i="190" s="1"/>
  <c r="J43" i="190"/>
  <c r="K361" i="190"/>
  <c r="K358" i="190"/>
  <c r="J163" i="190"/>
  <c r="P164" i="190"/>
  <c r="Q259" i="190"/>
  <c r="P258" i="190"/>
  <c r="Q314" i="190"/>
  <c r="P313" i="190"/>
  <c r="E359" i="190"/>
  <c r="F359" i="190"/>
  <c r="E367" i="190"/>
  <c r="E358" i="190"/>
  <c r="Q335" i="190"/>
  <c r="P334" i="190"/>
  <c r="J16" i="190"/>
  <c r="P17" i="190"/>
  <c r="J288" i="190"/>
  <c r="P289" i="190"/>
  <c r="J229" i="190"/>
  <c r="P230" i="190"/>
  <c r="P280" i="190"/>
  <c r="Q281" i="190"/>
  <c r="P301" i="190"/>
  <c r="P211" i="190"/>
  <c r="P184" i="190"/>
  <c r="F358" i="190"/>
  <c r="F363" i="190"/>
  <c r="Q83" i="190"/>
  <c r="P82" i="190"/>
  <c r="O361" i="190"/>
  <c r="O358" i="190"/>
  <c r="O41" i="190"/>
  <c r="J42" i="190"/>
  <c r="E106" i="190"/>
  <c r="P107" i="190"/>
  <c r="C96" i="189"/>
  <c r="D127" i="189"/>
  <c r="J161" i="184"/>
  <c r="R189" i="190" s="1"/>
  <c r="K42" i="184"/>
  <c r="Q230" i="190" l="1"/>
  <c r="P229" i="190"/>
  <c r="P288" i="190"/>
  <c r="Q289" i="190"/>
  <c r="P163" i="190"/>
  <c r="Q164" i="190"/>
  <c r="J41" i="190"/>
  <c r="P42" i="190"/>
  <c r="P183" i="190"/>
  <c r="Q184" i="190"/>
  <c r="Q107" i="190"/>
  <c r="P106" i="190"/>
  <c r="S107" i="190"/>
  <c r="P346" i="190"/>
  <c r="P16" i="190"/>
  <c r="P300" i="190"/>
  <c r="Q301" i="190"/>
  <c r="P210" i="190"/>
  <c r="Q211" i="190"/>
  <c r="J346" i="190"/>
  <c r="H127" i="189"/>
  <c r="C127" i="189"/>
  <c r="G127" i="189" s="1"/>
  <c r="D17" i="170"/>
  <c r="D25" i="170" s="1"/>
  <c r="D50" i="170"/>
  <c r="D52" i="170" s="1"/>
  <c r="P41" i="190" l="1"/>
  <c r="Q42" i="190"/>
  <c r="R346" i="190"/>
  <c r="P358" i="190"/>
  <c r="F361" i="190"/>
  <c r="J358" i="190"/>
  <c r="J361" i="190"/>
  <c r="P359" i="190"/>
  <c r="Q347" i="165"/>
  <c r="S347" i="165"/>
  <c r="J129" i="167" l="1"/>
  <c r="R160" i="165"/>
  <c r="O160" i="165"/>
  <c r="J160" i="165" s="1"/>
  <c r="E160" i="165"/>
  <c r="N158" i="165"/>
  <c r="M158" i="165"/>
  <c r="L158" i="165"/>
  <c r="K158" i="165"/>
  <c r="I158" i="165"/>
  <c r="H158" i="165"/>
  <c r="G158" i="165"/>
  <c r="F158" i="165"/>
  <c r="H129" i="167" l="1"/>
  <c r="I129" i="167"/>
  <c r="G129" i="167" s="1"/>
  <c r="P160" i="165"/>
  <c r="N140" i="165"/>
  <c r="M140" i="165"/>
  <c r="L140" i="165"/>
  <c r="K140" i="165"/>
  <c r="I140" i="165"/>
  <c r="H140" i="165"/>
  <c r="G140" i="165"/>
  <c r="F140" i="165"/>
  <c r="R151" i="165" l="1"/>
  <c r="O151" i="165"/>
  <c r="J151" i="165" s="1"/>
  <c r="E151" i="165"/>
  <c r="R148" i="165"/>
  <c r="O148" i="165"/>
  <c r="J148" i="165" s="1"/>
  <c r="E148" i="165"/>
  <c r="R144" i="165"/>
  <c r="O144" i="165"/>
  <c r="J144" i="165" s="1"/>
  <c r="E144" i="165"/>
  <c r="R141" i="165"/>
  <c r="O141" i="165"/>
  <c r="E141" i="165"/>
  <c r="P144" i="165" l="1"/>
  <c r="E140" i="165"/>
  <c r="O140" i="165"/>
  <c r="P151" i="165"/>
  <c r="P148" i="165"/>
  <c r="J141" i="165"/>
  <c r="J95" i="167"/>
  <c r="R108" i="165"/>
  <c r="P141" i="165" l="1"/>
  <c r="P140" i="165" s="1"/>
  <c r="J140" i="165"/>
  <c r="O108" i="165"/>
  <c r="J108" i="165"/>
  <c r="I95" i="167" s="1"/>
  <c r="E108" i="165"/>
  <c r="N107" i="165"/>
  <c r="N106" i="165" s="1"/>
  <c r="M107" i="165"/>
  <c r="M106" i="165" s="1"/>
  <c r="L107" i="165"/>
  <c r="L106" i="165" s="1"/>
  <c r="K107" i="165"/>
  <c r="K106" i="165" s="1"/>
  <c r="I107" i="165"/>
  <c r="I106" i="165" s="1"/>
  <c r="H107" i="165"/>
  <c r="H106" i="165" s="1"/>
  <c r="G107" i="165"/>
  <c r="G106" i="165" s="1"/>
  <c r="F107" i="165"/>
  <c r="F106" i="165" s="1"/>
  <c r="E107" i="165" l="1"/>
  <c r="E106" i="165" s="1"/>
  <c r="H95" i="167"/>
  <c r="G95" i="167" s="1"/>
  <c r="J107" i="165"/>
  <c r="J106" i="165" s="1"/>
  <c r="P108" i="165"/>
  <c r="P107" i="165" s="1"/>
  <c r="P106" i="165" s="1"/>
  <c r="O107" i="165"/>
  <c r="O106" i="165" s="1"/>
  <c r="R78" i="165" l="1"/>
  <c r="J69" i="167" l="1"/>
  <c r="O78" i="165"/>
  <c r="J78" i="165" s="1"/>
  <c r="I69" i="167" s="1"/>
  <c r="E78" i="165"/>
  <c r="H69" i="167" s="1"/>
  <c r="N76" i="165"/>
  <c r="M76" i="165"/>
  <c r="L76" i="165"/>
  <c r="I76" i="165"/>
  <c r="H76" i="165"/>
  <c r="G76" i="165"/>
  <c r="F76" i="165"/>
  <c r="C121" i="188"/>
  <c r="C113" i="188"/>
  <c r="C112" i="188"/>
  <c r="C111" i="188"/>
  <c r="C110" i="188"/>
  <c r="C114" i="188"/>
  <c r="D101" i="188"/>
  <c r="F101" i="188"/>
  <c r="E101" i="188"/>
  <c r="C105" i="188"/>
  <c r="C103" i="188"/>
  <c r="P78" i="165" l="1"/>
  <c r="G69" i="167"/>
  <c r="C123" i="188"/>
  <c r="E109" i="188"/>
  <c r="C77" i="188"/>
  <c r="C16" i="188"/>
  <c r="C16" i="194" s="1"/>
  <c r="C15" i="188"/>
  <c r="C14" i="188"/>
  <c r="C99" i="188" l="1"/>
  <c r="C116" i="188"/>
  <c r="C115" i="188"/>
  <c r="F109" i="188"/>
  <c r="F100" i="188" s="1"/>
  <c r="C122" i="188"/>
  <c r="D98" i="188"/>
  <c r="C98" i="188" s="1"/>
  <c r="E94" i="188"/>
  <c r="E91" i="188"/>
  <c r="C91" i="188" s="1"/>
  <c r="F86" i="188"/>
  <c r="E86" i="188"/>
  <c r="D87" i="188"/>
  <c r="C87" i="188" s="1"/>
  <c r="C95" i="188"/>
  <c r="C102" i="188"/>
  <c r="C104" i="188"/>
  <c r="C106" i="188"/>
  <c r="C107" i="188"/>
  <c r="C108" i="188"/>
  <c r="C117" i="188"/>
  <c r="C119" i="188"/>
  <c r="C120" i="188"/>
  <c r="C124" i="188"/>
  <c r="C125" i="188"/>
  <c r="C126" i="188"/>
  <c r="C93" i="188"/>
  <c r="C81" i="188"/>
  <c r="C82" i="188"/>
  <c r="C83" i="188"/>
  <c r="C84" i="188"/>
  <c r="F55" i="188"/>
  <c r="E80" i="188"/>
  <c r="E79" i="188" s="1"/>
  <c r="E55" i="188" s="1"/>
  <c r="D74" i="188"/>
  <c r="F74" i="188"/>
  <c r="E74" i="188"/>
  <c r="C65" i="188"/>
  <c r="D57" i="188"/>
  <c r="F11" i="188"/>
  <c r="C54" i="188"/>
  <c r="C53" i="188"/>
  <c r="C52" i="188"/>
  <c r="E51" i="188"/>
  <c r="C46" i="188"/>
  <c r="D43" i="188"/>
  <c r="D31" i="188" s="1"/>
  <c r="C32" i="188"/>
  <c r="C45" i="188"/>
  <c r="C44" i="188"/>
  <c r="D23" i="188"/>
  <c r="C23" i="188" s="1"/>
  <c r="D21" i="188"/>
  <c r="D20" i="188" s="1"/>
  <c r="D13" i="188"/>
  <c r="D13" i="194" s="1"/>
  <c r="D18" i="188"/>
  <c r="C19" i="188"/>
  <c r="C18" i="188"/>
  <c r="D86" i="188" l="1"/>
  <c r="C21" i="188"/>
  <c r="C94" i="188"/>
  <c r="D12" i="188"/>
  <c r="D12" i="194" s="1"/>
  <c r="C13" i="188"/>
  <c r="C13" i="194" s="1"/>
  <c r="C80" i="188"/>
  <c r="C43" i="188"/>
  <c r="F352" i="165"/>
  <c r="C12" i="188" l="1"/>
  <c r="C12" i="194" s="1"/>
  <c r="D85" i="188"/>
  <c r="C86" i="188"/>
  <c r="C20" i="188"/>
  <c r="J148" i="167"/>
  <c r="N183" i="165"/>
  <c r="M183" i="165"/>
  <c r="L183" i="165"/>
  <c r="K183" i="165"/>
  <c r="I183" i="165"/>
  <c r="H183" i="165"/>
  <c r="H182" i="165" s="1"/>
  <c r="G183" i="165"/>
  <c r="G182" i="165" s="1"/>
  <c r="F183" i="165"/>
  <c r="F182" i="165" s="1"/>
  <c r="O184" i="165"/>
  <c r="E184" i="165"/>
  <c r="H148" i="167" s="1"/>
  <c r="N182" i="165"/>
  <c r="I26" i="184"/>
  <c r="D88" i="170"/>
  <c r="J73" i="167"/>
  <c r="R87" i="165"/>
  <c r="J83" i="184"/>
  <c r="R69" i="190" s="1"/>
  <c r="K69" i="165"/>
  <c r="O87" i="165"/>
  <c r="E87" i="165"/>
  <c r="H73" i="167" s="1"/>
  <c r="N86" i="165"/>
  <c r="N85" i="165" s="1"/>
  <c r="M86" i="165"/>
  <c r="M85" i="165" s="1"/>
  <c r="L86" i="165"/>
  <c r="L85" i="165" s="1"/>
  <c r="K86" i="165"/>
  <c r="I86" i="165"/>
  <c r="I85" i="165" s="1"/>
  <c r="H86" i="165"/>
  <c r="G86" i="165"/>
  <c r="F86" i="165"/>
  <c r="F85" i="165" s="1"/>
  <c r="J84" i="184"/>
  <c r="R70" i="190" s="1"/>
  <c r="K70" i="165"/>
  <c r="H245" i="167"/>
  <c r="F319" i="165"/>
  <c r="D45" i="170"/>
  <c r="D118" i="188"/>
  <c r="E86" i="165" l="1"/>
  <c r="E85" i="165" s="1"/>
  <c r="E183" i="165"/>
  <c r="C118" i="188"/>
  <c r="D109" i="188"/>
  <c r="H85" i="165"/>
  <c r="M182" i="165"/>
  <c r="I182" i="165"/>
  <c r="G85" i="165"/>
  <c r="K85" i="165"/>
  <c r="J87" i="165"/>
  <c r="P87" i="165" s="1"/>
  <c r="L182" i="165"/>
  <c r="J184" i="165"/>
  <c r="O183" i="165"/>
  <c r="O86" i="165"/>
  <c r="F322" i="165"/>
  <c r="D80" i="170"/>
  <c r="R312" i="190"/>
  <c r="D100" i="188" l="1"/>
  <c r="D97" i="188" s="1"/>
  <c r="C109" i="188"/>
  <c r="J86" i="165"/>
  <c r="E86" i="170"/>
  <c r="I73" i="167"/>
  <c r="G73" i="167" s="1"/>
  <c r="P86" i="165"/>
  <c r="O85" i="165"/>
  <c r="J183" i="165"/>
  <c r="I148" i="167"/>
  <c r="G148" i="167" s="1"/>
  <c r="P184" i="165"/>
  <c r="H241" i="167"/>
  <c r="F317" i="165"/>
  <c r="P183" i="165" l="1"/>
  <c r="P85" i="165"/>
  <c r="J85" i="165"/>
  <c r="K261" i="184" l="1"/>
  <c r="F66" i="165" l="1"/>
  <c r="K172" i="165"/>
  <c r="R172" i="165" l="1"/>
  <c r="R25" i="165" l="1"/>
  <c r="K89" i="184"/>
  <c r="I89" i="184"/>
  <c r="F97" i="188" l="1"/>
  <c r="C92" i="188"/>
  <c r="F91" i="188"/>
  <c r="F90" i="188" s="1"/>
  <c r="F85" i="188" s="1"/>
  <c r="F96" i="188" s="1"/>
  <c r="E90" i="188"/>
  <c r="C89" i="188"/>
  <c r="C88" i="188"/>
  <c r="D79" i="188"/>
  <c r="C79" i="188" s="1"/>
  <c r="C78" i="188"/>
  <c r="C76" i="188"/>
  <c r="C75" i="188"/>
  <c r="C74" i="188"/>
  <c r="C73" i="188"/>
  <c r="C72" i="188"/>
  <c r="D71" i="188"/>
  <c r="C70" i="188"/>
  <c r="C69" i="188"/>
  <c r="C68" i="188"/>
  <c r="C67" i="188"/>
  <c r="C66" i="188"/>
  <c r="C63" i="188"/>
  <c r="C62" i="188"/>
  <c r="C61" i="188"/>
  <c r="C60" i="188"/>
  <c r="C59" i="188"/>
  <c r="C58" i="188"/>
  <c r="C57" i="188"/>
  <c r="D51" i="188"/>
  <c r="C51" i="188" s="1"/>
  <c r="E50" i="188"/>
  <c r="E11" i="188" s="1"/>
  <c r="C50" i="188"/>
  <c r="C49" i="188"/>
  <c r="C48" i="188"/>
  <c r="C47" i="188"/>
  <c r="C42" i="188"/>
  <c r="C41" i="188"/>
  <c r="C40" i="188"/>
  <c r="C39" i="188"/>
  <c r="C38" i="188"/>
  <c r="C37" i="188"/>
  <c r="C36" i="188"/>
  <c r="C35" i="188"/>
  <c r="C34" i="188"/>
  <c r="C33" i="188"/>
  <c r="C30" i="188"/>
  <c r="C29" i="188"/>
  <c r="D28" i="188"/>
  <c r="C28" i="188" s="1"/>
  <c r="C27" i="188"/>
  <c r="D26" i="188"/>
  <c r="D11" i="188" s="1"/>
  <c r="D11" i="194" s="1"/>
  <c r="D96" i="194" s="1"/>
  <c r="C24" i="188"/>
  <c r="C22" i="188"/>
  <c r="C17" i="188"/>
  <c r="C17" i="194" s="1"/>
  <c r="D129" i="194" l="1"/>
  <c r="C96" i="194"/>
  <c r="C26" i="188"/>
  <c r="C71" i="188"/>
  <c r="E100" i="188"/>
  <c r="C101" i="188"/>
  <c r="C90" i="188"/>
  <c r="E85" i="188"/>
  <c r="C25" i="188"/>
  <c r="F129" i="188"/>
  <c r="J129" i="188" s="1"/>
  <c r="C129" i="194" l="1"/>
  <c r="G129" i="194" s="1"/>
  <c r="H129" i="194"/>
  <c r="C85" i="188"/>
  <c r="E96" i="188"/>
  <c r="E129" i="188" s="1"/>
  <c r="I129" i="188" s="1"/>
  <c r="C64" i="188"/>
  <c r="D96" i="188"/>
  <c r="C100" i="188"/>
  <c r="E97" i="188"/>
  <c r="C97" i="188" s="1"/>
  <c r="C31" i="188"/>
  <c r="C11" i="188"/>
  <c r="C11" i="194" s="1"/>
  <c r="C96" i="188" l="1"/>
  <c r="D129" i="188"/>
  <c r="H129" i="188" s="1"/>
  <c r="C55" i="188"/>
  <c r="C129" i="188" l="1"/>
  <c r="G129" i="188" s="1"/>
  <c r="C39" i="172"/>
  <c r="C38" i="172" s="1"/>
  <c r="F38" i="172"/>
  <c r="E38" i="172"/>
  <c r="D38" i="172"/>
  <c r="D37" i="172" s="1"/>
  <c r="C19" i="172"/>
  <c r="C18" i="172"/>
  <c r="F17" i="172"/>
  <c r="E17" i="172"/>
  <c r="E16" i="172" s="1"/>
  <c r="D17" i="172"/>
  <c r="J36" i="167"/>
  <c r="I36" i="167"/>
  <c r="G38" i="167"/>
  <c r="H34" i="167"/>
  <c r="H33" i="167"/>
  <c r="J17" i="184"/>
  <c r="R40" i="190" s="1"/>
  <c r="K40" i="165"/>
  <c r="R159" i="165"/>
  <c r="R130" i="165"/>
  <c r="R120" i="165"/>
  <c r="J123" i="184"/>
  <c r="R126" i="190" s="1"/>
  <c r="N131" i="165"/>
  <c r="M131" i="165"/>
  <c r="L131" i="165"/>
  <c r="I131" i="165"/>
  <c r="H131" i="165"/>
  <c r="G131" i="165"/>
  <c r="F131" i="165"/>
  <c r="K132" i="165"/>
  <c r="F133" i="165"/>
  <c r="F124" i="165"/>
  <c r="F122" i="165"/>
  <c r="K155" i="165"/>
  <c r="J65" i="167"/>
  <c r="I65" i="167"/>
  <c r="J64" i="167"/>
  <c r="R70" i="165"/>
  <c r="N68" i="165"/>
  <c r="M68" i="165"/>
  <c r="L68" i="165"/>
  <c r="K68" i="165"/>
  <c r="I68" i="165"/>
  <c r="H68" i="165"/>
  <c r="G68" i="165"/>
  <c r="F68" i="165"/>
  <c r="O70" i="165"/>
  <c r="E70" i="165"/>
  <c r="K131" i="165" l="1"/>
  <c r="R132" i="165"/>
  <c r="R115" i="165"/>
  <c r="R40" i="165"/>
  <c r="H64" i="167"/>
  <c r="O132" i="165"/>
  <c r="J70" i="165"/>
  <c r="J116" i="167"/>
  <c r="F351" i="165"/>
  <c r="E132" i="165"/>
  <c r="J232" i="167"/>
  <c r="J233" i="167"/>
  <c r="N305" i="165"/>
  <c r="M305" i="165"/>
  <c r="L305" i="165"/>
  <c r="K305" i="165"/>
  <c r="I305" i="165"/>
  <c r="H305" i="165"/>
  <c r="G305" i="165"/>
  <c r="F305" i="165"/>
  <c r="O306" i="165"/>
  <c r="E306" i="165"/>
  <c r="F308" i="165"/>
  <c r="R322" i="165"/>
  <c r="J243" i="167"/>
  <c r="I243" i="167"/>
  <c r="H243" i="167"/>
  <c r="J306" i="184"/>
  <c r="R309" i="190" s="1"/>
  <c r="K319" i="165"/>
  <c r="M238" i="167"/>
  <c r="G238" i="167"/>
  <c r="O305" i="165" l="1"/>
  <c r="J132" i="165"/>
  <c r="J131" i="165" s="1"/>
  <c r="H232" i="167"/>
  <c r="R319" i="165"/>
  <c r="J306" i="165"/>
  <c r="E305" i="165"/>
  <c r="E131" i="165"/>
  <c r="H116" i="167"/>
  <c r="I64" i="167"/>
  <c r="G64" i="167" s="1"/>
  <c r="P70" i="165"/>
  <c r="O131" i="165"/>
  <c r="P132" i="165"/>
  <c r="F313" i="165"/>
  <c r="N313" i="165"/>
  <c r="M313" i="165"/>
  <c r="L313" i="165"/>
  <c r="K313" i="165"/>
  <c r="I313" i="165"/>
  <c r="H313" i="165"/>
  <c r="G313" i="165"/>
  <c r="O314" i="165"/>
  <c r="E314" i="165"/>
  <c r="P306" i="165" l="1"/>
  <c r="I116" i="167"/>
  <c r="G116" i="167" s="1"/>
  <c r="J314" i="165"/>
  <c r="O313" i="165"/>
  <c r="P305" i="165"/>
  <c r="K238" i="167"/>
  <c r="P131" i="165"/>
  <c r="E313" i="165"/>
  <c r="J305" i="165"/>
  <c r="I232" i="167"/>
  <c r="G232" i="167" s="1"/>
  <c r="R179" i="165"/>
  <c r="G177" i="165"/>
  <c r="G172" i="165"/>
  <c r="N204" i="165"/>
  <c r="M204" i="165"/>
  <c r="J169" i="184"/>
  <c r="G204" i="165"/>
  <c r="J166" i="184"/>
  <c r="J165" i="184"/>
  <c r="R198" i="190" s="1"/>
  <c r="J163" i="184"/>
  <c r="P314" i="165" l="1"/>
  <c r="P313" i="165"/>
  <c r="L238" i="167"/>
  <c r="J313" i="165"/>
  <c r="D19" i="108"/>
  <c r="R73" i="165" l="1"/>
  <c r="R69" i="165"/>
  <c r="R67" i="165"/>
  <c r="R64" i="165"/>
  <c r="R62" i="165"/>
  <c r="L34" i="184" l="1"/>
  <c r="M34" i="184" s="1"/>
  <c r="I34" i="184"/>
  <c r="K34" i="184"/>
  <c r="F45" i="165" l="1"/>
  <c r="J21" i="184"/>
  <c r="K44" i="165"/>
  <c r="O44" i="165" s="1"/>
  <c r="J43" i="167"/>
  <c r="I43" i="167"/>
  <c r="H43" i="167"/>
  <c r="K77" i="165"/>
  <c r="K76" i="165" s="1"/>
  <c r="E77" i="165"/>
  <c r="E76" i="165"/>
  <c r="K66" i="165"/>
  <c r="J63" i="167"/>
  <c r="O69" i="165"/>
  <c r="E69" i="165"/>
  <c r="J49" i="167"/>
  <c r="K45" i="165"/>
  <c r="K45" i="191" s="1"/>
  <c r="I45" i="165"/>
  <c r="O48" i="165"/>
  <c r="E48" i="165"/>
  <c r="J55" i="184"/>
  <c r="J50" i="184"/>
  <c r="J46" i="184"/>
  <c r="J49" i="184"/>
  <c r="J26" i="184"/>
  <c r="F60" i="165"/>
  <c r="R281" i="165"/>
  <c r="R278" i="165"/>
  <c r="R265" i="165"/>
  <c r="R241" i="165"/>
  <c r="I257" i="184"/>
  <c r="K260" i="184"/>
  <c r="K259" i="184"/>
  <c r="K258" i="184"/>
  <c r="I258" i="184"/>
  <c r="J256" i="184"/>
  <c r="K256" i="184" s="1"/>
  <c r="J254" i="184"/>
  <c r="I254" i="184"/>
  <c r="J253" i="184"/>
  <c r="J252" i="184"/>
  <c r="K250" i="184"/>
  <c r="I250" i="184"/>
  <c r="J249" i="184"/>
  <c r="K248" i="184"/>
  <c r="I248" i="184"/>
  <c r="K247" i="184"/>
  <c r="J246" i="184"/>
  <c r="K246" i="184" s="1"/>
  <c r="K235" i="184"/>
  <c r="J231" i="184"/>
  <c r="J230" i="184"/>
  <c r="K229" i="184"/>
  <c r="I229" i="184"/>
  <c r="J228" i="184"/>
  <c r="J223" i="184"/>
  <c r="J221" i="184"/>
  <c r="R248" i="190" s="1"/>
  <c r="J220" i="184"/>
  <c r="R246" i="190" s="1"/>
  <c r="J217" i="184"/>
  <c r="J216" i="184"/>
  <c r="J215" i="184"/>
  <c r="J213" i="184"/>
  <c r="J212" i="184"/>
  <c r="I212" i="184"/>
  <c r="K211" i="184"/>
  <c r="J204" i="184"/>
  <c r="K202" i="184"/>
  <c r="I202" i="184"/>
  <c r="J199" i="184"/>
  <c r="K198" i="184"/>
  <c r="I198" i="184"/>
  <c r="J197" i="184"/>
  <c r="K197" i="184" s="1"/>
  <c r="I197" i="184"/>
  <c r="K196" i="184"/>
  <c r="I196" i="184"/>
  <c r="J195" i="184"/>
  <c r="K257" i="165"/>
  <c r="F255" i="165"/>
  <c r="F247" i="165"/>
  <c r="F246" i="165"/>
  <c r="J187" i="184"/>
  <c r="J185" i="184" s="1"/>
  <c r="K186" i="184"/>
  <c r="J183" i="184"/>
  <c r="K183" i="184" s="1"/>
  <c r="I183" i="184"/>
  <c r="J178" i="184"/>
  <c r="R218" i="190" s="1"/>
  <c r="R249" i="190" l="1"/>
  <c r="J210" i="184"/>
  <c r="R252" i="165"/>
  <c r="R243" i="190"/>
  <c r="R46" i="165"/>
  <c r="R46" i="190"/>
  <c r="J191" i="184"/>
  <c r="R249" i="165"/>
  <c r="R240" i="190"/>
  <c r="J68" i="167"/>
  <c r="K221" i="184"/>
  <c r="R54" i="165"/>
  <c r="R56" i="165"/>
  <c r="K212" i="184"/>
  <c r="G45" i="165"/>
  <c r="H49" i="167"/>
  <c r="H45" i="165"/>
  <c r="J81" i="184"/>
  <c r="O77" i="165"/>
  <c r="O76" i="165" s="1"/>
  <c r="R77" i="165"/>
  <c r="H68" i="167"/>
  <c r="J69" i="165"/>
  <c r="O68" i="165"/>
  <c r="E68" i="165"/>
  <c r="H63" i="167"/>
  <c r="R257" i="165"/>
  <c r="K76" i="184"/>
  <c r="J48" i="165"/>
  <c r="J222" i="184"/>
  <c r="J179" i="184"/>
  <c r="R66" i="165" l="1"/>
  <c r="R66" i="190"/>
  <c r="P48" i="165"/>
  <c r="P69" i="165"/>
  <c r="J77" i="165"/>
  <c r="I63" i="167"/>
  <c r="G63" i="167" s="1"/>
  <c r="J68" i="165"/>
  <c r="I49" i="167"/>
  <c r="G49" i="167" s="1"/>
  <c r="J189" i="184"/>
  <c r="R230" i="190" s="1"/>
  <c r="P77" i="165" l="1"/>
  <c r="J76" i="165"/>
  <c r="I68" i="167"/>
  <c r="G68" i="167" s="1"/>
  <c r="P68" i="165"/>
  <c r="K234" i="165"/>
  <c r="K228" i="165"/>
  <c r="K227" i="165"/>
  <c r="J283" i="184"/>
  <c r="D28" i="108"/>
  <c r="J112" i="184"/>
  <c r="J111" i="184"/>
  <c r="D29" i="108"/>
  <c r="L30" i="165"/>
  <c r="J221" i="167"/>
  <c r="G222" i="167"/>
  <c r="O287" i="165"/>
  <c r="L286" i="165"/>
  <c r="E287" i="165"/>
  <c r="N286" i="165"/>
  <c r="M286" i="165"/>
  <c r="K286" i="165"/>
  <c r="I286" i="165"/>
  <c r="H286" i="165"/>
  <c r="G286" i="165"/>
  <c r="F286" i="165"/>
  <c r="L260" i="165"/>
  <c r="L236" i="165"/>
  <c r="P76" i="165" l="1"/>
  <c r="H285" i="165"/>
  <c r="N285" i="165"/>
  <c r="I285" i="165"/>
  <c r="G285" i="165"/>
  <c r="M285" i="165"/>
  <c r="L285" i="165"/>
  <c r="H221" i="167"/>
  <c r="R233" i="165"/>
  <c r="R226" i="165"/>
  <c r="R234" i="165"/>
  <c r="E286" i="165"/>
  <c r="O286" i="165"/>
  <c r="R227" i="165"/>
  <c r="F285" i="165"/>
  <c r="K285" i="165"/>
  <c r="R228" i="165"/>
  <c r="J287" i="165"/>
  <c r="O285" i="165" l="1"/>
  <c r="E285" i="165"/>
  <c r="J286" i="165"/>
  <c r="I221" i="167"/>
  <c r="G221" i="167" s="1"/>
  <c r="P287" i="165"/>
  <c r="P286" i="165" s="1"/>
  <c r="J285" i="165" l="1"/>
  <c r="P285" i="165"/>
  <c r="O30" i="165"/>
  <c r="J106" i="184"/>
  <c r="J103" i="184"/>
  <c r="J100" i="184"/>
  <c r="J102" i="184"/>
  <c r="K108" i="184" l="1"/>
  <c r="R343" i="165"/>
  <c r="R341" i="165"/>
  <c r="R338" i="165"/>
  <c r="J318" i="184"/>
  <c r="J261" i="167"/>
  <c r="I261" i="167"/>
  <c r="H262" i="167"/>
  <c r="G262" i="167" s="1"/>
  <c r="J225" i="167"/>
  <c r="G338" i="165"/>
  <c r="R292" i="165" l="1"/>
  <c r="D44" i="170" l="1"/>
  <c r="J273" i="184"/>
  <c r="R266" i="190" s="1"/>
  <c r="K275" i="165"/>
  <c r="J62" i="167"/>
  <c r="F101" i="165"/>
  <c r="O67" i="165"/>
  <c r="E67" i="165"/>
  <c r="N65" i="165"/>
  <c r="M65" i="165"/>
  <c r="L65" i="165"/>
  <c r="K65" i="165"/>
  <c r="I65" i="165"/>
  <c r="H65" i="165"/>
  <c r="G65" i="165"/>
  <c r="J24" i="167"/>
  <c r="M24" i="167" s="1"/>
  <c r="J26" i="165"/>
  <c r="E26" i="165"/>
  <c r="N24" i="165"/>
  <c r="M24" i="165"/>
  <c r="L24" i="165"/>
  <c r="K24" i="165"/>
  <c r="I24" i="165"/>
  <c r="H24" i="165"/>
  <c r="G24" i="165"/>
  <c r="F24" i="165"/>
  <c r="I24" i="167" l="1"/>
  <c r="L24" i="167" s="1"/>
  <c r="H62" i="167"/>
  <c r="J67" i="165"/>
  <c r="P67" i="165" s="1"/>
  <c r="R275" i="165"/>
  <c r="P26" i="165"/>
  <c r="H24" i="167"/>
  <c r="I62" i="167" l="1"/>
  <c r="G62" i="167" s="1"/>
  <c r="K24" i="167"/>
  <c r="G24" i="167"/>
  <c r="J291" i="184" l="1"/>
  <c r="J276" i="184"/>
  <c r="K276" i="184" l="1"/>
  <c r="D46" i="172" l="1"/>
  <c r="E47" i="172"/>
  <c r="E46" i="172" s="1"/>
  <c r="F46" i="172" s="1"/>
  <c r="E23" i="172"/>
  <c r="E22" i="172" s="1"/>
  <c r="D22" i="172"/>
  <c r="C42" i="172"/>
  <c r="F45" i="172"/>
  <c r="C45" i="172"/>
  <c r="C21" i="172"/>
  <c r="F33" i="172"/>
  <c r="E33" i="172"/>
  <c r="D33" i="172"/>
  <c r="D32" i="172" s="1"/>
  <c r="D26" i="172"/>
  <c r="D25" i="172" s="1"/>
  <c r="F16" i="172"/>
  <c r="D31" i="172" l="1"/>
  <c r="F47" i="172"/>
  <c r="C23" i="172"/>
  <c r="F23" i="172"/>
  <c r="F22" i="172" s="1"/>
  <c r="C46" i="172"/>
  <c r="C47" i="172"/>
  <c r="C22" i="172"/>
  <c r="C17" i="172"/>
  <c r="D16" i="172"/>
  <c r="C16" i="172" l="1"/>
  <c r="C34" i="172" l="1"/>
  <c r="C33" i="172" s="1"/>
  <c r="F36" i="172"/>
  <c r="E36" i="172"/>
  <c r="C36" i="172" s="1"/>
  <c r="F27" i="172"/>
  <c r="F26" i="172" s="1"/>
  <c r="F25" i="172" s="1"/>
  <c r="E27" i="172"/>
  <c r="E26" i="172" s="1"/>
  <c r="E25" i="172" s="1"/>
  <c r="J312" i="184" l="1"/>
  <c r="J311" i="184" s="1"/>
  <c r="R326" i="190" s="1"/>
  <c r="J310" i="184"/>
  <c r="R316" i="190" s="1"/>
  <c r="J305" i="184"/>
  <c r="R301" i="190" s="1"/>
  <c r="J303" i="184"/>
  <c r="R291" i="190" s="1"/>
  <c r="J298" i="184"/>
  <c r="R287" i="190" s="1"/>
  <c r="L294" i="184"/>
  <c r="J294" i="184"/>
  <c r="R275" i="190" s="1"/>
  <c r="I294" i="184"/>
  <c r="K293" i="184"/>
  <c r="I293" i="184"/>
  <c r="K286" i="184"/>
  <c r="I286" i="184"/>
  <c r="K285" i="184"/>
  <c r="I285" i="184"/>
  <c r="J284" i="184"/>
  <c r="R274" i="190" s="1"/>
  <c r="I284" i="184"/>
  <c r="K283" i="184"/>
  <c r="I283" i="184"/>
  <c r="K282" i="184"/>
  <c r="I282" i="184"/>
  <c r="K281" i="184"/>
  <c r="I281" i="184"/>
  <c r="R271" i="190"/>
  <c r="I278" i="184"/>
  <c r="H277" i="184"/>
  <c r="K277" i="184" s="1"/>
  <c r="I276" i="184"/>
  <c r="K274" i="184"/>
  <c r="I274" i="184"/>
  <c r="H273" i="184"/>
  <c r="K273" i="184" s="1"/>
  <c r="L271" i="184"/>
  <c r="J176" i="184"/>
  <c r="R213" i="190" s="1"/>
  <c r="J173" i="184"/>
  <c r="I173" i="184"/>
  <c r="I166" i="184"/>
  <c r="I161" i="184"/>
  <c r="K156" i="184"/>
  <c r="J154" i="184"/>
  <c r="R171" i="190" s="1"/>
  <c r="J153" i="184"/>
  <c r="K153" i="184" s="1"/>
  <c r="I153" i="184"/>
  <c r="J152" i="184"/>
  <c r="R170" i="190" s="1"/>
  <c r="J149" i="184"/>
  <c r="R169" i="190" s="1"/>
  <c r="K148" i="184"/>
  <c r="I148" i="184"/>
  <c r="H144" i="184"/>
  <c r="I144" i="184" s="1"/>
  <c r="J138" i="184"/>
  <c r="R149" i="190" s="1"/>
  <c r="J121" i="184"/>
  <c r="R123" i="190" s="1"/>
  <c r="I119" i="184"/>
  <c r="K115" i="184"/>
  <c r="J109" i="184"/>
  <c r="K107" i="184"/>
  <c r="K105" i="184"/>
  <c r="I105" i="184"/>
  <c r="I104" i="184"/>
  <c r="I102" i="184"/>
  <c r="K101" i="184"/>
  <c r="I101" i="184"/>
  <c r="J86" i="184"/>
  <c r="R72" i="190" s="1"/>
  <c r="I78" i="184"/>
  <c r="K77" i="184"/>
  <c r="K75" i="184"/>
  <c r="I75" i="184"/>
  <c r="K73" i="184"/>
  <c r="I73" i="184"/>
  <c r="J64" i="184"/>
  <c r="R47" i="190" s="1"/>
  <c r="I58" i="184"/>
  <c r="K57" i="184"/>
  <c r="I57" i="184"/>
  <c r="K53" i="184"/>
  <c r="I53" i="184"/>
  <c r="K49" i="184"/>
  <c r="I49" i="184"/>
  <c r="H45" i="184"/>
  <c r="I45" i="184" s="1"/>
  <c r="K30" i="184"/>
  <c r="K25" i="184"/>
  <c r="I25" i="184"/>
  <c r="J24" i="184"/>
  <c r="I24" i="184"/>
  <c r="J22" i="184"/>
  <c r="R44" i="190" s="1"/>
  <c r="I22" i="184"/>
  <c r="J14" i="184"/>
  <c r="J159" i="184" l="1"/>
  <c r="R184" i="190" s="1"/>
  <c r="R209" i="190"/>
  <c r="R19" i="165"/>
  <c r="R19" i="190"/>
  <c r="J94" i="184"/>
  <c r="R104" i="190"/>
  <c r="J20" i="184"/>
  <c r="R42" i="190" s="1"/>
  <c r="J13" i="184"/>
  <c r="J12" i="184" s="1"/>
  <c r="J304" i="184"/>
  <c r="R72" i="165"/>
  <c r="R110" i="165"/>
  <c r="R47" i="165"/>
  <c r="R155" i="165"/>
  <c r="J146" i="184"/>
  <c r="J145" i="184" s="1"/>
  <c r="R164" i="190" s="1"/>
  <c r="R204" i="165"/>
  <c r="J302" i="184"/>
  <c r="J301" i="184" s="1"/>
  <c r="R289" i="190" s="1"/>
  <c r="I273" i="184"/>
  <c r="K278" i="184"/>
  <c r="K284" i="184"/>
  <c r="R283" i="165"/>
  <c r="K294" i="184"/>
  <c r="L22" i="184"/>
  <c r="M22" i="184" s="1"/>
  <c r="R44" i="165"/>
  <c r="J309" i="184"/>
  <c r="J308" i="184" s="1"/>
  <c r="R314" i="190" s="1"/>
  <c r="J175" i="184"/>
  <c r="R211" i="190" s="1"/>
  <c r="J296" i="184"/>
  <c r="J295" i="184" s="1"/>
  <c r="R296" i="165"/>
  <c r="K45" i="184"/>
  <c r="J117" i="184"/>
  <c r="J116" i="184" s="1"/>
  <c r="I277" i="184"/>
  <c r="J188" i="184"/>
  <c r="J272" i="184"/>
  <c r="R259" i="190" s="1"/>
  <c r="R281" i="190" l="1"/>
  <c r="R290" i="191"/>
  <c r="R83" i="190"/>
  <c r="J158" i="184"/>
  <c r="R107" i="190"/>
  <c r="R113" i="191"/>
  <c r="J271" i="184"/>
  <c r="J93" i="184"/>
  <c r="J19" i="184"/>
  <c r="J174" i="184"/>
  <c r="J317" i="184"/>
  <c r="R335" i="190" s="1"/>
  <c r="F35" i="172"/>
  <c r="F32" i="172" s="1"/>
  <c r="E35" i="172"/>
  <c r="E32" i="172" s="1"/>
  <c r="C40" i="172"/>
  <c r="C37" i="172" s="1"/>
  <c r="C28" i="172"/>
  <c r="C27" i="172"/>
  <c r="K284" i="165"/>
  <c r="J320" i="184" l="1"/>
  <c r="Q346" i="190" s="1"/>
  <c r="R284" i="165"/>
  <c r="C26" i="172"/>
  <c r="C25" i="172" s="1"/>
  <c r="C35" i="172"/>
  <c r="C32" i="172" s="1"/>
  <c r="C31" i="172" s="1"/>
  <c r="N254" i="165"/>
  <c r="M254" i="165"/>
  <c r="L254" i="165"/>
  <c r="I254" i="165"/>
  <c r="H254" i="165"/>
  <c r="G254" i="165"/>
  <c r="H253" i="165" l="1"/>
  <c r="L253" i="165"/>
  <c r="I253" i="165"/>
  <c r="M253" i="165"/>
  <c r="G253" i="165"/>
  <c r="N253" i="165"/>
  <c r="J67" i="167" l="1"/>
  <c r="O73" i="165"/>
  <c r="O334" i="165"/>
  <c r="K182" i="165" l="1"/>
  <c r="E73" i="165"/>
  <c r="H67" i="167" s="1"/>
  <c r="R185" i="165"/>
  <c r="J73" i="165"/>
  <c r="K255" i="165"/>
  <c r="E111" i="165"/>
  <c r="O111" i="165"/>
  <c r="J111" i="165" s="1"/>
  <c r="R255" i="165" l="1"/>
  <c r="I67" i="167"/>
  <c r="G67" i="167" s="1"/>
  <c r="K254" i="165"/>
  <c r="P73" i="165"/>
  <c r="P111" i="165"/>
  <c r="K253" i="165" l="1"/>
  <c r="G219" i="167"/>
  <c r="J218" i="167" l="1"/>
  <c r="F21" i="172" l="1"/>
  <c r="G245" i="167"/>
  <c r="G39" i="167" l="1"/>
  <c r="D75" i="170" l="1"/>
  <c r="H22" i="167" l="1"/>
  <c r="J32" i="167"/>
  <c r="G37" i="167"/>
  <c r="G36" i="167"/>
  <c r="G35" i="167"/>
  <c r="G34" i="167"/>
  <c r="G33" i="167"/>
  <c r="K32" i="167"/>
  <c r="I32" i="167"/>
  <c r="J17" i="167"/>
  <c r="M17" i="167" s="1"/>
  <c r="I17" i="167"/>
  <c r="E40" i="165"/>
  <c r="E40" i="191" s="1"/>
  <c r="G244" i="167"/>
  <c r="O40" i="165" l="1"/>
  <c r="M32" i="167"/>
  <c r="E75" i="170"/>
  <c r="J40" i="165" l="1"/>
  <c r="P40" i="165"/>
  <c r="P40" i="191" s="1"/>
  <c r="H64" i="165"/>
  <c r="F75" i="165"/>
  <c r="L32" i="167" l="1"/>
  <c r="K53" i="165"/>
  <c r="N51" i="165"/>
  <c r="M51" i="165"/>
  <c r="L51" i="165"/>
  <c r="I51" i="165"/>
  <c r="H51" i="165"/>
  <c r="G51" i="165"/>
  <c r="F51" i="165"/>
  <c r="E53" i="165"/>
  <c r="J178" i="167"/>
  <c r="O229" i="165"/>
  <c r="E229" i="165"/>
  <c r="R53" i="165" l="1"/>
  <c r="K51" i="165"/>
  <c r="H178" i="167"/>
  <c r="E51" i="165"/>
  <c r="O53" i="165"/>
  <c r="J53" i="165" s="1"/>
  <c r="H51" i="167"/>
  <c r="J229" i="165"/>
  <c r="J51" i="167"/>
  <c r="O51" i="165" l="1"/>
  <c r="P229" i="165"/>
  <c r="I178" i="167"/>
  <c r="G178" i="167" s="1"/>
  <c r="J51" i="165"/>
  <c r="I51" i="167"/>
  <c r="G51" i="167" s="1"/>
  <c r="P53" i="165"/>
  <c r="P51" i="165" l="1"/>
  <c r="J214" i="167" l="1"/>
  <c r="J212" i="167"/>
  <c r="N269" i="165" l="1"/>
  <c r="M269" i="165"/>
  <c r="L269" i="165"/>
  <c r="K269" i="165"/>
  <c r="I269" i="165"/>
  <c r="G269" i="165"/>
  <c r="O272" i="165"/>
  <c r="E272" i="165"/>
  <c r="O278" i="165"/>
  <c r="E278" i="165"/>
  <c r="J278" i="165" l="1"/>
  <c r="H212" i="167"/>
  <c r="J272" i="165"/>
  <c r="H214" i="167"/>
  <c r="P278" i="165"/>
  <c r="K129" i="165"/>
  <c r="K164" i="165"/>
  <c r="N163" i="165"/>
  <c r="M163" i="165"/>
  <c r="L163" i="165"/>
  <c r="I163" i="165"/>
  <c r="H163" i="165"/>
  <c r="G163" i="165"/>
  <c r="F163" i="165"/>
  <c r="G103" i="167"/>
  <c r="K163" i="165" l="1"/>
  <c r="R164" i="165"/>
  <c r="R129" i="165"/>
  <c r="H162" i="165"/>
  <c r="M162" i="165"/>
  <c r="I162" i="165"/>
  <c r="N162" i="165"/>
  <c r="P272" i="165"/>
  <c r="I212" i="167"/>
  <c r="F162" i="165"/>
  <c r="O164" i="165"/>
  <c r="J130" i="167"/>
  <c r="G162" i="165"/>
  <c r="L162" i="165"/>
  <c r="I214" i="167"/>
  <c r="G214" i="167" s="1"/>
  <c r="K162" i="165" l="1"/>
  <c r="J164" i="165"/>
  <c r="J163" i="165" s="1"/>
  <c r="G212" i="167"/>
  <c r="O163" i="165"/>
  <c r="I130" i="167" l="1"/>
  <c r="J162" i="165"/>
  <c r="O162" i="165"/>
  <c r="J112" i="167"/>
  <c r="O126" i="165"/>
  <c r="E126" i="165"/>
  <c r="J104" i="167"/>
  <c r="J105" i="167"/>
  <c r="N114" i="165"/>
  <c r="M114" i="165"/>
  <c r="L114" i="165"/>
  <c r="I114" i="165"/>
  <c r="G114" i="165"/>
  <c r="J117" i="165"/>
  <c r="E117" i="165"/>
  <c r="I105" i="167" l="1"/>
  <c r="H112" i="167"/>
  <c r="J126" i="165"/>
  <c r="K114" i="165"/>
  <c r="P117" i="165"/>
  <c r="H105" i="167"/>
  <c r="I112" i="167" l="1"/>
  <c r="G112" i="167" s="1"/>
  <c r="G105" i="167"/>
  <c r="P126" i="165"/>
  <c r="F266" i="165"/>
  <c r="G266" i="165"/>
  <c r="H266" i="165"/>
  <c r="O255" i="165"/>
  <c r="J182" i="167"/>
  <c r="O234" i="165"/>
  <c r="E234" i="165"/>
  <c r="F254" i="165" l="1"/>
  <c r="O254" i="165"/>
  <c r="H182" i="167"/>
  <c r="J234" i="165"/>
  <c r="P234" i="165" l="1"/>
  <c r="F253" i="165"/>
  <c r="O253" i="165"/>
  <c r="I182" i="167"/>
  <c r="G182" i="167" s="1"/>
  <c r="F114" i="165" l="1"/>
  <c r="J149" i="167" l="1"/>
  <c r="O185" i="165" l="1"/>
  <c r="E185" i="165"/>
  <c r="L181" i="165"/>
  <c r="F174" i="165"/>
  <c r="K176" i="165"/>
  <c r="K177" i="165"/>
  <c r="G139" i="167"/>
  <c r="O182" i="165" l="1"/>
  <c r="E182" i="165"/>
  <c r="R177" i="165"/>
  <c r="R176" i="165"/>
  <c r="M181" i="165"/>
  <c r="K181" i="165"/>
  <c r="I181" i="165"/>
  <c r="N181" i="165"/>
  <c r="F181" i="165"/>
  <c r="H149" i="167"/>
  <c r="G181" i="165"/>
  <c r="H181" i="165"/>
  <c r="J185" i="165"/>
  <c r="J182" i="165" l="1"/>
  <c r="E181" i="165"/>
  <c r="O181" i="165"/>
  <c r="I149" i="167"/>
  <c r="G149" i="167" s="1"/>
  <c r="P185" i="165"/>
  <c r="P182" i="165" l="1"/>
  <c r="J181" i="165"/>
  <c r="K175" i="165"/>
  <c r="R175" i="165" l="1"/>
  <c r="P181" i="165"/>
  <c r="G257" i="167"/>
  <c r="J249" i="167"/>
  <c r="I249" i="167"/>
  <c r="K326" i="165"/>
  <c r="J230" i="167"/>
  <c r="J229" i="167" s="1"/>
  <c r="I230" i="167"/>
  <c r="K300" i="165"/>
  <c r="J171" i="167"/>
  <c r="I171" i="167"/>
  <c r="K222" i="165"/>
  <c r="D25" i="108"/>
  <c r="D34" i="108" s="1"/>
  <c r="H242" i="167"/>
  <c r="R326" i="165" l="1"/>
  <c r="R300" i="165"/>
  <c r="R222" i="165"/>
  <c r="F269" i="165"/>
  <c r="J28" i="167"/>
  <c r="J32" i="165" l="1"/>
  <c r="J30" i="165"/>
  <c r="O29" i="165"/>
  <c r="L29" i="165"/>
  <c r="F29" i="165"/>
  <c r="N29" i="165"/>
  <c r="M29" i="165"/>
  <c r="K29" i="165"/>
  <c r="I29" i="165"/>
  <c r="H29" i="165"/>
  <c r="G29" i="165"/>
  <c r="E32" i="165"/>
  <c r="I28" i="167" l="1"/>
  <c r="H28" i="167"/>
  <c r="J29" i="165"/>
  <c r="P32" i="165"/>
  <c r="J227" i="167"/>
  <c r="G28" i="167" l="1"/>
  <c r="O296" i="165"/>
  <c r="E296" i="165"/>
  <c r="N295" i="165"/>
  <c r="M295" i="165"/>
  <c r="L295" i="165"/>
  <c r="K295" i="165"/>
  <c r="I295" i="165"/>
  <c r="H295" i="165"/>
  <c r="G295" i="165"/>
  <c r="F295" i="165"/>
  <c r="L334" i="165"/>
  <c r="L333" i="165"/>
  <c r="L332" i="165"/>
  <c r="L331" i="165"/>
  <c r="F25" i="153"/>
  <c r="F17" i="153"/>
  <c r="F14" i="153"/>
  <c r="F13" i="153"/>
  <c r="L294" i="165" l="1"/>
  <c r="N294" i="165"/>
  <c r="H294" i="165"/>
  <c r="M294" i="165"/>
  <c r="F29" i="153"/>
  <c r="F294" i="165"/>
  <c r="K294" i="165"/>
  <c r="J296" i="165"/>
  <c r="G294" i="165"/>
  <c r="I294" i="165"/>
  <c r="E295" i="165"/>
  <c r="H227" i="167"/>
  <c r="O295" i="165"/>
  <c r="J295" i="165" l="1"/>
  <c r="P296" i="165"/>
  <c r="E294" i="165"/>
  <c r="J294" i="165"/>
  <c r="O294" i="165"/>
  <c r="I227" i="167"/>
  <c r="G227" i="167" s="1"/>
  <c r="P295" i="165" l="1"/>
  <c r="P294" i="165" l="1"/>
  <c r="D79" i="170"/>
  <c r="J246" i="167" l="1"/>
  <c r="J237" i="167" s="1"/>
  <c r="O322" i="165" l="1"/>
  <c r="O322" i="191" s="1"/>
  <c r="E322" i="165"/>
  <c r="N321" i="165"/>
  <c r="N320" i="165" s="1"/>
  <c r="M321" i="165"/>
  <c r="M320" i="165" s="1"/>
  <c r="L321" i="165"/>
  <c r="K321" i="165"/>
  <c r="K321" i="191" s="1"/>
  <c r="I321" i="165"/>
  <c r="H321" i="165"/>
  <c r="G321" i="165"/>
  <c r="F321" i="165"/>
  <c r="F208" i="165"/>
  <c r="K218" i="165"/>
  <c r="F212" i="165"/>
  <c r="G17" i="107"/>
  <c r="F207" i="165"/>
  <c r="L195" i="165"/>
  <c r="R218" i="165" l="1"/>
  <c r="H320" i="165"/>
  <c r="I320" i="165"/>
  <c r="F320" i="165"/>
  <c r="K320" i="165"/>
  <c r="K320" i="191" s="1"/>
  <c r="K311" i="191" s="1"/>
  <c r="H246" i="167"/>
  <c r="H237" i="167" s="1"/>
  <c r="E79" i="170"/>
  <c r="G320" i="165"/>
  <c r="L320" i="165"/>
  <c r="J322" i="165"/>
  <c r="J322" i="191" s="1"/>
  <c r="O321" i="165"/>
  <c r="O321" i="191" s="1"/>
  <c r="E321" i="165"/>
  <c r="R311" i="191" l="1"/>
  <c r="K310" i="191"/>
  <c r="E87" i="170"/>
  <c r="E320" i="165"/>
  <c r="J321" i="165"/>
  <c r="J321" i="191" s="1"/>
  <c r="I246" i="167"/>
  <c r="I237" i="167" s="1"/>
  <c r="P322" i="165"/>
  <c r="P322" i="191" s="1"/>
  <c r="O320" i="165"/>
  <c r="O320" i="191" s="1"/>
  <c r="O311" i="191" s="1"/>
  <c r="J311" i="191" l="1"/>
  <c r="J310" i="191" s="1"/>
  <c r="O310" i="191"/>
  <c r="G246" i="167"/>
  <c r="P321" i="165"/>
  <c r="P321" i="191" s="1"/>
  <c r="J320" i="165"/>
  <c r="J320" i="191" s="1"/>
  <c r="P320" i="165" l="1"/>
  <c r="P320" i="191" s="1"/>
  <c r="J118" i="167" l="1"/>
  <c r="N134" i="165"/>
  <c r="M134" i="165"/>
  <c r="L134" i="165"/>
  <c r="K134" i="165"/>
  <c r="I134" i="165"/>
  <c r="H134" i="165"/>
  <c r="G134" i="165"/>
  <c r="F134" i="165"/>
  <c r="J113" i="167"/>
  <c r="J111" i="167"/>
  <c r="E134" i="165" l="1"/>
  <c r="O134" i="165"/>
  <c r="J134" i="165" l="1"/>
  <c r="F18" i="165" l="1"/>
  <c r="F18" i="191" s="1"/>
  <c r="P134" i="165"/>
  <c r="J194" i="167"/>
  <c r="G196" i="167"/>
  <c r="P16" i="107" l="1"/>
  <c r="P15" i="107" s="1"/>
  <c r="P14" i="107" s="1"/>
  <c r="L16" i="107"/>
  <c r="L15" i="107" s="1"/>
  <c r="L14" i="107" s="1"/>
  <c r="K16" i="107"/>
  <c r="K15" i="107" s="1"/>
  <c r="K14" i="107" s="1"/>
  <c r="J16" i="107"/>
  <c r="J15" i="107" s="1"/>
  <c r="J14" i="107" s="1"/>
  <c r="H16" i="107"/>
  <c r="H15" i="107" s="1"/>
  <c r="H14" i="107" s="1"/>
  <c r="F16" i="107"/>
  <c r="F15" i="107" s="1"/>
  <c r="F14" i="107" s="1"/>
  <c r="N354" i="165"/>
  <c r="M354" i="165"/>
  <c r="L354" i="165"/>
  <c r="L353" i="165" s="1"/>
  <c r="K354" i="165"/>
  <c r="I354" i="165"/>
  <c r="H354" i="165"/>
  <c r="G354" i="165"/>
  <c r="F354" i="165"/>
  <c r="N351" i="165"/>
  <c r="M351" i="165"/>
  <c r="L351" i="165"/>
  <c r="K351" i="165"/>
  <c r="I351" i="165"/>
  <c r="H351" i="165"/>
  <c r="G351" i="165"/>
  <c r="O350" i="165"/>
  <c r="N346" i="165"/>
  <c r="M346" i="165"/>
  <c r="L346" i="165"/>
  <c r="K346" i="165"/>
  <c r="I346" i="165"/>
  <c r="G346" i="165"/>
  <c r="O340" i="165"/>
  <c r="N340" i="165"/>
  <c r="M340" i="165"/>
  <c r="L340" i="165"/>
  <c r="K340" i="165"/>
  <c r="I340" i="165"/>
  <c r="H340" i="165"/>
  <c r="G340" i="165"/>
  <c r="F340" i="165"/>
  <c r="N342" i="165"/>
  <c r="M342" i="165"/>
  <c r="L342" i="165"/>
  <c r="K342" i="165"/>
  <c r="I342" i="165"/>
  <c r="H342" i="165"/>
  <c r="G342" i="165"/>
  <c r="F342" i="165"/>
  <c r="N337" i="165"/>
  <c r="M337" i="165"/>
  <c r="L337" i="165"/>
  <c r="K337" i="165"/>
  <c r="I337" i="165"/>
  <c r="G337" i="165"/>
  <c r="F337" i="165"/>
  <c r="N330" i="165"/>
  <c r="M330" i="165"/>
  <c r="L330" i="165"/>
  <c r="K330" i="165"/>
  <c r="I330" i="165"/>
  <c r="H330" i="165"/>
  <c r="G330" i="165"/>
  <c r="F330" i="165"/>
  <c r="N325" i="165"/>
  <c r="M325" i="165"/>
  <c r="L325" i="165"/>
  <c r="K325" i="165"/>
  <c r="I325" i="165"/>
  <c r="G325" i="165"/>
  <c r="N61" i="165"/>
  <c r="M61" i="165"/>
  <c r="L61" i="165"/>
  <c r="K61" i="165"/>
  <c r="I61" i="165"/>
  <c r="M58" i="165"/>
  <c r="K58" i="165"/>
  <c r="I58" i="165"/>
  <c r="M55" i="165"/>
  <c r="K55" i="165"/>
  <c r="I55" i="165"/>
  <c r="N49" i="165"/>
  <c r="M49" i="165"/>
  <c r="L49" i="165"/>
  <c r="K49" i="165"/>
  <c r="I49" i="165"/>
  <c r="H49" i="165"/>
  <c r="N318" i="165"/>
  <c r="M318" i="165"/>
  <c r="L318" i="165"/>
  <c r="I318" i="165"/>
  <c r="H318" i="165"/>
  <c r="G318" i="165"/>
  <c r="N307" i="165"/>
  <c r="N304" i="165" s="1"/>
  <c r="M307" i="165"/>
  <c r="M304" i="165" s="1"/>
  <c r="L307" i="165"/>
  <c r="L304" i="165" s="1"/>
  <c r="K307" i="165"/>
  <c r="K304" i="165" s="1"/>
  <c r="I307" i="165"/>
  <c r="I304" i="165" s="1"/>
  <c r="H307" i="165"/>
  <c r="H304" i="165" s="1"/>
  <c r="G307" i="165"/>
  <c r="G304" i="165" s="1"/>
  <c r="F307" i="165"/>
  <c r="F304" i="165" s="1"/>
  <c r="N299" i="165"/>
  <c r="M299" i="165"/>
  <c r="L299" i="165"/>
  <c r="K299" i="165"/>
  <c r="I299" i="165"/>
  <c r="G299" i="165"/>
  <c r="N291" i="165"/>
  <c r="M291" i="165"/>
  <c r="L291" i="165"/>
  <c r="K291" i="165"/>
  <c r="I291" i="165"/>
  <c r="G291" i="165"/>
  <c r="N279" i="165"/>
  <c r="M279" i="165"/>
  <c r="L279" i="165"/>
  <c r="K279" i="165"/>
  <c r="I279" i="165"/>
  <c r="H279" i="165"/>
  <c r="G279" i="165"/>
  <c r="F279" i="165"/>
  <c r="N274" i="165"/>
  <c r="M274" i="165"/>
  <c r="L274" i="165"/>
  <c r="I274" i="165"/>
  <c r="H274" i="165"/>
  <c r="G274" i="165"/>
  <c r="F274" i="165"/>
  <c r="G353" i="165" l="1"/>
  <c r="K43" i="165"/>
  <c r="K43" i="191" s="1"/>
  <c r="K42" i="191" s="1"/>
  <c r="I43" i="165"/>
  <c r="M290" i="165"/>
  <c r="G315" i="165"/>
  <c r="M315" i="165"/>
  <c r="F329" i="165"/>
  <c r="K329" i="165"/>
  <c r="K349" i="165"/>
  <c r="H353" i="165"/>
  <c r="M353" i="165"/>
  <c r="G273" i="165"/>
  <c r="I273" i="165"/>
  <c r="F277" i="165"/>
  <c r="G290" i="165"/>
  <c r="F273" i="165"/>
  <c r="L273" i="165"/>
  <c r="G277" i="165"/>
  <c r="L277" i="165"/>
  <c r="I290" i="165"/>
  <c r="N290" i="165"/>
  <c r="H315" i="165"/>
  <c r="N315" i="165"/>
  <c r="G329" i="165"/>
  <c r="L329" i="165"/>
  <c r="G349" i="165"/>
  <c r="L349" i="165"/>
  <c r="L345" i="165" s="1"/>
  <c r="I353" i="165"/>
  <c r="N353" i="165"/>
  <c r="M273" i="165"/>
  <c r="M277" i="165"/>
  <c r="K290" i="165"/>
  <c r="I315" i="165"/>
  <c r="H329" i="165"/>
  <c r="M329" i="165"/>
  <c r="J350" i="165"/>
  <c r="H349" i="165"/>
  <c r="M349" i="165"/>
  <c r="F353" i="165"/>
  <c r="K353" i="165"/>
  <c r="H277" i="165"/>
  <c r="H273" i="165"/>
  <c r="N273" i="165"/>
  <c r="I277" i="165"/>
  <c r="N277" i="165"/>
  <c r="L290" i="165"/>
  <c r="L315" i="165"/>
  <c r="I329" i="165"/>
  <c r="N329" i="165"/>
  <c r="I349" i="165"/>
  <c r="N349" i="165"/>
  <c r="K277" i="165"/>
  <c r="K277" i="191" s="1"/>
  <c r="H339" i="165"/>
  <c r="K339" i="165"/>
  <c r="G339" i="165"/>
  <c r="L339" i="165"/>
  <c r="I339" i="165"/>
  <c r="M339" i="165"/>
  <c r="F339" i="165"/>
  <c r="N339" i="165"/>
  <c r="N263" i="165"/>
  <c r="M263" i="165"/>
  <c r="L263" i="165"/>
  <c r="K263" i="165"/>
  <c r="I263" i="165"/>
  <c r="F263" i="165"/>
  <c r="N259" i="165"/>
  <c r="M259" i="165"/>
  <c r="L259" i="165"/>
  <c r="K259" i="165"/>
  <c r="I259" i="165"/>
  <c r="H259" i="165"/>
  <c r="G259" i="165"/>
  <c r="F259" i="165"/>
  <c r="E259" i="165"/>
  <c r="N251" i="165"/>
  <c r="M251" i="165"/>
  <c r="L251" i="165"/>
  <c r="K251" i="165"/>
  <c r="I251" i="165"/>
  <c r="H251" i="165"/>
  <c r="G251" i="165"/>
  <c r="F251" i="165"/>
  <c r="N245" i="165"/>
  <c r="M245" i="165"/>
  <c r="L245" i="165"/>
  <c r="K245" i="165"/>
  <c r="I245" i="165"/>
  <c r="H245" i="165"/>
  <c r="G245" i="165"/>
  <c r="F245" i="165"/>
  <c r="N240" i="165"/>
  <c r="M240" i="165"/>
  <c r="L240" i="165"/>
  <c r="K240" i="165"/>
  <c r="I240" i="165"/>
  <c r="G240" i="165"/>
  <c r="N235" i="165"/>
  <c r="M235" i="165"/>
  <c r="L235" i="165"/>
  <c r="K235" i="165"/>
  <c r="I235" i="165"/>
  <c r="H235" i="165"/>
  <c r="G235" i="165"/>
  <c r="F235" i="165"/>
  <c r="N225" i="165"/>
  <c r="M225" i="165"/>
  <c r="L225" i="165"/>
  <c r="I225" i="165"/>
  <c r="H225" i="165"/>
  <c r="G225" i="165"/>
  <c r="F225" i="165"/>
  <c r="N221" i="165"/>
  <c r="M221" i="165"/>
  <c r="L221" i="165"/>
  <c r="K221" i="165"/>
  <c r="I221" i="165"/>
  <c r="G221" i="165"/>
  <c r="N217" i="165"/>
  <c r="M217" i="165"/>
  <c r="L217" i="165"/>
  <c r="K217" i="165"/>
  <c r="I217" i="165"/>
  <c r="H217" i="165"/>
  <c r="G217" i="165"/>
  <c r="F217" i="165"/>
  <c r="N211" i="165"/>
  <c r="M211" i="165"/>
  <c r="L211" i="165"/>
  <c r="K211" i="165"/>
  <c r="I211" i="165"/>
  <c r="H211" i="165"/>
  <c r="G211" i="165"/>
  <c r="F211" i="165"/>
  <c r="N210" i="165"/>
  <c r="N206" i="165"/>
  <c r="M206" i="165"/>
  <c r="L206" i="165"/>
  <c r="I206" i="165"/>
  <c r="H206" i="165"/>
  <c r="G206" i="165"/>
  <c r="M203" i="165"/>
  <c r="I203" i="165"/>
  <c r="G203" i="165"/>
  <c r="N201" i="165"/>
  <c r="M201" i="165"/>
  <c r="L201" i="165"/>
  <c r="K201" i="165"/>
  <c r="I201" i="165"/>
  <c r="H201" i="165"/>
  <c r="G201" i="165"/>
  <c r="N198" i="165"/>
  <c r="M198" i="165"/>
  <c r="L198" i="165"/>
  <c r="K198" i="165"/>
  <c r="I198" i="165"/>
  <c r="H198" i="165"/>
  <c r="G198" i="165"/>
  <c r="M194" i="165"/>
  <c r="I194" i="165"/>
  <c r="G194" i="165"/>
  <c r="N192" i="165"/>
  <c r="M192" i="165"/>
  <c r="L192" i="165"/>
  <c r="K192" i="165"/>
  <c r="I192" i="165"/>
  <c r="G192" i="165"/>
  <c r="N187" i="165"/>
  <c r="M187" i="165"/>
  <c r="L187" i="165"/>
  <c r="K187" i="165"/>
  <c r="I187" i="165"/>
  <c r="H187" i="165"/>
  <c r="G187" i="165"/>
  <c r="F187" i="165"/>
  <c r="N178" i="165"/>
  <c r="M178" i="165"/>
  <c r="K178" i="165"/>
  <c r="I178" i="165"/>
  <c r="G178" i="165"/>
  <c r="M171" i="165"/>
  <c r="K171" i="165"/>
  <c r="I171" i="165"/>
  <c r="N166" i="165"/>
  <c r="M166" i="165"/>
  <c r="L166" i="165"/>
  <c r="K166" i="165"/>
  <c r="I166" i="165"/>
  <c r="H166" i="165"/>
  <c r="G166" i="165"/>
  <c r="F166" i="165"/>
  <c r="M154" i="165"/>
  <c r="I154" i="165"/>
  <c r="N137" i="165"/>
  <c r="M137" i="165"/>
  <c r="L137" i="165"/>
  <c r="K137" i="165"/>
  <c r="I137" i="165"/>
  <c r="H137" i="165"/>
  <c r="G137" i="165"/>
  <c r="M128" i="165"/>
  <c r="K128" i="165"/>
  <c r="I128" i="165"/>
  <c r="F128" i="165"/>
  <c r="N119" i="165"/>
  <c r="M119" i="165"/>
  <c r="M118" i="165" s="1"/>
  <c r="L119" i="165"/>
  <c r="K119" i="165"/>
  <c r="I119" i="165"/>
  <c r="H119" i="165"/>
  <c r="G119" i="165"/>
  <c r="R42" i="191" l="1"/>
  <c r="K41" i="191"/>
  <c r="I118" i="165"/>
  <c r="M345" i="165"/>
  <c r="N276" i="165"/>
  <c r="H276" i="165"/>
  <c r="I312" i="165"/>
  <c r="M312" i="165"/>
  <c r="K276" i="165"/>
  <c r="K276" i="191" s="1"/>
  <c r="K268" i="191" s="1"/>
  <c r="I276" i="165"/>
  <c r="G312" i="165"/>
  <c r="L312" i="165"/>
  <c r="M276" i="165"/>
  <c r="N312" i="165"/>
  <c r="L276" i="165"/>
  <c r="H312" i="165"/>
  <c r="G276" i="165"/>
  <c r="F276" i="165"/>
  <c r="K345" i="165"/>
  <c r="R345" i="165" s="1"/>
  <c r="G345" i="165"/>
  <c r="F157" i="165"/>
  <c r="K157" i="165"/>
  <c r="F165" i="165"/>
  <c r="K165" i="165"/>
  <c r="I173" i="165"/>
  <c r="F186" i="165"/>
  <c r="K186" i="165"/>
  <c r="M191" i="165"/>
  <c r="I210" i="165"/>
  <c r="G224" i="165"/>
  <c r="M224" i="165"/>
  <c r="K244" i="165"/>
  <c r="I256" i="165"/>
  <c r="N256" i="165"/>
  <c r="L262" i="165"/>
  <c r="F336" i="165"/>
  <c r="L336" i="165"/>
  <c r="N345" i="165"/>
  <c r="M328" i="165"/>
  <c r="I345" i="165"/>
  <c r="L328" i="165"/>
  <c r="F303" i="165"/>
  <c r="G157" i="165"/>
  <c r="L157" i="165"/>
  <c r="G165" i="165"/>
  <c r="L165" i="165"/>
  <c r="G186" i="165"/>
  <c r="L186" i="165"/>
  <c r="F210" i="165"/>
  <c r="K210" i="165"/>
  <c r="H224" i="165"/>
  <c r="N224" i="165"/>
  <c r="G244" i="165"/>
  <c r="L244" i="165"/>
  <c r="F256" i="165"/>
  <c r="K256" i="165"/>
  <c r="F262" i="165"/>
  <c r="M262" i="165"/>
  <c r="M336" i="165"/>
  <c r="G336" i="165"/>
  <c r="N328" i="165"/>
  <c r="I303" i="165"/>
  <c r="H303" i="165"/>
  <c r="L303" i="165"/>
  <c r="K328" i="165"/>
  <c r="H157" i="165"/>
  <c r="M157" i="165"/>
  <c r="H165" i="165"/>
  <c r="M165" i="165"/>
  <c r="M173" i="165"/>
  <c r="H186" i="165"/>
  <c r="M186" i="165"/>
  <c r="G210" i="165"/>
  <c r="L210" i="165"/>
  <c r="I224" i="165"/>
  <c r="H244" i="165"/>
  <c r="M244" i="165"/>
  <c r="G256" i="165"/>
  <c r="I262" i="165"/>
  <c r="N262" i="165"/>
  <c r="I336" i="165"/>
  <c r="H328" i="165"/>
  <c r="G328" i="165"/>
  <c r="K303" i="165"/>
  <c r="I157" i="165"/>
  <c r="N157" i="165"/>
  <c r="I165" i="165"/>
  <c r="N165" i="165"/>
  <c r="G173" i="165"/>
  <c r="I186" i="165"/>
  <c r="N186" i="165"/>
  <c r="H210" i="165"/>
  <c r="M210" i="165"/>
  <c r="F224" i="165"/>
  <c r="L224" i="165"/>
  <c r="I244" i="165"/>
  <c r="N244" i="165"/>
  <c r="H256" i="165"/>
  <c r="M256" i="165"/>
  <c r="K262" i="165"/>
  <c r="N336" i="165"/>
  <c r="K336" i="165"/>
  <c r="R336" i="165" s="1"/>
  <c r="I328" i="165"/>
  <c r="N303" i="165"/>
  <c r="M303" i="165"/>
  <c r="G303" i="165"/>
  <c r="F328" i="165"/>
  <c r="L256" i="165"/>
  <c r="I232" i="165"/>
  <c r="F232" i="165"/>
  <c r="K232" i="165"/>
  <c r="G232" i="165"/>
  <c r="L232" i="165"/>
  <c r="N232" i="165"/>
  <c r="G191" i="165"/>
  <c r="H232" i="165"/>
  <c r="M232" i="165"/>
  <c r="I197" i="165"/>
  <c r="M197" i="165"/>
  <c r="G197" i="165"/>
  <c r="I191" i="165"/>
  <c r="N250" i="165"/>
  <c r="N109" i="165"/>
  <c r="N105" i="165" s="1"/>
  <c r="M109" i="165"/>
  <c r="M105" i="165" s="1"/>
  <c r="L109" i="165"/>
  <c r="L105" i="165" s="1"/>
  <c r="I109" i="165"/>
  <c r="I105" i="165" s="1"/>
  <c r="H109" i="165"/>
  <c r="H105" i="165" s="1"/>
  <c r="G109" i="165"/>
  <c r="G105" i="165" s="1"/>
  <c r="F109" i="165"/>
  <c r="F105" i="165" s="1"/>
  <c r="N102" i="165"/>
  <c r="M102" i="165"/>
  <c r="L102" i="165"/>
  <c r="K102" i="165"/>
  <c r="I102" i="165"/>
  <c r="N100" i="165"/>
  <c r="M100" i="165"/>
  <c r="L100" i="165"/>
  <c r="K100" i="165"/>
  <c r="I100" i="165"/>
  <c r="H100" i="165"/>
  <c r="G100" i="165"/>
  <c r="F100" i="165"/>
  <c r="N98" i="165"/>
  <c r="M98" i="165"/>
  <c r="L98" i="165"/>
  <c r="K98" i="165"/>
  <c r="I98" i="165"/>
  <c r="H98" i="165"/>
  <c r="G98" i="165"/>
  <c r="F98" i="165"/>
  <c r="O97" i="165"/>
  <c r="N90" i="165"/>
  <c r="M90" i="165"/>
  <c r="L90" i="165"/>
  <c r="K90" i="165"/>
  <c r="I90" i="165"/>
  <c r="N74" i="165"/>
  <c r="M74" i="165"/>
  <c r="L74" i="165"/>
  <c r="K74" i="165"/>
  <c r="K42" i="165" s="1"/>
  <c r="I74" i="165"/>
  <c r="I42" i="165" s="1"/>
  <c r="H74" i="165"/>
  <c r="G74" i="165"/>
  <c r="F74" i="165"/>
  <c r="N37" i="165"/>
  <c r="M37" i="165"/>
  <c r="L37" i="165"/>
  <c r="K37" i="165"/>
  <c r="I37" i="165"/>
  <c r="H37" i="165"/>
  <c r="G37" i="165"/>
  <c r="F37" i="165"/>
  <c r="E35" i="165"/>
  <c r="N34" i="165"/>
  <c r="M34" i="165"/>
  <c r="L34" i="165"/>
  <c r="K34" i="165"/>
  <c r="I34" i="165"/>
  <c r="H34" i="165"/>
  <c r="G34" i="165"/>
  <c r="F34" i="165"/>
  <c r="N27" i="165"/>
  <c r="M27" i="165"/>
  <c r="K27" i="165"/>
  <c r="I27" i="165"/>
  <c r="H27" i="165"/>
  <c r="G27" i="165"/>
  <c r="F27" i="165"/>
  <c r="N18" i="165"/>
  <c r="M18" i="165"/>
  <c r="L18" i="165"/>
  <c r="I18" i="165"/>
  <c r="J59" i="167"/>
  <c r="J58" i="167"/>
  <c r="J56" i="167"/>
  <c r="M56" i="167" s="1"/>
  <c r="J55" i="167"/>
  <c r="R268" i="191" l="1"/>
  <c r="K267" i="191"/>
  <c r="H250" i="165"/>
  <c r="L250" i="165"/>
  <c r="K250" i="165"/>
  <c r="M250" i="165"/>
  <c r="I250" i="165"/>
  <c r="I170" i="165"/>
  <c r="M170" i="165"/>
  <c r="G250" i="165"/>
  <c r="N268" i="165"/>
  <c r="F250" i="165"/>
  <c r="M231" i="165"/>
  <c r="K231" i="165"/>
  <c r="I23" i="165"/>
  <c r="N23" i="165"/>
  <c r="F33" i="165"/>
  <c r="E34" i="165"/>
  <c r="N36" i="165"/>
  <c r="F23" i="165"/>
  <c r="K23" i="165"/>
  <c r="G33" i="165"/>
  <c r="L33" i="165"/>
  <c r="F36" i="165"/>
  <c r="F36" i="191" s="1"/>
  <c r="F17" i="191" s="1"/>
  <c r="F16" i="191" s="1"/>
  <c r="K36" i="165"/>
  <c r="N231" i="165"/>
  <c r="I231" i="165"/>
  <c r="G298" i="165"/>
  <c r="M268" i="165"/>
  <c r="M298" i="165"/>
  <c r="I161" i="165"/>
  <c r="M311" i="165"/>
  <c r="G324" i="165"/>
  <c r="H161" i="165"/>
  <c r="I311" i="165"/>
  <c r="I298" i="165"/>
  <c r="N324" i="165"/>
  <c r="L161" i="165"/>
  <c r="M324" i="165"/>
  <c r="G23" i="165"/>
  <c r="G36" i="165"/>
  <c r="N239" i="165"/>
  <c r="L231" i="165"/>
  <c r="I324" i="165"/>
  <c r="L298" i="165"/>
  <c r="L324" i="165"/>
  <c r="K161" i="165"/>
  <c r="H33" i="165"/>
  <c r="M33" i="165"/>
  <c r="L36" i="165"/>
  <c r="H23" i="165"/>
  <c r="I33" i="165"/>
  <c r="N33" i="165"/>
  <c r="H36" i="165"/>
  <c r="M36" i="165"/>
  <c r="J97" i="165"/>
  <c r="G190" i="165"/>
  <c r="H231" i="165"/>
  <c r="G231" i="165"/>
  <c r="F231" i="165"/>
  <c r="L268" i="165"/>
  <c r="H311" i="165"/>
  <c r="N161" i="165"/>
  <c r="K298" i="165"/>
  <c r="R298" i="165" s="1"/>
  <c r="G268" i="165"/>
  <c r="M161" i="165"/>
  <c r="K324" i="165"/>
  <c r="R324" i="165" s="1"/>
  <c r="I268" i="165"/>
  <c r="L311" i="165"/>
  <c r="G161" i="165"/>
  <c r="G311" i="165"/>
  <c r="K33" i="165"/>
  <c r="I36" i="165"/>
  <c r="M190" i="165"/>
  <c r="N298" i="165"/>
  <c r="N311" i="165"/>
  <c r="F161" i="165"/>
  <c r="K239" i="165"/>
  <c r="R239" i="165" s="1"/>
  <c r="M23" i="165"/>
  <c r="I190" i="165"/>
  <c r="I92" i="165"/>
  <c r="N92" i="165"/>
  <c r="L27" i="165"/>
  <c r="L92" i="165"/>
  <c r="K92" i="165"/>
  <c r="M92" i="165"/>
  <c r="G57" i="167"/>
  <c r="J54" i="167"/>
  <c r="J53" i="167"/>
  <c r="L239" i="165" l="1"/>
  <c r="M113" i="165"/>
  <c r="M239" i="165"/>
  <c r="I239" i="165"/>
  <c r="M17" i="165"/>
  <c r="M220" i="165"/>
  <c r="N17" i="165"/>
  <c r="I17" i="165"/>
  <c r="G220" i="165"/>
  <c r="M89" i="165"/>
  <c r="L89" i="165"/>
  <c r="I113" i="165"/>
  <c r="I220" i="165"/>
  <c r="E33" i="165"/>
  <c r="I89" i="165"/>
  <c r="L23" i="165"/>
  <c r="N89" i="165"/>
  <c r="L220" i="165"/>
  <c r="N220" i="165"/>
  <c r="J50" i="167"/>
  <c r="L17" i="165" l="1"/>
  <c r="F63" i="165"/>
  <c r="G63" i="165"/>
  <c r="O63" i="165"/>
  <c r="G55" i="165"/>
  <c r="F55" i="165"/>
  <c r="J57" i="165"/>
  <c r="E57" i="165"/>
  <c r="O50" i="165"/>
  <c r="G49" i="165"/>
  <c r="F49" i="165"/>
  <c r="E50" i="165"/>
  <c r="J61" i="167"/>
  <c r="E63" i="165" l="1"/>
  <c r="O49" i="165"/>
  <c r="H54" i="167"/>
  <c r="J63" i="165"/>
  <c r="I54" i="167"/>
  <c r="F61" i="165"/>
  <c r="G61" i="165"/>
  <c r="E49" i="165"/>
  <c r="H50" i="167"/>
  <c r="P57" i="165"/>
  <c r="F65" i="165"/>
  <c r="O66" i="165"/>
  <c r="J47" i="167"/>
  <c r="M47" i="167" s="1"/>
  <c r="J60" i="167"/>
  <c r="M45" i="165" l="1"/>
  <c r="O65" i="165"/>
  <c r="G54" i="167"/>
  <c r="I59" i="167"/>
  <c r="H59" i="167"/>
  <c r="E66" i="165"/>
  <c r="P63" i="165"/>
  <c r="J44" i="167"/>
  <c r="M44" i="167" s="1"/>
  <c r="J66" i="165"/>
  <c r="J50" i="165"/>
  <c r="O64" i="165"/>
  <c r="E64" i="165"/>
  <c r="H58" i="165"/>
  <c r="F58" i="165"/>
  <c r="J66" i="167"/>
  <c r="G72" i="165"/>
  <c r="F72" i="165"/>
  <c r="O72" i="165"/>
  <c r="M43" i="165" l="1"/>
  <c r="M42" i="165" s="1"/>
  <c r="F43" i="165"/>
  <c r="P66" i="165"/>
  <c r="G59" i="167"/>
  <c r="H60" i="167"/>
  <c r="E65" i="165"/>
  <c r="J64" i="165"/>
  <c r="I61" i="167"/>
  <c r="G58" i="165"/>
  <c r="E72" i="165"/>
  <c r="J72" i="165"/>
  <c r="H61" i="167"/>
  <c r="J49" i="165"/>
  <c r="I50" i="167"/>
  <c r="G50" i="167" s="1"/>
  <c r="J65" i="165"/>
  <c r="P50" i="165"/>
  <c r="O348" i="165"/>
  <c r="E348" i="165"/>
  <c r="I260" i="167"/>
  <c r="H325" i="165"/>
  <c r="O327" i="165"/>
  <c r="E327" i="165"/>
  <c r="F299" i="165"/>
  <c r="O301" i="165"/>
  <c r="E301" i="165"/>
  <c r="F291" i="165"/>
  <c r="F291" i="191" s="1"/>
  <c r="F290" i="191" s="1"/>
  <c r="O293" i="165"/>
  <c r="E293" i="165"/>
  <c r="F268" i="165"/>
  <c r="O271" i="165"/>
  <c r="E271" i="165"/>
  <c r="F240" i="165"/>
  <c r="O242" i="165"/>
  <c r="E242" i="165"/>
  <c r="O116" i="165"/>
  <c r="E116" i="165"/>
  <c r="F289" i="191" l="1"/>
  <c r="F42" i="165"/>
  <c r="G43" i="165"/>
  <c r="G42" i="165" s="1"/>
  <c r="P65" i="165"/>
  <c r="R42" i="165"/>
  <c r="P64" i="165"/>
  <c r="P72" i="165"/>
  <c r="H231" i="167"/>
  <c r="H211" i="167"/>
  <c r="J293" i="165"/>
  <c r="H188" i="167"/>
  <c r="G188" i="167" s="1"/>
  <c r="J271" i="165"/>
  <c r="F290" i="165"/>
  <c r="H250" i="167"/>
  <c r="G250" i="167" s="1"/>
  <c r="F346" i="165"/>
  <c r="P49" i="165"/>
  <c r="I66" i="167"/>
  <c r="G61" i="167"/>
  <c r="J242" i="165"/>
  <c r="J327" i="165"/>
  <c r="H226" i="167"/>
  <c r="H224" i="167" s="1"/>
  <c r="J301" i="165"/>
  <c r="P301" i="165" s="1"/>
  <c r="F325" i="165"/>
  <c r="H263" i="167"/>
  <c r="J116" i="165"/>
  <c r="H324" i="165"/>
  <c r="J348" i="165"/>
  <c r="H66" i="167"/>
  <c r="I60" i="167"/>
  <c r="G60" i="167" s="1"/>
  <c r="F298" i="165"/>
  <c r="H104" i="167"/>
  <c r="J260" i="167"/>
  <c r="G226" i="167" l="1"/>
  <c r="P327" i="165"/>
  <c r="P348" i="165"/>
  <c r="P271" i="165"/>
  <c r="P116" i="165"/>
  <c r="G231" i="167"/>
  <c r="G66" i="167"/>
  <c r="G211" i="167"/>
  <c r="G263" i="167"/>
  <c r="H261" i="167"/>
  <c r="H260" i="167" s="1"/>
  <c r="P293" i="165"/>
  <c r="P242" i="165"/>
  <c r="I104" i="167"/>
  <c r="G104" i="167" s="1"/>
  <c r="F324" i="165"/>
  <c r="F221" i="165"/>
  <c r="O223" i="165"/>
  <c r="E223" i="165"/>
  <c r="G261" i="167" l="1"/>
  <c r="G260" i="167" s="1"/>
  <c r="H172" i="167"/>
  <c r="G172" i="167" s="1"/>
  <c r="J223" i="165"/>
  <c r="F220" i="165"/>
  <c r="P223" i="165" l="1"/>
  <c r="O21" i="165"/>
  <c r="E21" i="165"/>
  <c r="J21" i="165" l="1"/>
  <c r="H20" i="167"/>
  <c r="G20" i="167" s="1"/>
  <c r="P21" i="165" l="1"/>
  <c r="F244" i="165" l="1"/>
  <c r="K109" i="165"/>
  <c r="K105" i="165" l="1"/>
  <c r="K105" i="191" s="1"/>
  <c r="K89" i="191" s="1"/>
  <c r="K109" i="191"/>
  <c r="F239" i="165"/>
  <c r="J180" i="167"/>
  <c r="K88" i="191" l="1"/>
  <c r="R89" i="191"/>
  <c r="K89" i="165"/>
  <c r="R89" i="165" s="1"/>
  <c r="F40" i="172"/>
  <c r="F37" i="172" s="1"/>
  <c r="E40" i="172"/>
  <c r="E37" i="172" l="1"/>
  <c r="E31" i="172" s="1"/>
  <c r="F31" i="172"/>
  <c r="K225" i="165" l="1"/>
  <c r="K224" i="165" l="1"/>
  <c r="J167" i="167"/>
  <c r="K220" i="165" l="1"/>
  <c r="R220" i="165" s="1"/>
  <c r="K18" i="165" l="1"/>
  <c r="K18" i="191" s="1"/>
  <c r="K17" i="191" s="1"/>
  <c r="K16" i="191" l="1"/>
  <c r="R17" i="191"/>
  <c r="K17" i="165"/>
  <c r="R17" i="165" s="1"/>
  <c r="O218" i="165"/>
  <c r="E218" i="165"/>
  <c r="F203" i="165"/>
  <c r="H203" i="165" l="1"/>
  <c r="H167" i="167"/>
  <c r="E217" i="165"/>
  <c r="J218" i="165"/>
  <c r="O217" i="165"/>
  <c r="P218" i="165" l="1"/>
  <c r="H197" i="165"/>
  <c r="I167" i="167"/>
  <c r="G167" i="167" s="1"/>
  <c r="J217" i="165"/>
  <c r="P217" i="165" l="1"/>
  <c r="P20" i="107"/>
  <c r="I17" i="107"/>
  <c r="I13" i="107" l="1"/>
  <c r="I12" i="107" s="1"/>
  <c r="I20" i="107" s="1"/>
  <c r="I16" i="107"/>
  <c r="I15" i="107" s="1"/>
  <c r="I14" i="107" s="1"/>
  <c r="D81" i="170"/>
  <c r="D77" i="170"/>
  <c r="D73" i="170"/>
  <c r="D70" i="170"/>
  <c r="F318" i="165" l="1"/>
  <c r="H346" i="165" l="1"/>
  <c r="K318" i="165"/>
  <c r="M242" i="167"/>
  <c r="F315" i="165"/>
  <c r="F315" i="191" s="1"/>
  <c r="J259" i="167"/>
  <c r="J258" i="167"/>
  <c r="F312" i="165" l="1"/>
  <c r="F312" i="191" s="1"/>
  <c r="F311" i="191" s="1"/>
  <c r="F310" i="191" s="1"/>
  <c r="H337" i="165"/>
  <c r="K315" i="165"/>
  <c r="H345" i="165"/>
  <c r="J256" i="167"/>
  <c r="J254" i="167"/>
  <c r="J253" i="167"/>
  <c r="J252" i="167"/>
  <c r="J251" i="167"/>
  <c r="H254" i="167"/>
  <c r="G249" i="167"/>
  <c r="O332" i="165"/>
  <c r="O331" i="165"/>
  <c r="K312" i="165" l="1"/>
  <c r="H299" i="165"/>
  <c r="H336" i="165"/>
  <c r="F311" i="165"/>
  <c r="O330" i="165"/>
  <c r="J248" i="167"/>
  <c r="J224" i="167"/>
  <c r="I224" i="167"/>
  <c r="J208" i="167"/>
  <c r="J206" i="167"/>
  <c r="J207" i="167"/>
  <c r="J204" i="167"/>
  <c r="H204" i="167"/>
  <c r="J202" i="167"/>
  <c r="J200" i="167"/>
  <c r="J198" i="167"/>
  <c r="J197" i="167"/>
  <c r="J192" i="167"/>
  <c r="J191" i="167"/>
  <c r="J190" i="167"/>
  <c r="J189" i="167"/>
  <c r="O266" i="165"/>
  <c r="J266" i="165" s="1"/>
  <c r="O264" i="165"/>
  <c r="O265" i="165"/>
  <c r="J183" i="167"/>
  <c r="J179" i="167"/>
  <c r="J176" i="167"/>
  <c r="J175" i="167"/>
  <c r="J174" i="167"/>
  <c r="H221" i="165"/>
  <c r="H269" i="165" l="1"/>
  <c r="H240" i="165"/>
  <c r="H291" i="165"/>
  <c r="H298" i="165"/>
  <c r="H220" i="165"/>
  <c r="K311" i="165"/>
  <c r="R311" i="165" s="1"/>
  <c r="J264" i="165"/>
  <c r="O263" i="165"/>
  <c r="I208" i="167"/>
  <c r="J170" i="167"/>
  <c r="J186" i="167"/>
  <c r="J185" i="167" s="1"/>
  <c r="M185" i="167" s="1"/>
  <c r="J155" i="167"/>
  <c r="N195" i="165"/>
  <c r="L194" i="165"/>
  <c r="K209" i="165"/>
  <c r="R205" i="165" l="1"/>
  <c r="R209" i="165"/>
  <c r="I206" i="167"/>
  <c r="L191" i="165"/>
  <c r="O262" i="165"/>
  <c r="H290" i="165"/>
  <c r="N194" i="165"/>
  <c r="N203" i="165"/>
  <c r="L203" i="165"/>
  <c r="H268" i="165"/>
  <c r="K203" i="165"/>
  <c r="K203" i="191" s="1"/>
  <c r="K206" i="165"/>
  <c r="K195" i="165"/>
  <c r="R195" i="165" s="1"/>
  <c r="L197" i="165" l="1"/>
  <c r="N191" i="165"/>
  <c r="N197" i="165"/>
  <c r="K194" i="165"/>
  <c r="O195" i="165"/>
  <c r="K197" i="165"/>
  <c r="K197" i="191" s="1"/>
  <c r="K190" i="191" s="1"/>
  <c r="J154" i="167"/>
  <c r="P13" i="107"/>
  <c r="P12" i="107" s="1"/>
  <c r="J160" i="167"/>
  <c r="I160" i="167"/>
  <c r="H160" i="167"/>
  <c r="F202" i="165"/>
  <c r="F192" i="165"/>
  <c r="E355" i="165"/>
  <c r="I169" i="165"/>
  <c r="J150" i="167"/>
  <c r="O179" i="165"/>
  <c r="L179" i="165"/>
  <c r="L172" i="165"/>
  <c r="O172" i="165"/>
  <c r="N172" i="165"/>
  <c r="L177" i="165"/>
  <c r="N177" i="165"/>
  <c r="L176" i="165"/>
  <c r="N176" i="165"/>
  <c r="L175" i="165"/>
  <c r="N175" i="165"/>
  <c r="K189" i="191" l="1"/>
  <c r="R190" i="191"/>
  <c r="K356" i="191"/>
  <c r="N171" i="165"/>
  <c r="H192" i="165"/>
  <c r="O171" i="165"/>
  <c r="F198" i="165"/>
  <c r="K191" i="165"/>
  <c r="L171" i="165"/>
  <c r="F201" i="165"/>
  <c r="N190" i="165"/>
  <c r="L178" i="165"/>
  <c r="E81" i="170"/>
  <c r="F206" i="165"/>
  <c r="L190" i="165"/>
  <c r="E354" i="165"/>
  <c r="H194" i="165"/>
  <c r="N173" i="165"/>
  <c r="F194" i="165"/>
  <c r="O188" i="165"/>
  <c r="E188" i="165"/>
  <c r="Q356" i="191" l="1"/>
  <c r="K368" i="191"/>
  <c r="K371" i="191"/>
  <c r="F197" i="165"/>
  <c r="K190" i="165"/>
  <c r="R190" i="165" s="1"/>
  <c r="L173" i="165"/>
  <c r="H178" i="165"/>
  <c r="F191" i="165"/>
  <c r="H191" i="165"/>
  <c r="L170" i="165"/>
  <c r="E353" i="165"/>
  <c r="E77" i="170"/>
  <c r="N170" i="165"/>
  <c r="F178" i="165"/>
  <c r="F178" i="191" s="1"/>
  <c r="E187" i="165"/>
  <c r="J188" i="165"/>
  <c r="O187" i="165"/>
  <c r="H150" i="167"/>
  <c r="J140" i="167"/>
  <c r="J138" i="167"/>
  <c r="J137" i="167" s="1"/>
  <c r="I138" i="167"/>
  <c r="H138" i="167"/>
  <c r="J135" i="167"/>
  <c r="F190" i="165" l="1"/>
  <c r="E186" i="165"/>
  <c r="P188" i="165"/>
  <c r="O186" i="165"/>
  <c r="H190" i="165"/>
  <c r="I150" i="167"/>
  <c r="G150" i="167" s="1"/>
  <c r="J187" i="165"/>
  <c r="K173" i="165"/>
  <c r="O177" i="165"/>
  <c r="F173" i="165"/>
  <c r="F173" i="191" s="1"/>
  <c r="F170" i="191" s="1"/>
  <c r="F169" i="191" s="1"/>
  <c r="G205" i="167"/>
  <c r="G203" i="167"/>
  <c r="G201" i="167"/>
  <c r="G199" i="167"/>
  <c r="G195" i="167"/>
  <c r="G187" i="167"/>
  <c r="G177" i="167"/>
  <c r="G173" i="167"/>
  <c r="G171" i="167"/>
  <c r="J169" i="167"/>
  <c r="K170" i="165" l="1"/>
  <c r="R170" i="165" s="1"/>
  <c r="J186" i="165"/>
  <c r="H171" i="165"/>
  <c r="F171" i="165"/>
  <c r="H173" i="165"/>
  <c r="G171" i="165"/>
  <c r="P187" i="165"/>
  <c r="O20" i="165"/>
  <c r="E20" i="165"/>
  <c r="J20" i="165" l="1"/>
  <c r="G170" i="165"/>
  <c r="F170" i="165"/>
  <c r="P186" i="165"/>
  <c r="H170" i="165"/>
  <c r="N129" i="165"/>
  <c r="L129" i="165"/>
  <c r="N155" i="165"/>
  <c r="L155" i="165"/>
  <c r="J122" i="167"/>
  <c r="P20" i="165" l="1"/>
  <c r="L154" i="165"/>
  <c r="L128" i="165"/>
  <c r="N154" i="165"/>
  <c r="N128" i="165"/>
  <c r="J131" i="167"/>
  <c r="J128" i="167"/>
  <c r="J125" i="167"/>
  <c r="H127" i="167"/>
  <c r="H126" i="167"/>
  <c r="J124" i="167"/>
  <c r="I124" i="167"/>
  <c r="H124" i="167"/>
  <c r="J121" i="167"/>
  <c r="J119" i="167"/>
  <c r="H120" i="167"/>
  <c r="J117" i="167"/>
  <c r="J115" i="167"/>
  <c r="J114" i="167"/>
  <c r="J110" i="167"/>
  <c r="J109" i="167"/>
  <c r="J108" i="167"/>
  <c r="J107" i="167"/>
  <c r="J106" i="167"/>
  <c r="L118" i="165" l="1"/>
  <c r="N118" i="165"/>
  <c r="G130" i="165"/>
  <c r="J98" i="167"/>
  <c r="I98" i="167"/>
  <c r="J82" i="167"/>
  <c r="J80" i="167"/>
  <c r="J76" i="167"/>
  <c r="N113" i="165" l="1"/>
  <c r="L113" i="165"/>
  <c r="H128" i="165"/>
  <c r="G154" i="165"/>
  <c r="H114" i="165"/>
  <c r="H154" i="165"/>
  <c r="H154" i="191" s="1"/>
  <c r="G128" i="165"/>
  <c r="J123" i="167"/>
  <c r="K154" i="165"/>
  <c r="K118" i="165" s="1"/>
  <c r="H103" i="165"/>
  <c r="G103" i="165"/>
  <c r="F103" i="165"/>
  <c r="G118" i="165" l="1"/>
  <c r="H118" i="165"/>
  <c r="H118" i="191" s="1"/>
  <c r="H113" i="191" s="1"/>
  <c r="H112" i="191" s="1"/>
  <c r="H102" i="165"/>
  <c r="G102" i="165"/>
  <c r="F102" i="165"/>
  <c r="H91" i="165"/>
  <c r="K113" i="165" l="1"/>
  <c r="R113" i="165" s="1"/>
  <c r="G113" i="165"/>
  <c r="F92" i="165"/>
  <c r="F90" i="165"/>
  <c r="G90" i="165"/>
  <c r="H90" i="165"/>
  <c r="G92" i="165"/>
  <c r="H92" i="165"/>
  <c r="H113" i="165"/>
  <c r="K274" i="165"/>
  <c r="F89" i="165" l="1"/>
  <c r="K273" i="165"/>
  <c r="H89" i="165"/>
  <c r="G89" i="165"/>
  <c r="F17" i="165"/>
  <c r="L59" i="165"/>
  <c r="N59" i="165"/>
  <c r="L55" i="165"/>
  <c r="L54" i="165"/>
  <c r="N55" i="165" l="1"/>
  <c r="L58" i="165"/>
  <c r="O55" i="165"/>
  <c r="N58" i="165"/>
  <c r="K268" i="165"/>
  <c r="R268" i="165" s="1"/>
  <c r="L47" i="165"/>
  <c r="N47" i="165"/>
  <c r="N45" i="165" l="1"/>
  <c r="L45" i="165"/>
  <c r="I46" i="167"/>
  <c r="H46" i="167"/>
  <c r="L43" i="165" l="1"/>
  <c r="L42" i="165" s="1"/>
  <c r="N43" i="165"/>
  <c r="J42" i="167"/>
  <c r="G43" i="167"/>
  <c r="N42" i="165" l="1"/>
  <c r="N43" i="191"/>
  <c r="N42" i="191" s="1"/>
  <c r="M42" i="167"/>
  <c r="N41" i="191" l="1"/>
  <c r="N356" i="191"/>
  <c r="N368" i="191" s="1"/>
  <c r="J52" i="167"/>
  <c r="O54" i="165"/>
  <c r="H55" i="165"/>
  <c r="H62" i="165"/>
  <c r="H61" i="165" l="1"/>
  <c r="J31" i="167"/>
  <c r="M31" i="167" s="1"/>
  <c r="O39" i="165"/>
  <c r="E39" i="165"/>
  <c r="J25" i="167"/>
  <c r="M25" i="167" s="1"/>
  <c r="H43" i="165" l="1"/>
  <c r="J39" i="165"/>
  <c r="E73" i="170"/>
  <c r="P39" i="165"/>
  <c r="H31" i="167"/>
  <c r="H42" i="165" l="1"/>
  <c r="H43" i="191"/>
  <c r="H42" i="191" s="1"/>
  <c r="I31" i="167"/>
  <c r="L31" i="167" s="1"/>
  <c r="K31" i="167"/>
  <c r="H41" i="191" l="1"/>
  <c r="H356" i="191"/>
  <c r="H368" i="191" s="1"/>
  <c r="G31" i="167"/>
  <c r="G19" i="167"/>
  <c r="G18" i="165"/>
  <c r="H18" i="165" l="1"/>
  <c r="G17" i="165"/>
  <c r="H263" i="165"/>
  <c r="G263" i="165"/>
  <c r="H262" i="165" l="1"/>
  <c r="G262" i="165"/>
  <c r="H17" i="165"/>
  <c r="O167" i="165"/>
  <c r="E167" i="165"/>
  <c r="O159" i="165"/>
  <c r="O158" i="165" s="1"/>
  <c r="E159" i="165"/>
  <c r="E158" i="165" s="1"/>
  <c r="O156" i="165"/>
  <c r="E156" i="165"/>
  <c r="O155" i="165"/>
  <c r="O139" i="165"/>
  <c r="E139" i="165"/>
  <c r="O138" i="165"/>
  <c r="O136" i="165"/>
  <c r="E136" i="165"/>
  <c r="O135" i="165"/>
  <c r="E135" i="165"/>
  <c r="O133" i="165"/>
  <c r="E133" i="165"/>
  <c r="O130" i="165"/>
  <c r="E130" i="165"/>
  <c r="O129" i="165"/>
  <c r="E129" i="165"/>
  <c r="O127" i="165"/>
  <c r="E127" i="165"/>
  <c r="O125" i="165"/>
  <c r="E125" i="165"/>
  <c r="O124" i="165"/>
  <c r="E124" i="165"/>
  <c r="O123" i="165"/>
  <c r="E123" i="165"/>
  <c r="O122" i="165"/>
  <c r="E122" i="165"/>
  <c r="O121" i="165"/>
  <c r="E121" i="165"/>
  <c r="O120" i="165"/>
  <c r="F120" i="165"/>
  <c r="O115" i="165"/>
  <c r="E115" i="165"/>
  <c r="E128" i="165" l="1"/>
  <c r="J133" i="165"/>
  <c r="J136" i="165"/>
  <c r="J121" i="165"/>
  <c r="H108" i="167"/>
  <c r="H110" i="167"/>
  <c r="H113" i="167"/>
  <c r="H115" i="167"/>
  <c r="H118" i="167"/>
  <c r="H239" i="165"/>
  <c r="J124" i="165"/>
  <c r="J130" i="165"/>
  <c r="J135" i="165"/>
  <c r="H125" i="167"/>
  <c r="O114" i="165"/>
  <c r="J123" i="165"/>
  <c r="J125" i="165"/>
  <c r="J122" i="165"/>
  <c r="J127" i="165"/>
  <c r="E114" i="165"/>
  <c r="H109" i="167"/>
  <c r="H111" i="167"/>
  <c r="H117" i="167"/>
  <c r="H119" i="167"/>
  <c r="J156" i="165"/>
  <c r="G239" i="165"/>
  <c r="E120" i="165"/>
  <c r="F119" i="165"/>
  <c r="E138" i="165"/>
  <c r="E138" i="191" s="1"/>
  <c r="F137" i="165"/>
  <c r="F137" i="191" s="1"/>
  <c r="E155" i="165"/>
  <c r="E155" i="191" s="1"/>
  <c r="F154" i="165"/>
  <c r="F154" i="191" s="1"/>
  <c r="J115" i="165"/>
  <c r="H131" i="167"/>
  <c r="E166" i="165"/>
  <c r="J167" i="165"/>
  <c r="O166" i="165"/>
  <c r="H128" i="167"/>
  <c r="J159" i="165"/>
  <c r="J158" i="165" s="1"/>
  <c r="J157" i="165" s="1"/>
  <c r="J155" i="165"/>
  <c r="O154" i="165"/>
  <c r="H122" i="167"/>
  <c r="J139" i="165"/>
  <c r="P139" i="165" s="1"/>
  <c r="J138" i="165"/>
  <c r="O137" i="165"/>
  <c r="H114" i="167"/>
  <c r="J129" i="165"/>
  <c r="O128" i="165"/>
  <c r="J120" i="165"/>
  <c r="O119" i="165"/>
  <c r="H107" i="167"/>
  <c r="P124" i="165"/>
  <c r="P136" i="165"/>
  <c r="F118" i="165" l="1"/>
  <c r="F118" i="191" s="1"/>
  <c r="F113" i="191" s="1"/>
  <c r="O118" i="165"/>
  <c r="P133" i="165"/>
  <c r="P123" i="165"/>
  <c r="P121" i="165"/>
  <c r="P130" i="165"/>
  <c r="P122" i="165"/>
  <c r="P135" i="165"/>
  <c r="P125" i="165"/>
  <c r="H123" i="167"/>
  <c r="P127" i="165"/>
  <c r="P156" i="165"/>
  <c r="P129" i="165"/>
  <c r="O157" i="165"/>
  <c r="O165" i="165"/>
  <c r="J114" i="165"/>
  <c r="E137" i="165"/>
  <c r="E137" i="191" s="1"/>
  <c r="I108" i="167"/>
  <c r="I109" i="167"/>
  <c r="I115" i="167"/>
  <c r="I107" i="167"/>
  <c r="I119" i="167"/>
  <c r="P159" i="165"/>
  <c r="P158" i="165" s="1"/>
  <c r="P167" i="165"/>
  <c r="P120" i="165"/>
  <c r="E157" i="165"/>
  <c r="E165" i="165"/>
  <c r="E154" i="165"/>
  <c r="E154" i="191" s="1"/>
  <c r="H106" i="167"/>
  <c r="I125" i="167"/>
  <c r="I113" i="167"/>
  <c r="I111" i="167"/>
  <c r="I118" i="167"/>
  <c r="I110" i="167"/>
  <c r="I117" i="167"/>
  <c r="P138" i="165"/>
  <c r="P138" i="191" s="1"/>
  <c r="H121" i="167"/>
  <c r="P115" i="165"/>
  <c r="P155" i="165"/>
  <c r="P155" i="191" s="1"/>
  <c r="E119" i="165"/>
  <c r="I131" i="167"/>
  <c r="J166" i="165"/>
  <c r="I128" i="167"/>
  <c r="I123" i="167"/>
  <c r="J154" i="165"/>
  <c r="I122" i="167"/>
  <c r="I121" i="167"/>
  <c r="J137" i="165"/>
  <c r="I114" i="167"/>
  <c r="J128" i="165"/>
  <c r="I106" i="167"/>
  <c r="J119" i="165"/>
  <c r="G230" i="167"/>
  <c r="O343" i="165"/>
  <c r="E343" i="165"/>
  <c r="J341" i="165"/>
  <c r="E341" i="165"/>
  <c r="O338" i="165"/>
  <c r="E338" i="165"/>
  <c r="O333" i="165"/>
  <c r="E333" i="165"/>
  <c r="J332" i="165"/>
  <c r="E332" i="165"/>
  <c r="J331" i="165"/>
  <c r="E331" i="165"/>
  <c r="O326" i="165"/>
  <c r="E326" i="165"/>
  <c r="O308" i="165"/>
  <c r="E308" i="165"/>
  <c r="O302" i="165"/>
  <c r="F302" i="165"/>
  <c r="O300" i="165"/>
  <c r="E300" i="165"/>
  <c r="O292" i="165"/>
  <c r="E292" i="165"/>
  <c r="E292" i="191" s="1"/>
  <c r="E266" i="165"/>
  <c r="J265" i="165"/>
  <c r="E265" i="165"/>
  <c r="E264" i="165"/>
  <c r="O258" i="165"/>
  <c r="E258" i="165"/>
  <c r="O257" i="165"/>
  <c r="E257" i="165"/>
  <c r="E255" i="165"/>
  <c r="O252" i="165"/>
  <c r="E252" i="165"/>
  <c r="O249" i="165"/>
  <c r="E249" i="165"/>
  <c r="O248" i="165"/>
  <c r="E248" i="165"/>
  <c r="O247" i="165"/>
  <c r="E247" i="165"/>
  <c r="O246" i="165"/>
  <c r="E246" i="165"/>
  <c r="O243" i="165"/>
  <c r="E243" i="165"/>
  <c r="O241" i="165"/>
  <c r="E241" i="165"/>
  <c r="M238" i="165"/>
  <c r="L238" i="165"/>
  <c r="K238" i="165"/>
  <c r="I238" i="165"/>
  <c r="H238" i="165"/>
  <c r="G238" i="165"/>
  <c r="F238" i="165"/>
  <c r="N238" i="165"/>
  <c r="O236" i="165"/>
  <c r="E236" i="165"/>
  <c r="O233" i="165"/>
  <c r="E233" i="165"/>
  <c r="O230" i="165"/>
  <c r="E230" i="165"/>
  <c r="O228" i="165"/>
  <c r="E228" i="165"/>
  <c r="O227" i="165"/>
  <c r="E227" i="165"/>
  <c r="O226" i="165"/>
  <c r="E226" i="165"/>
  <c r="O222" i="165"/>
  <c r="E222" i="165"/>
  <c r="M219" i="165"/>
  <c r="L219" i="165"/>
  <c r="K219" i="165"/>
  <c r="M169" i="167" s="1"/>
  <c r="H219" i="165"/>
  <c r="F219" i="165"/>
  <c r="N219" i="165"/>
  <c r="I219" i="165"/>
  <c r="G219" i="165"/>
  <c r="E118" i="165" l="1"/>
  <c r="E118" i="191" s="1"/>
  <c r="E113" i="191" s="1"/>
  <c r="P113" i="191" s="1"/>
  <c r="F112" i="191"/>
  <c r="J118" i="165"/>
  <c r="P119" i="165"/>
  <c r="Q332" i="165"/>
  <c r="H233" i="167"/>
  <c r="H229" i="167" s="1"/>
  <c r="P166" i="165"/>
  <c r="P165" i="165" s="1"/>
  <c r="E254" i="165"/>
  <c r="P128" i="165"/>
  <c r="E164" i="165"/>
  <c r="J228" i="165"/>
  <c r="E221" i="165"/>
  <c r="H175" i="167"/>
  <c r="H179" i="167"/>
  <c r="H189" i="167"/>
  <c r="H191" i="167"/>
  <c r="H194" i="167"/>
  <c r="J258" i="165"/>
  <c r="Q331" i="165"/>
  <c r="J165" i="165"/>
  <c r="P114" i="165"/>
  <c r="O221" i="165"/>
  <c r="J227" i="165"/>
  <c r="J230" i="165"/>
  <c r="J243" i="165"/>
  <c r="J247" i="165"/>
  <c r="J249" i="165"/>
  <c r="E291" i="165"/>
  <c r="E291" i="191" s="1"/>
  <c r="E290" i="191" s="1"/>
  <c r="E302" i="165"/>
  <c r="E325" i="165"/>
  <c r="H252" i="167"/>
  <c r="J334" i="165"/>
  <c r="O161" i="165"/>
  <c r="H192" i="167"/>
  <c r="O291" i="165"/>
  <c r="J302" i="165"/>
  <c r="O325" i="165"/>
  <c r="E337" i="165"/>
  <c r="P137" i="165"/>
  <c r="P137" i="191" s="1"/>
  <c r="H176" i="167"/>
  <c r="J248" i="165"/>
  <c r="H202" i="167"/>
  <c r="H253" i="167"/>
  <c r="P154" i="165"/>
  <c r="P154" i="191" s="1"/>
  <c r="F113" i="165"/>
  <c r="E299" i="165"/>
  <c r="I252" i="167"/>
  <c r="E240" i="165"/>
  <c r="J260" i="165"/>
  <c r="O259" i="165"/>
  <c r="J300" i="165"/>
  <c r="O299" i="165"/>
  <c r="J308" i="165"/>
  <c r="O307" i="165"/>
  <c r="O304" i="165" s="1"/>
  <c r="J333" i="165"/>
  <c r="O329" i="165"/>
  <c r="H258" i="167"/>
  <c r="E340" i="165"/>
  <c r="J252" i="165"/>
  <c r="O251" i="165"/>
  <c r="I258" i="167"/>
  <c r="J340" i="165"/>
  <c r="H259" i="167"/>
  <c r="E342" i="165"/>
  <c r="J236" i="165"/>
  <c r="O235" i="165"/>
  <c r="J255" i="165"/>
  <c r="I207" i="167"/>
  <c r="J263" i="165"/>
  <c r="E307" i="165"/>
  <c r="E304" i="165" s="1"/>
  <c r="E303" i="165" s="1"/>
  <c r="E298" i="165" s="1"/>
  <c r="J338" i="165"/>
  <c r="O337" i="165"/>
  <c r="J343" i="165"/>
  <c r="O342" i="165"/>
  <c r="I251" i="167"/>
  <c r="J330" i="165"/>
  <c r="H251" i="167"/>
  <c r="E330" i="165"/>
  <c r="H207" i="167"/>
  <c r="E263" i="165"/>
  <c r="H200" i="167"/>
  <c r="E256" i="165"/>
  <c r="J257" i="165"/>
  <c r="H198" i="167"/>
  <c r="H197" i="167"/>
  <c r="E251" i="165"/>
  <c r="O240" i="165"/>
  <c r="J246" i="165"/>
  <c r="O245" i="165"/>
  <c r="H190" i="167"/>
  <c r="E245" i="165"/>
  <c r="J233" i="165"/>
  <c r="H183" i="167"/>
  <c r="E235" i="165"/>
  <c r="H180" i="167"/>
  <c r="J226" i="165"/>
  <c r="O225" i="165"/>
  <c r="H174" i="167"/>
  <c r="E225" i="165"/>
  <c r="J292" i="165"/>
  <c r="J326" i="165"/>
  <c r="J222" i="165"/>
  <c r="H208" i="167"/>
  <c r="G208" i="167" s="1"/>
  <c r="P266" i="165"/>
  <c r="J241" i="165"/>
  <c r="H206" i="167"/>
  <c r="G206" i="167" s="1"/>
  <c r="P264" i="165"/>
  <c r="P331" i="165"/>
  <c r="P265" i="165"/>
  <c r="P332" i="165"/>
  <c r="P341" i="165"/>
  <c r="E112" i="191" l="1"/>
  <c r="P112" i="191"/>
  <c r="S113" i="191"/>
  <c r="Q113" i="191"/>
  <c r="E289" i="191"/>
  <c r="P290" i="191"/>
  <c r="P118" i="165"/>
  <c r="P118" i="191" s="1"/>
  <c r="P248" i="165"/>
  <c r="P247" i="165"/>
  <c r="F34" i="108"/>
  <c r="I233" i="167"/>
  <c r="P243" i="165"/>
  <c r="P228" i="165"/>
  <c r="Q334" i="165"/>
  <c r="G207" i="167"/>
  <c r="G29" i="153"/>
  <c r="J254" i="165"/>
  <c r="E253" i="165"/>
  <c r="P334" i="165"/>
  <c r="P164" i="165"/>
  <c r="E163" i="165"/>
  <c r="E162" i="165" s="1"/>
  <c r="H130" i="167"/>
  <c r="G130" i="167" s="1"/>
  <c r="P258" i="165"/>
  <c r="P230" i="165"/>
  <c r="P249" i="165"/>
  <c r="P227" i="165"/>
  <c r="I254" i="167"/>
  <c r="G254" i="167" s="1"/>
  <c r="P302" i="165"/>
  <c r="H248" i="167"/>
  <c r="G252" i="167"/>
  <c r="O224" i="165"/>
  <c r="O244" i="165"/>
  <c r="P252" i="165"/>
  <c r="J299" i="165"/>
  <c r="O290" i="165"/>
  <c r="P340" i="165"/>
  <c r="J291" i="165"/>
  <c r="P226" i="165"/>
  <c r="P246" i="165"/>
  <c r="E262" i="165"/>
  <c r="J262" i="165"/>
  <c r="O232" i="165"/>
  <c r="I194" i="167"/>
  <c r="G194" i="167" s="1"/>
  <c r="I189" i="167"/>
  <c r="G189" i="167" s="1"/>
  <c r="I175" i="167"/>
  <c r="G175" i="167" s="1"/>
  <c r="P157" i="165"/>
  <c r="E244" i="165"/>
  <c r="P257" i="165"/>
  <c r="J337" i="165"/>
  <c r="J235" i="165"/>
  <c r="I192" i="167"/>
  <c r="G192" i="167" s="1"/>
  <c r="O113" i="165"/>
  <c r="E329" i="165"/>
  <c r="O339" i="165"/>
  <c r="O328" i="165"/>
  <c r="E290" i="165"/>
  <c r="I191" i="167"/>
  <c r="G191" i="167" s="1"/>
  <c r="I179" i="167"/>
  <c r="G179" i="167" s="1"/>
  <c r="J161" i="165"/>
  <c r="I202" i="167"/>
  <c r="G202" i="167" s="1"/>
  <c r="I176" i="167"/>
  <c r="G176" i="167" s="1"/>
  <c r="I198" i="167"/>
  <c r="G198" i="167" s="1"/>
  <c r="O256" i="165"/>
  <c r="J259" i="165"/>
  <c r="P233" i="165"/>
  <c r="E232" i="165"/>
  <c r="H256" i="167"/>
  <c r="I253" i="167"/>
  <c r="G253" i="167" s="1"/>
  <c r="Q333" i="165"/>
  <c r="I204" i="167"/>
  <c r="G204" i="167" s="1"/>
  <c r="P338" i="165"/>
  <c r="I183" i="167"/>
  <c r="G183" i="167" s="1"/>
  <c r="G258" i="167"/>
  <c r="P236" i="165"/>
  <c r="P300" i="165"/>
  <c r="P255" i="165"/>
  <c r="G251" i="167"/>
  <c r="P292" i="165"/>
  <c r="P292" i="191" s="1"/>
  <c r="I259" i="167"/>
  <c r="G259" i="167" s="1"/>
  <c r="J342" i="165"/>
  <c r="J307" i="165"/>
  <c r="J304" i="165" s="1"/>
  <c r="P308" i="165"/>
  <c r="J329" i="165"/>
  <c r="I197" i="167"/>
  <c r="G197" i="167" s="1"/>
  <c r="J251" i="165"/>
  <c r="P343" i="165"/>
  <c r="P333" i="165"/>
  <c r="P260" i="165"/>
  <c r="E339" i="165"/>
  <c r="P330" i="165"/>
  <c r="P326" i="165"/>
  <c r="J325" i="165"/>
  <c r="P263" i="165"/>
  <c r="I200" i="167"/>
  <c r="G200" i="167" s="1"/>
  <c r="H170" i="167"/>
  <c r="H169" i="167" s="1"/>
  <c r="I190" i="167"/>
  <c r="G190" i="167" s="1"/>
  <c r="J245" i="165"/>
  <c r="P241" i="165"/>
  <c r="J240" i="165"/>
  <c r="I180" i="167"/>
  <c r="G180" i="167" s="1"/>
  <c r="E224" i="165"/>
  <c r="I174" i="167"/>
  <c r="J225" i="165"/>
  <c r="P222" i="165"/>
  <c r="J221" i="165"/>
  <c r="H186" i="167"/>
  <c r="H185" i="167" s="1"/>
  <c r="P289" i="191" l="1"/>
  <c r="Q290" i="191"/>
  <c r="G233" i="167"/>
  <c r="G229" i="167" s="1"/>
  <c r="I229" i="167"/>
  <c r="P163" i="165"/>
  <c r="J256" i="165"/>
  <c r="J250" i="165" s="1"/>
  <c r="J232" i="165"/>
  <c r="J231" i="165" s="1"/>
  <c r="E250" i="165"/>
  <c r="P245" i="165"/>
  <c r="P244" i="165" s="1"/>
  <c r="H101" i="167"/>
  <c r="P254" i="165"/>
  <c r="J253" i="165"/>
  <c r="O250" i="165"/>
  <c r="P225" i="165"/>
  <c r="O231" i="165"/>
  <c r="I248" i="167"/>
  <c r="O336" i="165"/>
  <c r="J328" i="165"/>
  <c r="O303" i="165"/>
  <c r="P262" i="165"/>
  <c r="P342" i="165"/>
  <c r="J339" i="165"/>
  <c r="E328" i="165"/>
  <c r="P221" i="165"/>
  <c r="P240" i="165"/>
  <c r="E336" i="165"/>
  <c r="J224" i="165"/>
  <c r="J244" i="165"/>
  <c r="P307" i="165"/>
  <c r="P304" i="165" s="1"/>
  <c r="P337" i="165"/>
  <c r="E231" i="165"/>
  <c r="P325" i="165"/>
  <c r="P291" i="165"/>
  <c r="P291" i="191" s="1"/>
  <c r="P235" i="165"/>
  <c r="E161" i="165"/>
  <c r="E113" i="165" s="1"/>
  <c r="O324" i="165"/>
  <c r="J324" i="165" s="1"/>
  <c r="P251" i="165"/>
  <c r="P299" i="165"/>
  <c r="P259" i="165"/>
  <c r="I256" i="167"/>
  <c r="G256" i="167"/>
  <c r="G248" i="167"/>
  <c r="P329" i="165"/>
  <c r="G186" i="167"/>
  <c r="I186" i="167"/>
  <c r="I185" i="167" s="1"/>
  <c r="G185" i="167" s="1"/>
  <c r="I170" i="167"/>
  <c r="I169" i="167" s="1"/>
  <c r="G174" i="167"/>
  <c r="G170" i="167" s="1"/>
  <c r="G169" i="167" s="1"/>
  <c r="O284" i="165"/>
  <c r="E284" i="165"/>
  <c r="O283" i="165"/>
  <c r="O283" i="191" s="1"/>
  <c r="E283" i="165"/>
  <c r="O282" i="165"/>
  <c r="E282" i="165"/>
  <c r="O281" i="165"/>
  <c r="E281" i="165"/>
  <c r="E280" i="165"/>
  <c r="O275" i="165"/>
  <c r="E275" i="165"/>
  <c r="O270" i="165"/>
  <c r="E270" i="165"/>
  <c r="N267" i="165"/>
  <c r="M267" i="165"/>
  <c r="I267" i="165"/>
  <c r="H267" i="165"/>
  <c r="G267" i="165"/>
  <c r="F267" i="165"/>
  <c r="P162" i="165" l="1"/>
  <c r="E239" i="165"/>
  <c r="P224" i="165"/>
  <c r="O239" i="165"/>
  <c r="J239" i="165" s="1"/>
  <c r="J238" i="165" s="1"/>
  <c r="P253" i="165"/>
  <c r="E220" i="165"/>
  <c r="E219" i="165" s="1"/>
  <c r="K169" i="167" s="1"/>
  <c r="O220" i="165"/>
  <c r="P232" i="165"/>
  <c r="E269" i="165"/>
  <c r="J282" i="165"/>
  <c r="J284" i="165"/>
  <c r="P161" i="165"/>
  <c r="E324" i="165"/>
  <c r="P339" i="165"/>
  <c r="H218" i="167"/>
  <c r="O269" i="165"/>
  <c r="E274" i="165"/>
  <c r="J281" i="165"/>
  <c r="J283" i="165"/>
  <c r="P328" i="165"/>
  <c r="J303" i="165"/>
  <c r="K229" i="167"/>
  <c r="O298" i="165"/>
  <c r="P256" i="165"/>
  <c r="J275" i="165"/>
  <c r="O274" i="165"/>
  <c r="J270" i="165"/>
  <c r="E279" i="165"/>
  <c r="L267" i="165"/>
  <c r="O280" i="165"/>
  <c r="K267" i="165"/>
  <c r="P282" i="165"/>
  <c r="P283" i="165" l="1"/>
  <c r="P283" i="191" s="1"/>
  <c r="J283" i="191"/>
  <c r="O238" i="165"/>
  <c r="P239" i="165"/>
  <c r="Q239" i="165" s="1"/>
  <c r="L185" i="167"/>
  <c r="E238" i="165"/>
  <c r="K185" i="167"/>
  <c r="P281" i="165"/>
  <c r="O219" i="165"/>
  <c r="J220" i="165"/>
  <c r="P231" i="165"/>
  <c r="P284" i="165"/>
  <c r="J269" i="165"/>
  <c r="O273" i="165"/>
  <c r="I218" i="167"/>
  <c r="E273" i="165"/>
  <c r="P303" i="165"/>
  <c r="J274" i="165"/>
  <c r="E277" i="165"/>
  <c r="P250" i="165"/>
  <c r="P275" i="165"/>
  <c r="P270" i="165"/>
  <c r="O279" i="165"/>
  <c r="J280" i="165"/>
  <c r="P238" i="165" l="1"/>
  <c r="E276" i="165"/>
  <c r="E268" i="165" s="1"/>
  <c r="E267" i="165" s="1"/>
  <c r="J219" i="165"/>
  <c r="L169" i="167" s="1"/>
  <c r="P220" i="165"/>
  <c r="P269" i="165"/>
  <c r="P274" i="165"/>
  <c r="J273" i="165"/>
  <c r="O277" i="165"/>
  <c r="O277" i="191" s="1"/>
  <c r="P280" i="165"/>
  <c r="J279" i="165"/>
  <c r="O276" i="165" l="1"/>
  <c r="O276" i="191" s="1"/>
  <c r="O268" i="191" s="1"/>
  <c r="Q220" i="165"/>
  <c r="P219" i="165"/>
  <c r="P279" i="165"/>
  <c r="P273" i="165"/>
  <c r="J277" i="165"/>
  <c r="J277" i="191" s="1"/>
  <c r="O267" i="191" l="1"/>
  <c r="J268" i="191"/>
  <c r="J276" i="165"/>
  <c r="J276" i="191" s="1"/>
  <c r="P277" i="165"/>
  <c r="P277" i="191" s="1"/>
  <c r="O268" i="165"/>
  <c r="J168" i="167"/>
  <c r="H168" i="167"/>
  <c r="J267" i="191" l="1"/>
  <c r="P268" i="191"/>
  <c r="P276" i="165"/>
  <c r="P276" i="191" s="1"/>
  <c r="O267" i="165"/>
  <c r="J268" i="165"/>
  <c r="Q268" i="191" l="1"/>
  <c r="P267" i="191"/>
  <c r="P268" i="165"/>
  <c r="Q268" i="165" s="1"/>
  <c r="J267" i="165"/>
  <c r="G243" i="167"/>
  <c r="G242" i="167"/>
  <c r="M241" i="167"/>
  <c r="G240" i="167"/>
  <c r="M239" i="167"/>
  <c r="G239" i="167"/>
  <c r="J223" i="167"/>
  <c r="M223" i="167" s="1"/>
  <c r="J165" i="167"/>
  <c r="J164" i="167"/>
  <c r="J163" i="167"/>
  <c r="J162" i="167"/>
  <c r="J161" i="167"/>
  <c r="J158" i="167"/>
  <c r="J157" i="167"/>
  <c r="J156" i="167"/>
  <c r="J153" i="167"/>
  <c r="G147" i="167"/>
  <c r="G146" i="167"/>
  <c r="J145" i="167"/>
  <c r="G144" i="167"/>
  <c r="J143" i="167"/>
  <c r="J141" i="167"/>
  <c r="G142" i="167"/>
  <c r="J136" i="167"/>
  <c r="G127" i="167"/>
  <c r="G126" i="167"/>
  <c r="G124" i="167"/>
  <c r="G120" i="167"/>
  <c r="J99" i="167"/>
  <c r="H99" i="167"/>
  <c r="G98" i="167"/>
  <c r="J93" i="167"/>
  <c r="J91" i="167"/>
  <c r="J89" i="167"/>
  <c r="J87" i="167"/>
  <c r="G86" i="167"/>
  <c r="J84" i="167"/>
  <c r="J78" i="167"/>
  <c r="J70" i="167"/>
  <c r="J41" i="167" s="1"/>
  <c r="G48" i="167"/>
  <c r="G45" i="167"/>
  <c r="G32" i="167"/>
  <c r="J30" i="167"/>
  <c r="M30" i="167" s="1"/>
  <c r="J29" i="167"/>
  <c r="M29" i="167" s="1"/>
  <c r="J26" i="167"/>
  <c r="M26" i="167" s="1"/>
  <c r="G21" i="167"/>
  <c r="E358" i="165"/>
  <c r="Q358" i="165" s="1"/>
  <c r="O355" i="165"/>
  <c r="O352" i="165"/>
  <c r="O347" i="165"/>
  <c r="G344" i="165"/>
  <c r="E347" i="165"/>
  <c r="N344" i="165"/>
  <c r="M344" i="165"/>
  <c r="L344" i="165"/>
  <c r="K344" i="165"/>
  <c r="I344" i="165"/>
  <c r="H344" i="165"/>
  <c r="G335" i="165"/>
  <c r="N335" i="165"/>
  <c r="M335" i="165"/>
  <c r="L335" i="165"/>
  <c r="K335" i="165"/>
  <c r="I335" i="165"/>
  <c r="F335" i="165"/>
  <c r="N323" i="165"/>
  <c r="M323" i="165"/>
  <c r="I323" i="165"/>
  <c r="H323" i="165"/>
  <c r="G323" i="165"/>
  <c r="O319" i="165"/>
  <c r="O317" i="165"/>
  <c r="O316" i="165"/>
  <c r="E316" i="165"/>
  <c r="E316" i="191" s="1"/>
  <c r="N310" i="165"/>
  <c r="M310" i="165"/>
  <c r="I310" i="165"/>
  <c r="H310" i="165"/>
  <c r="G310" i="165"/>
  <c r="L310" i="165"/>
  <c r="G297" i="165"/>
  <c r="N297" i="165"/>
  <c r="M297" i="165"/>
  <c r="I297" i="165"/>
  <c r="H297" i="165"/>
  <c r="N289" i="165"/>
  <c r="M289" i="165"/>
  <c r="L289" i="165"/>
  <c r="K289" i="165"/>
  <c r="I289" i="165"/>
  <c r="F289" i="165"/>
  <c r="O212" i="165"/>
  <c r="O209" i="165"/>
  <c r="E209" i="165"/>
  <c r="O208" i="165"/>
  <c r="E208" i="165"/>
  <c r="O207" i="165"/>
  <c r="O205" i="165"/>
  <c r="O205" i="191" s="1"/>
  <c r="J204" i="165"/>
  <c r="E204" i="165"/>
  <c r="O202" i="165"/>
  <c r="E202" i="165"/>
  <c r="O200" i="165"/>
  <c r="O199" i="165"/>
  <c r="E199" i="165"/>
  <c r="E196" i="165"/>
  <c r="E195" i="165"/>
  <c r="O193" i="165"/>
  <c r="N189" i="165"/>
  <c r="M189" i="165"/>
  <c r="L189" i="165"/>
  <c r="I189" i="165"/>
  <c r="O180" i="165"/>
  <c r="E180" i="165"/>
  <c r="E180" i="191" s="1"/>
  <c r="E179" i="165"/>
  <c r="E177" i="165"/>
  <c r="O176" i="165"/>
  <c r="E176" i="165"/>
  <c r="O175" i="165"/>
  <c r="E175" i="165"/>
  <c r="O174" i="165"/>
  <c r="H169" i="165"/>
  <c r="E172" i="165"/>
  <c r="N169" i="165"/>
  <c r="M169" i="165"/>
  <c r="L169" i="165"/>
  <c r="G169" i="165"/>
  <c r="M112" i="165"/>
  <c r="L112" i="165"/>
  <c r="I112" i="165"/>
  <c r="I99" i="167"/>
  <c r="E110" i="165"/>
  <c r="O104" i="165"/>
  <c r="O103" i="165"/>
  <c r="E103" i="165"/>
  <c r="O101" i="165"/>
  <c r="O99" i="165"/>
  <c r="E97" i="165"/>
  <c r="O96" i="165"/>
  <c r="E96" i="165"/>
  <c r="O95" i="165"/>
  <c r="J94" i="165"/>
  <c r="E94" i="165"/>
  <c r="E93" i="165"/>
  <c r="O91" i="165"/>
  <c r="N88" i="165"/>
  <c r="M88" i="165"/>
  <c r="L88" i="165"/>
  <c r="I88" i="165"/>
  <c r="O75" i="165"/>
  <c r="E75" i="165"/>
  <c r="O62" i="165"/>
  <c r="O60" i="165"/>
  <c r="O59" i="165"/>
  <c r="E59" i="165"/>
  <c r="E56" i="165"/>
  <c r="E54" i="165"/>
  <c r="O47" i="165"/>
  <c r="E47" i="165"/>
  <c r="E46" i="165"/>
  <c r="E44" i="165"/>
  <c r="M41" i="165"/>
  <c r="I41" i="165"/>
  <c r="O38" i="165"/>
  <c r="O35" i="165"/>
  <c r="E30" i="165"/>
  <c r="O28" i="165"/>
  <c r="E28" i="165"/>
  <c r="O22" i="165"/>
  <c r="E19" i="165"/>
  <c r="G16" i="165"/>
  <c r="O74" i="165" l="1"/>
  <c r="E74" i="165"/>
  <c r="O45" i="165"/>
  <c r="O45" i="191" s="1"/>
  <c r="E45" i="165"/>
  <c r="O34" i="165"/>
  <c r="O37" i="165"/>
  <c r="O61" i="165"/>
  <c r="H76" i="167"/>
  <c r="H82" i="167"/>
  <c r="O100" i="165"/>
  <c r="E109" i="165"/>
  <c r="E105" i="165" s="1"/>
  <c r="H137" i="167"/>
  <c r="O192" i="165"/>
  <c r="O211" i="165"/>
  <c r="E346" i="165"/>
  <c r="O354" i="165"/>
  <c r="O27" i="165"/>
  <c r="H55" i="167"/>
  <c r="O318" i="165"/>
  <c r="P267" i="165"/>
  <c r="E29" i="165"/>
  <c r="P97" i="165"/>
  <c r="H140" i="167"/>
  <c r="H155" i="167"/>
  <c r="E201" i="165"/>
  <c r="O203" i="165"/>
  <c r="O203" i="191" s="1"/>
  <c r="O346" i="165"/>
  <c r="H42" i="167"/>
  <c r="O90" i="165"/>
  <c r="O98" i="165"/>
  <c r="O178" i="165"/>
  <c r="O201" i="165"/>
  <c r="O351" i="165"/>
  <c r="H44" i="167"/>
  <c r="K44" i="167" s="1"/>
  <c r="H52" i="167"/>
  <c r="P30" i="165"/>
  <c r="O58" i="165"/>
  <c r="E178" i="165"/>
  <c r="E178" i="191" s="1"/>
  <c r="H135" i="167"/>
  <c r="E171" i="165"/>
  <c r="O206" i="165"/>
  <c r="O198" i="165"/>
  <c r="H154" i="167"/>
  <c r="E194" i="165"/>
  <c r="O102" i="165"/>
  <c r="E55" i="165"/>
  <c r="H53" i="167"/>
  <c r="H47" i="167"/>
  <c r="K47" i="167" s="1"/>
  <c r="H26" i="167"/>
  <c r="K26" i="167" s="1"/>
  <c r="H25" i="167"/>
  <c r="K25" i="167" s="1"/>
  <c r="J134" i="167"/>
  <c r="N16" i="165"/>
  <c r="I16" i="165"/>
  <c r="I356" i="165"/>
  <c r="I368" i="165" s="1"/>
  <c r="M16" i="165"/>
  <c r="M356" i="165"/>
  <c r="K323" i="165"/>
  <c r="K297" i="165"/>
  <c r="F310" i="165"/>
  <c r="G241" i="167"/>
  <c r="G237" i="167" s="1"/>
  <c r="H236" i="167"/>
  <c r="J101" i="165"/>
  <c r="E104" i="165"/>
  <c r="I236" i="167"/>
  <c r="K169" i="165"/>
  <c r="E193" i="165"/>
  <c r="J193" i="165"/>
  <c r="J35" i="165"/>
  <c r="J59" i="165"/>
  <c r="J208" i="165"/>
  <c r="L41" i="165"/>
  <c r="E95" i="165"/>
  <c r="J352" i="165"/>
  <c r="J247" i="167"/>
  <c r="M247" i="167" s="1"/>
  <c r="J202" i="165"/>
  <c r="J317" i="165"/>
  <c r="O323" i="165"/>
  <c r="J177" i="165"/>
  <c r="J176" i="165"/>
  <c r="J195" i="165"/>
  <c r="H335" i="165"/>
  <c r="E22" i="165"/>
  <c r="E22" i="191" s="1"/>
  <c r="E25" i="165"/>
  <c r="J28" i="165"/>
  <c r="J38" i="165"/>
  <c r="J47" i="165"/>
  <c r="J56" i="165"/>
  <c r="J60" i="165"/>
  <c r="G88" i="165"/>
  <c r="I78" i="167"/>
  <c r="E99" i="165"/>
  <c r="N112" i="165"/>
  <c r="J174" i="165"/>
  <c r="H141" i="167"/>
  <c r="H143" i="167"/>
  <c r="J200" i="165"/>
  <c r="H163" i="167"/>
  <c r="J209" i="165"/>
  <c r="H216" i="167"/>
  <c r="H217" i="167"/>
  <c r="E289" i="165"/>
  <c r="H223" i="167"/>
  <c r="K223" i="167" s="1"/>
  <c r="E317" i="165"/>
  <c r="J319" i="165"/>
  <c r="J347" i="165"/>
  <c r="J355" i="165"/>
  <c r="E38" i="165"/>
  <c r="J175" i="165"/>
  <c r="J180" i="165"/>
  <c r="H213" i="167"/>
  <c r="J316" i="165"/>
  <c r="N41" i="165"/>
  <c r="J96" i="165"/>
  <c r="J99" i="165"/>
  <c r="H91" i="167"/>
  <c r="J104" i="165"/>
  <c r="J179" i="165"/>
  <c r="E207" i="165"/>
  <c r="E212" i="165"/>
  <c r="G289" i="165"/>
  <c r="L323" i="165"/>
  <c r="O19" i="165"/>
  <c r="O19" i="191" s="1"/>
  <c r="E60" i="165"/>
  <c r="J75" i="165"/>
  <c r="J95" i="165"/>
  <c r="E174" i="165"/>
  <c r="E200" i="165"/>
  <c r="J205" i="165"/>
  <c r="J205" i="191" s="1"/>
  <c r="H164" i="167"/>
  <c r="H220" i="167"/>
  <c r="J23" i="167"/>
  <c r="J16" i="167" s="1"/>
  <c r="M15" i="167" s="1"/>
  <c r="J62" i="165"/>
  <c r="F88" i="165"/>
  <c r="H88" i="165"/>
  <c r="J22" i="165"/>
  <c r="E62" i="165"/>
  <c r="H70" i="167"/>
  <c r="E91" i="165"/>
  <c r="J91" i="165"/>
  <c r="H84" i="167"/>
  <c r="E101" i="165"/>
  <c r="J103" i="165"/>
  <c r="G112" i="165"/>
  <c r="G189" i="165"/>
  <c r="H189" i="165"/>
  <c r="J199" i="165"/>
  <c r="H158" i="167"/>
  <c r="I159" i="167"/>
  <c r="J207" i="165"/>
  <c r="J212" i="165"/>
  <c r="H215" i="167"/>
  <c r="H289" i="165"/>
  <c r="E335" i="165"/>
  <c r="G99" i="167"/>
  <c r="K239" i="167"/>
  <c r="G46" i="167"/>
  <c r="G138" i="167"/>
  <c r="G160" i="167"/>
  <c r="J255" i="167"/>
  <c r="M255" i="167" s="1"/>
  <c r="H78" i="167"/>
  <c r="P94" i="165"/>
  <c r="F297" i="165"/>
  <c r="J44" i="165"/>
  <c r="L297" i="165"/>
  <c r="L356" i="165"/>
  <c r="O93" i="165"/>
  <c r="H112" i="165"/>
  <c r="F112" i="165"/>
  <c r="H156" i="167"/>
  <c r="G17" i="167"/>
  <c r="H16" i="165"/>
  <c r="E205" i="165"/>
  <c r="F189" i="165"/>
  <c r="K310" i="165"/>
  <c r="E319" i="165"/>
  <c r="H145" i="167"/>
  <c r="O196" i="165"/>
  <c r="H159" i="167"/>
  <c r="P204" i="165"/>
  <c r="J220" i="167"/>
  <c r="F323" i="165"/>
  <c r="J159" i="167"/>
  <c r="J96" i="167"/>
  <c r="O25" i="165"/>
  <c r="O110" i="165"/>
  <c r="O110" i="191" s="1"/>
  <c r="J213" i="167"/>
  <c r="O297" i="165"/>
  <c r="E352" i="165"/>
  <c r="G22" i="167"/>
  <c r="G102" i="167"/>
  <c r="J236" i="167"/>
  <c r="J74" i="165" l="1"/>
  <c r="K42" i="167"/>
  <c r="E24" i="165"/>
  <c r="O24" i="165"/>
  <c r="E27" i="165"/>
  <c r="O43" i="165"/>
  <c r="H210" i="167"/>
  <c r="K210" i="167" s="1"/>
  <c r="O315" i="165"/>
  <c r="P29" i="165"/>
  <c r="K242" i="167"/>
  <c r="J178" i="165"/>
  <c r="I82" i="167"/>
  <c r="G82" i="167" s="1"/>
  <c r="J346" i="165"/>
  <c r="J192" i="165"/>
  <c r="E102" i="165"/>
  <c r="O349" i="165"/>
  <c r="O33" i="165"/>
  <c r="E351" i="165"/>
  <c r="J203" i="165"/>
  <c r="J203" i="191" s="1"/>
  <c r="I137" i="167"/>
  <c r="G137" i="167" s="1"/>
  <c r="J318" i="165"/>
  <c r="L242" i="167"/>
  <c r="I56" i="167"/>
  <c r="L56" i="167" s="1"/>
  <c r="J27" i="165"/>
  <c r="J351" i="165"/>
  <c r="I55" i="167"/>
  <c r="G55" i="167" s="1"/>
  <c r="E192" i="165"/>
  <c r="J100" i="165"/>
  <c r="O173" i="165"/>
  <c r="E198" i="165"/>
  <c r="E211" i="165"/>
  <c r="J90" i="165"/>
  <c r="E98" i="165"/>
  <c r="I140" i="167"/>
  <c r="G140" i="167" s="1"/>
  <c r="J201" i="165"/>
  <c r="J34" i="165"/>
  <c r="O353" i="165"/>
  <c r="O210" i="165"/>
  <c r="O36" i="165"/>
  <c r="E203" i="165"/>
  <c r="J211" i="165"/>
  <c r="E90" i="165"/>
  <c r="O18" i="165"/>
  <c r="O18" i="191" s="1"/>
  <c r="O17" i="191" s="1"/>
  <c r="E206" i="165"/>
  <c r="J98" i="165"/>
  <c r="J354" i="165"/>
  <c r="I47" i="167"/>
  <c r="L47" i="167" s="1"/>
  <c r="K21" i="167"/>
  <c r="E100" i="165"/>
  <c r="I80" i="167"/>
  <c r="O109" i="165"/>
  <c r="E318" i="165"/>
  <c r="M23" i="167"/>
  <c r="E37" i="165"/>
  <c r="J37" i="165"/>
  <c r="E173" i="165"/>
  <c r="E173" i="191" s="1"/>
  <c r="E170" i="191" s="1"/>
  <c r="E58" i="165"/>
  <c r="H56" i="167"/>
  <c r="J55" i="165"/>
  <c r="I53" i="167"/>
  <c r="G53" i="167" s="1"/>
  <c r="O92" i="165"/>
  <c r="E61" i="165"/>
  <c r="H58" i="167"/>
  <c r="J61" i="165"/>
  <c r="I58" i="167"/>
  <c r="J206" i="165"/>
  <c r="P316" i="165"/>
  <c r="P316" i="191" s="1"/>
  <c r="J315" i="165"/>
  <c r="O197" i="165"/>
  <c r="O197" i="191" s="1"/>
  <c r="O190" i="191" s="1"/>
  <c r="J198" i="165"/>
  <c r="I154" i="167"/>
  <c r="G154" i="167" s="1"/>
  <c r="O194" i="165"/>
  <c r="J102" i="165"/>
  <c r="H80" i="167"/>
  <c r="I42" i="167"/>
  <c r="I26" i="167"/>
  <c r="L26" i="167" s="1"/>
  <c r="I25" i="167"/>
  <c r="L25" i="167" s="1"/>
  <c r="E18" i="165"/>
  <c r="E18" i="191" s="1"/>
  <c r="J58" i="165"/>
  <c r="E70" i="170"/>
  <c r="K16" i="165"/>
  <c r="K356" i="165"/>
  <c r="F41" i="165"/>
  <c r="H41" i="165"/>
  <c r="H356" i="165"/>
  <c r="G41" i="165"/>
  <c r="G356" i="165"/>
  <c r="N356" i="165"/>
  <c r="N368" i="165" s="1"/>
  <c r="M236" i="167"/>
  <c r="J228" i="167"/>
  <c r="M229" i="167"/>
  <c r="P35" i="165"/>
  <c r="I153" i="167"/>
  <c r="I141" i="167"/>
  <c r="G141" i="167" s="1"/>
  <c r="I89" i="167"/>
  <c r="P208" i="165"/>
  <c r="G111" i="167"/>
  <c r="P199" i="165"/>
  <c r="P96" i="165"/>
  <c r="P47" i="165"/>
  <c r="H93" i="167"/>
  <c r="I29" i="167"/>
  <c r="L29" i="167" s="1"/>
  <c r="F169" i="165"/>
  <c r="P180" i="165"/>
  <c r="P180" i="191" s="1"/>
  <c r="I158" i="167"/>
  <c r="G158" i="167" s="1"/>
  <c r="P103" i="165"/>
  <c r="P177" i="165"/>
  <c r="P200" i="165"/>
  <c r="P209" i="165"/>
  <c r="P56" i="165"/>
  <c r="P176" i="165"/>
  <c r="J54" i="165"/>
  <c r="L241" i="167"/>
  <c r="G109" i="167"/>
  <c r="P347" i="165"/>
  <c r="H29" i="167"/>
  <c r="G236" i="167"/>
  <c r="P99" i="165"/>
  <c r="P202" i="165"/>
  <c r="I84" i="167"/>
  <c r="G84" i="167" s="1"/>
  <c r="P355" i="165"/>
  <c r="P195" i="165"/>
  <c r="P179" i="165"/>
  <c r="P22" i="165"/>
  <c r="P22" i="191" s="1"/>
  <c r="J172" i="165"/>
  <c r="H153" i="167"/>
  <c r="G78" i="167"/>
  <c r="H255" i="167"/>
  <c r="K255" i="167" s="1"/>
  <c r="P193" i="165"/>
  <c r="P60" i="165"/>
  <c r="G159" i="167"/>
  <c r="P59" i="165"/>
  <c r="P101" i="165"/>
  <c r="H89" i="167"/>
  <c r="P38" i="165"/>
  <c r="K241" i="167"/>
  <c r="H30" i="167"/>
  <c r="K30" i="167" s="1"/>
  <c r="P28" i="165"/>
  <c r="P212" i="165"/>
  <c r="H162" i="167"/>
  <c r="P75" i="165"/>
  <c r="I163" i="167"/>
  <c r="G163" i="167" s="1"/>
  <c r="P174" i="165"/>
  <c r="H157" i="167"/>
  <c r="H136" i="167"/>
  <c r="H134" i="167" s="1"/>
  <c r="P317" i="165"/>
  <c r="I143" i="167"/>
  <c r="G143" i="167" s="1"/>
  <c r="P95" i="165"/>
  <c r="I70" i="167"/>
  <c r="G70" i="167" s="1"/>
  <c r="P62" i="165"/>
  <c r="J133" i="167"/>
  <c r="M133" i="167" s="1"/>
  <c r="I91" i="167"/>
  <c r="G91" i="167" s="1"/>
  <c r="P91" i="165"/>
  <c r="M368" i="165"/>
  <c r="G121" i="167"/>
  <c r="I161" i="167"/>
  <c r="J323" i="165"/>
  <c r="J46" i="165"/>
  <c r="J46" i="191" s="1"/>
  <c r="G122" i="167"/>
  <c r="G115" i="167"/>
  <c r="H23" i="167"/>
  <c r="J25" i="165"/>
  <c r="G110" i="167"/>
  <c r="I162" i="167"/>
  <c r="I215" i="167"/>
  <c r="G108" i="167"/>
  <c r="I93" i="167"/>
  <c r="I87" i="167"/>
  <c r="G113" i="167"/>
  <c r="H87" i="167"/>
  <c r="H165" i="167"/>
  <c r="J196" i="165"/>
  <c r="P104" i="165"/>
  <c r="P207" i="165"/>
  <c r="J40" i="167"/>
  <c r="P175" i="165"/>
  <c r="I156" i="167"/>
  <c r="G156" i="167" s="1"/>
  <c r="J19" i="165"/>
  <c r="L239" i="167"/>
  <c r="I145" i="167"/>
  <c r="G145" i="167" s="1"/>
  <c r="I157" i="167"/>
  <c r="I136" i="167"/>
  <c r="J110" i="165"/>
  <c r="J110" i="191" s="1"/>
  <c r="I165" i="167"/>
  <c r="G125" i="167"/>
  <c r="I164" i="167"/>
  <c r="G164" i="167" s="1"/>
  <c r="G119" i="167"/>
  <c r="G114" i="167"/>
  <c r="I30" i="167"/>
  <c r="L30" i="167" s="1"/>
  <c r="G107" i="167"/>
  <c r="H247" i="167"/>
  <c r="K247" i="167" s="1"/>
  <c r="J101" i="167"/>
  <c r="J100" i="167" s="1"/>
  <c r="M100" i="167" s="1"/>
  <c r="K112" i="165"/>
  <c r="K189" i="165"/>
  <c r="J298" i="165"/>
  <c r="J297" i="165" s="1"/>
  <c r="P352" i="165"/>
  <c r="O289" i="165"/>
  <c r="J290" i="165"/>
  <c r="K41" i="165"/>
  <c r="J75" i="167"/>
  <c r="J152" i="167"/>
  <c r="J151" i="167" s="1"/>
  <c r="P319" i="165"/>
  <c r="J93" i="165"/>
  <c r="L16" i="165"/>
  <c r="O335" i="165"/>
  <c r="J336" i="165"/>
  <c r="H161" i="167"/>
  <c r="P205" i="165"/>
  <c r="P205" i="191" s="1"/>
  <c r="F16" i="165"/>
  <c r="K88" i="165"/>
  <c r="P44" i="165"/>
  <c r="O105" i="165" l="1"/>
  <c r="O105" i="191" s="1"/>
  <c r="O89" i="191" s="1"/>
  <c r="O109" i="191"/>
  <c r="O189" i="191"/>
  <c r="J190" i="191"/>
  <c r="O42" i="165"/>
  <c r="O43" i="191"/>
  <c r="O42" i="191" s="1"/>
  <c r="O356" i="191" s="1"/>
  <c r="J17" i="191"/>
  <c r="O16" i="191"/>
  <c r="L17" i="167"/>
  <c r="J19" i="191"/>
  <c r="E169" i="191"/>
  <c r="P170" i="191"/>
  <c r="H368" i="165"/>
  <c r="H373" i="165"/>
  <c r="J42" i="165"/>
  <c r="O23" i="165"/>
  <c r="H41" i="167"/>
  <c r="P74" i="165"/>
  <c r="J24" i="165"/>
  <c r="J45" i="165"/>
  <c r="J45" i="191" s="1"/>
  <c r="J312" i="165"/>
  <c r="E191" i="165"/>
  <c r="O312" i="165"/>
  <c r="E43" i="165"/>
  <c r="Q356" i="165"/>
  <c r="K371" i="165"/>
  <c r="P290" i="165"/>
  <c r="Q290" i="165" s="1"/>
  <c r="R290" i="165"/>
  <c r="G47" i="167"/>
  <c r="L320" i="184"/>
  <c r="K368" i="165"/>
  <c r="E23" i="165"/>
  <c r="J173" i="165"/>
  <c r="P55" i="165"/>
  <c r="E197" i="165"/>
  <c r="E92" i="165"/>
  <c r="P203" i="165"/>
  <c r="P203" i="191" s="1"/>
  <c r="I155" i="167"/>
  <c r="G155" i="167" s="1"/>
  <c r="P90" i="165"/>
  <c r="P211" i="165"/>
  <c r="P178" i="165"/>
  <c r="P178" i="191" s="1"/>
  <c r="P201" i="165"/>
  <c r="P346" i="165"/>
  <c r="P34" i="165"/>
  <c r="E36" i="165"/>
  <c r="E36" i="191" s="1"/>
  <c r="E17" i="191" s="1"/>
  <c r="E16" i="191" s="1"/>
  <c r="P27" i="165"/>
  <c r="P98" i="165"/>
  <c r="J210" i="165"/>
  <c r="O170" i="165"/>
  <c r="O169" i="165" s="1"/>
  <c r="J349" i="165"/>
  <c r="O345" i="165"/>
  <c r="J18" i="165"/>
  <c r="J18" i="191" s="1"/>
  <c r="P100" i="165"/>
  <c r="P192" i="165"/>
  <c r="P354" i="165"/>
  <c r="E315" i="165"/>
  <c r="E315" i="191" s="1"/>
  <c r="J33" i="165"/>
  <c r="P351" i="165"/>
  <c r="I44" i="167"/>
  <c r="L44" i="167" s="1"/>
  <c r="J36" i="165"/>
  <c r="J353" i="165"/>
  <c r="E210" i="165"/>
  <c r="O311" i="165"/>
  <c r="O310" i="165" s="1"/>
  <c r="J109" i="165"/>
  <c r="H16" i="167"/>
  <c r="K15" i="167" s="1"/>
  <c r="P318" i="165"/>
  <c r="I52" i="167"/>
  <c r="G52" i="167" s="1"/>
  <c r="E170" i="165"/>
  <c r="E169" i="165" s="1"/>
  <c r="K29" i="167"/>
  <c r="G29" i="167"/>
  <c r="P58" i="165"/>
  <c r="J197" i="165"/>
  <c r="J197" i="191" s="1"/>
  <c r="P61" i="165"/>
  <c r="G58" i="167"/>
  <c r="K56" i="167"/>
  <c r="G56" i="167"/>
  <c r="K23" i="167"/>
  <c r="P206" i="165"/>
  <c r="P198" i="165"/>
  <c r="O191" i="165"/>
  <c r="J194" i="165"/>
  <c r="J92" i="165"/>
  <c r="I135" i="167"/>
  <c r="I134" i="167" s="1"/>
  <c r="J171" i="165"/>
  <c r="L42" i="167"/>
  <c r="P102" i="165"/>
  <c r="I76" i="167"/>
  <c r="P37" i="165"/>
  <c r="G25" i="167"/>
  <c r="J74" i="167"/>
  <c r="M74" i="167" s="1"/>
  <c r="H152" i="167"/>
  <c r="H151" i="167" s="1"/>
  <c r="H209" i="167"/>
  <c r="H133" i="167"/>
  <c r="G153" i="167"/>
  <c r="J15" i="167"/>
  <c r="G89" i="167"/>
  <c r="I216" i="167"/>
  <c r="G216" i="167" s="1"/>
  <c r="P54" i="165"/>
  <c r="G93" i="167"/>
  <c r="I213" i="167"/>
  <c r="P46" i="165"/>
  <c r="P46" i="191" s="1"/>
  <c r="G80" i="167"/>
  <c r="G228" i="167"/>
  <c r="G26" i="167"/>
  <c r="P172" i="165"/>
  <c r="H75" i="167"/>
  <c r="G117" i="167"/>
  <c r="G30" i="167"/>
  <c r="G87" i="167"/>
  <c r="G118" i="167"/>
  <c r="G136" i="167"/>
  <c r="G162" i="167"/>
  <c r="G157" i="167"/>
  <c r="M40" i="167"/>
  <c r="P19" i="165"/>
  <c r="P19" i="191" s="1"/>
  <c r="G123" i="167"/>
  <c r="G161" i="167"/>
  <c r="G131" i="167"/>
  <c r="G165" i="167"/>
  <c r="I255" i="167"/>
  <c r="L255" i="167" s="1"/>
  <c r="I223" i="167"/>
  <c r="L223" i="167" s="1"/>
  <c r="G225" i="167"/>
  <c r="G224" i="167" s="1"/>
  <c r="P25" i="165"/>
  <c r="L368" i="165"/>
  <c r="I247" i="167"/>
  <c r="L247" i="167" s="1"/>
  <c r="G255" i="167"/>
  <c r="P196" i="165"/>
  <c r="J215" i="167"/>
  <c r="G215" i="167"/>
  <c r="I217" i="167"/>
  <c r="G128" i="167"/>
  <c r="L229" i="167"/>
  <c r="I96" i="167"/>
  <c r="G96" i="167" s="1"/>
  <c r="I23" i="167"/>
  <c r="I16" i="167" s="1"/>
  <c r="P110" i="165"/>
  <c r="P110" i="191" s="1"/>
  <c r="I220" i="167"/>
  <c r="G368" i="165"/>
  <c r="G247" i="167"/>
  <c r="P93" i="165"/>
  <c r="J289" i="165"/>
  <c r="E112" i="165"/>
  <c r="O112" i="165"/>
  <c r="J113" i="165"/>
  <c r="H228" i="167"/>
  <c r="P298" i="165"/>
  <c r="Q298" i="165" s="1"/>
  <c r="E297" i="165"/>
  <c r="G42" i="167"/>
  <c r="E323" i="165"/>
  <c r="P324" i="165"/>
  <c r="Q324" i="165" s="1"/>
  <c r="J335" i="165"/>
  <c r="P336" i="165"/>
  <c r="Q336" i="165" s="1"/>
  <c r="H100" i="167"/>
  <c r="K100" i="167" s="1"/>
  <c r="J105" i="165" l="1"/>
  <c r="J105" i="191" s="1"/>
  <c r="J109" i="191"/>
  <c r="O88" i="191"/>
  <c r="J89" i="191"/>
  <c r="J189" i="191"/>
  <c r="P190" i="191"/>
  <c r="O41" i="191"/>
  <c r="J42" i="191"/>
  <c r="J356" i="191" s="1"/>
  <c r="O371" i="191"/>
  <c r="O368" i="191"/>
  <c r="J16" i="191"/>
  <c r="P17" i="191"/>
  <c r="P169" i="191"/>
  <c r="Q170" i="191"/>
  <c r="E42" i="165"/>
  <c r="J112" i="165"/>
  <c r="P113" i="165"/>
  <c r="Q113" i="165" s="1"/>
  <c r="D90" i="170"/>
  <c r="O17" i="165"/>
  <c r="J17" i="165" s="1"/>
  <c r="D91" i="170"/>
  <c r="P42" i="165"/>
  <c r="Q42" i="165" s="1"/>
  <c r="I41" i="167"/>
  <c r="I40" i="167" s="1"/>
  <c r="L40" i="167" s="1"/>
  <c r="O41" i="165"/>
  <c r="J43" i="165"/>
  <c r="J43" i="191" s="1"/>
  <c r="P45" i="165"/>
  <c r="P45" i="191" s="1"/>
  <c r="E190" i="165"/>
  <c r="E189" i="165" s="1"/>
  <c r="P24" i="165"/>
  <c r="E312" i="165"/>
  <c r="E312" i="191" s="1"/>
  <c r="E311" i="191" s="1"/>
  <c r="P173" i="165"/>
  <c r="P173" i="191" s="1"/>
  <c r="G34" i="108"/>
  <c r="I210" i="167"/>
  <c r="L210" i="167" s="1"/>
  <c r="G44" i="167"/>
  <c r="K133" i="167"/>
  <c r="E17" i="165"/>
  <c r="Q17" i="190" s="1"/>
  <c r="J170" i="165"/>
  <c r="P170" i="165" s="1"/>
  <c r="Q170" i="165" s="1"/>
  <c r="J311" i="165"/>
  <c r="J310" i="165" s="1"/>
  <c r="L236" i="167" s="1"/>
  <c r="P315" i="165"/>
  <c r="P315" i="191" s="1"/>
  <c r="E89" i="165"/>
  <c r="E88" i="165" s="1"/>
  <c r="Q82" i="190" s="1"/>
  <c r="P18" i="165"/>
  <c r="P18" i="191" s="1"/>
  <c r="J23" i="165"/>
  <c r="J191" i="165"/>
  <c r="P171" i="165"/>
  <c r="O190" i="165"/>
  <c r="O189" i="165" s="1"/>
  <c r="P353" i="165"/>
  <c r="P194" i="165"/>
  <c r="P36" i="165"/>
  <c r="P36" i="191" s="1"/>
  <c r="O344" i="165"/>
  <c r="J345" i="165"/>
  <c r="J344" i="165" s="1"/>
  <c r="P33" i="165"/>
  <c r="P210" i="165"/>
  <c r="O89" i="165"/>
  <c r="P109" i="165"/>
  <c r="H40" i="167"/>
  <c r="H264" i="167"/>
  <c r="P197" i="165"/>
  <c r="P197" i="191" s="1"/>
  <c r="G135" i="167"/>
  <c r="P92" i="165"/>
  <c r="H74" i="167"/>
  <c r="G223" i="167"/>
  <c r="G213" i="167"/>
  <c r="H15" i="167"/>
  <c r="I228" i="167"/>
  <c r="L23" i="167"/>
  <c r="J216" i="167"/>
  <c r="I133" i="167"/>
  <c r="G23" i="167"/>
  <c r="G16" i="167" s="1"/>
  <c r="I101" i="167"/>
  <c r="I100" i="167" s="1"/>
  <c r="L100" i="167" s="1"/>
  <c r="G220" i="167"/>
  <c r="G106" i="167"/>
  <c r="G218" i="167"/>
  <c r="J217" i="167"/>
  <c r="G217" i="167"/>
  <c r="P323" i="165"/>
  <c r="P335" i="165"/>
  <c r="P289" i="165"/>
  <c r="I75" i="167"/>
  <c r="G76" i="167"/>
  <c r="G75" i="167" s="1"/>
  <c r="P297" i="165"/>
  <c r="J41" i="165"/>
  <c r="T41" i="190" s="1"/>
  <c r="J88" i="191" l="1"/>
  <c r="P89" i="191"/>
  <c r="P105" i="165"/>
  <c r="P105" i="191" s="1"/>
  <c r="P109" i="191"/>
  <c r="P189" i="191"/>
  <c r="Q190" i="191"/>
  <c r="E310" i="191"/>
  <c r="P311" i="191"/>
  <c r="J41" i="191"/>
  <c r="P42" i="191"/>
  <c r="J368" i="191"/>
  <c r="J371" i="191"/>
  <c r="P16" i="191"/>
  <c r="Q17" i="191"/>
  <c r="K74" i="167"/>
  <c r="J16" i="165"/>
  <c r="R17" i="190"/>
  <c r="L15" i="167"/>
  <c r="O16" i="165"/>
  <c r="P17" i="165"/>
  <c r="Q17" i="165" s="1"/>
  <c r="P43" i="165"/>
  <c r="P43" i="191" s="1"/>
  <c r="G41" i="167"/>
  <c r="G40" i="167" s="1"/>
  <c r="E311" i="165"/>
  <c r="E310" i="165" s="1"/>
  <c r="K236" i="167" s="1"/>
  <c r="J210" i="167"/>
  <c r="J264" i="167" s="1"/>
  <c r="P312" i="165"/>
  <c r="P312" i="191" s="1"/>
  <c r="K40" i="167"/>
  <c r="S113" i="165"/>
  <c r="J169" i="165"/>
  <c r="L133" i="167"/>
  <c r="O356" i="165"/>
  <c r="E41" i="165"/>
  <c r="S41" i="190" s="1"/>
  <c r="G210" i="167"/>
  <c r="J190" i="165"/>
  <c r="P190" i="165" s="1"/>
  <c r="Q190" i="165" s="1"/>
  <c r="E16" i="165"/>
  <c r="P191" i="165"/>
  <c r="E90" i="170"/>
  <c r="P23" i="165"/>
  <c r="O88" i="165"/>
  <c r="J89" i="165"/>
  <c r="G134" i="167"/>
  <c r="G133" i="167" s="1"/>
  <c r="I74" i="167"/>
  <c r="G74" i="167"/>
  <c r="G15" i="167"/>
  <c r="I209" i="167"/>
  <c r="G101" i="167"/>
  <c r="G100" i="167" s="1"/>
  <c r="I15" i="167"/>
  <c r="P169" i="165"/>
  <c r="P41" i="165"/>
  <c r="R41" i="190" s="1"/>
  <c r="P112" i="165"/>
  <c r="P88" i="191" l="1"/>
  <c r="Q89" i="191"/>
  <c r="Q311" i="191"/>
  <c r="P310" i="191"/>
  <c r="P41" i="191"/>
  <c r="Q42" i="191"/>
  <c r="P16" i="165"/>
  <c r="S17" i="190" s="1"/>
  <c r="P311" i="165"/>
  <c r="O368" i="165"/>
  <c r="O371" i="165"/>
  <c r="J189" i="165"/>
  <c r="P189" i="165"/>
  <c r="P89" i="165"/>
  <c r="Q89" i="165" s="1"/>
  <c r="J88" i="165"/>
  <c r="L74" i="167" s="1"/>
  <c r="J356" i="165"/>
  <c r="G209" i="167"/>
  <c r="M210" i="167"/>
  <c r="J209" i="167"/>
  <c r="R82" i="190" l="1"/>
  <c r="Q311" i="165"/>
  <c r="P310" i="165"/>
  <c r="J371" i="165"/>
  <c r="P88" i="165"/>
  <c r="S82" i="190" s="1"/>
  <c r="K176" i="153" l="1"/>
  <c r="I168" i="167" l="1"/>
  <c r="G168" i="167" l="1"/>
  <c r="G152" i="167" s="1"/>
  <c r="G264" i="167" s="1"/>
  <c r="I152" i="167"/>
  <c r="I264" i="167" s="1"/>
  <c r="K264" i="167" l="1"/>
  <c r="I151" i="167"/>
  <c r="G151" i="167"/>
  <c r="M19" i="107" l="1"/>
  <c r="O19" i="107"/>
  <c r="K13" i="107" l="1"/>
  <c r="Q19" i="107"/>
  <c r="G140" i="107" l="1"/>
  <c r="F137" i="108"/>
  <c r="G139" i="107"/>
  <c r="F136" i="108"/>
  <c r="G137" i="107"/>
  <c r="F134" i="108"/>
  <c r="F135" i="108"/>
  <c r="G138" i="107"/>
  <c r="G135" i="107"/>
  <c r="F132" i="108"/>
  <c r="G136" i="107"/>
  <c r="F133" i="108"/>
  <c r="G133" i="107"/>
  <c r="F130" i="108"/>
  <c r="G132" i="107"/>
  <c r="F129" i="108"/>
  <c r="G131" i="107"/>
  <c r="F128" i="108"/>
  <c r="G130" i="107"/>
  <c r="F127" i="108"/>
  <c r="G129" i="107"/>
  <c r="F126" i="108"/>
  <c r="G128" i="107"/>
  <c r="F125" i="108"/>
  <c r="G127" i="107"/>
  <c r="F124" i="108"/>
  <c r="G126" i="107"/>
  <c r="F123" i="108"/>
  <c r="G125" i="107"/>
  <c r="F122" i="108"/>
  <c r="G124" i="107"/>
  <c r="F121" i="108"/>
  <c r="G123" i="107"/>
  <c r="F120" i="108"/>
  <c r="G121" i="107"/>
  <c r="F118" i="108"/>
  <c r="G81" i="107"/>
  <c r="G79" i="107"/>
  <c r="G78" i="107"/>
  <c r="G77" i="107"/>
  <c r="G76" i="107"/>
  <c r="G74" i="107"/>
  <c r="G73" i="107"/>
  <c r="G72" i="107"/>
  <c r="G71" i="107"/>
  <c r="G70" i="107"/>
  <c r="G69" i="107"/>
  <c r="G68" i="107"/>
  <c r="G67" i="107"/>
  <c r="G66" i="107"/>
  <c r="G65" i="107"/>
  <c r="G64" i="107"/>
  <c r="G63" i="107"/>
  <c r="G62" i="107"/>
  <c r="G61" i="107"/>
  <c r="G60" i="107"/>
  <c r="G59" i="107"/>
  <c r="G58" i="107"/>
  <c r="G57" i="107"/>
  <c r="G56" i="107"/>
  <c r="G54" i="107"/>
  <c r="G32" i="107"/>
  <c r="G31" i="107"/>
  <c r="G30" i="107"/>
  <c r="G29" i="107"/>
  <c r="G28" i="107"/>
  <c r="G18" i="107"/>
  <c r="G16" i="107" s="1"/>
  <c r="G15" i="107" s="1"/>
  <c r="G14" i="107" s="1"/>
  <c r="G148" i="107"/>
  <c r="F145" i="108"/>
  <c r="K167" i="107"/>
  <c r="J164" i="108"/>
  <c r="K12" i="107" l="1"/>
  <c r="K20" i="107" s="1"/>
  <c r="L13" i="107"/>
  <c r="L12" i="107" s="1"/>
  <c r="L20" i="107" s="1"/>
  <c r="J13" i="107"/>
  <c r="J12" i="107" s="1"/>
  <c r="J20" i="107" s="1"/>
  <c r="G13" i="107"/>
  <c r="G12" i="107" s="1"/>
  <c r="H13" i="107"/>
  <c r="H12" i="107" s="1"/>
  <c r="F13" i="107"/>
  <c r="O17" i="107"/>
  <c r="N17" i="107"/>
  <c r="M17" i="107"/>
  <c r="O20" i="107" l="1"/>
  <c r="O16" i="107"/>
  <c r="O15" i="107" s="1"/>
  <c r="O14" i="107" s="1"/>
  <c r="L151" i="167"/>
  <c r="G20" i="107"/>
  <c r="M151" i="167"/>
  <c r="H20" i="107"/>
  <c r="O13" i="107"/>
  <c r="O12" i="107" s="1"/>
  <c r="Q17" i="107"/>
  <c r="N18" i="107" l="1"/>
  <c r="N20" i="107" l="1"/>
  <c r="N16" i="107"/>
  <c r="N15" i="107" s="1"/>
  <c r="N14" i="107" s="1"/>
  <c r="N13" i="107"/>
  <c r="N12" i="107" s="1"/>
  <c r="F12" i="107"/>
  <c r="K151" i="167" s="1"/>
  <c r="F20" i="107" l="1"/>
  <c r="D22" i="108"/>
  <c r="E34" i="108" s="1"/>
  <c r="M18" i="107" l="1"/>
  <c r="M13" i="107" l="1"/>
  <c r="M12" i="107" s="1"/>
  <c r="M20" i="107" s="1"/>
  <c r="M16" i="107"/>
  <c r="M15" i="107" s="1"/>
  <c r="M14" i="107" s="1"/>
  <c r="Q18" i="107"/>
  <c r="Q16" i="107" s="1"/>
  <c r="Q15" i="107" s="1"/>
  <c r="Q14" i="107" s="1"/>
  <c r="Q13" i="107" l="1"/>
  <c r="Q12" i="107" s="1"/>
  <c r="Q20" i="107"/>
  <c r="D26" i="170"/>
  <c r="D85" i="170" l="1"/>
  <c r="E84" i="170"/>
  <c r="D89" i="170" l="1"/>
  <c r="E89" i="170" s="1"/>
  <c r="E91" i="170"/>
  <c r="F349" i="165"/>
  <c r="E350" i="165"/>
  <c r="E349" i="165"/>
  <c r="E349" i="191" s="1"/>
  <c r="E345" i="191" s="1"/>
  <c r="E345" i="165"/>
  <c r="P345" i="165" s="1"/>
  <c r="E344" i="191" l="1"/>
  <c r="P345" i="191"/>
  <c r="E356" i="191"/>
  <c r="P350" i="165"/>
  <c r="E350" i="191"/>
  <c r="F345" i="165"/>
  <c r="F344" i="165" s="1"/>
  <c r="F349" i="191"/>
  <c r="F345" i="191" s="1"/>
  <c r="E356" i="165"/>
  <c r="F369" i="165" s="1"/>
  <c r="P344" i="165"/>
  <c r="P356" i="165"/>
  <c r="F356" i="165"/>
  <c r="E344" i="165"/>
  <c r="F344" i="191" l="1"/>
  <c r="F356" i="191"/>
  <c r="P349" i="165"/>
  <c r="P349" i="191" s="1"/>
  <c r="P350" i="191"/>
  <c r="Q345" i="191"/>
  <c r="P344" i="191"/>
  <c r="P356" i="191"/>
  <c r="E368" i="191"/>
  <c r="E377" i="191"/>
  <c r="F369" i="191"/>
  <c r="E369" i="191"/>
  <c r="Q345" i="165"/>
  <c r="D24" i="172"/>
  <c r="D20" i="172" s="1"/>
  <c r="D15" i="172" s="1"/>
  <c r="D29" i="172" s="1"/>
  <c r="E377" i="165"/>
  <c r="E368" i="165"/>
  <c r="F373" i="165"/>
  <c r="F368" i="165"/>
  <c r="P368" i="165"/>
  <c r="R356" i="165"/>
  <c r="F371" i="165"/>
  <c r="P369" i="165"/>
  <c r="E369" i="165"/>
  <c r="P368" i="191" l="1"/>
  <c r="R356" i="191"/>
  <c r="F371" i="191"/>
  <c r="P369" i="191"/>
  <c r="F373" i="191"/>
  <c r="F368" i="191"/>
  <c r="E24" i="172"/>
  <c r="E20" i="172" s="1"/>
  <c r="D48" i="172"/>
  <c r="D44" i="172" s="1"/>
  <c r="D43" i="172" s="1"/>
  <c r="D49" i="172" s="1"/>
  <c r="C24" i="172" l="1"/>
  <c r="C20" i="172" s="1"/>
  <c r="C15" i="172" s="1"/>
  <c r="C29" i="172" s="1"/>
  <c r="F24" i="172"/>
  <c r="F20" i="172" s="1"/>
  <c r="F15" i="172" s="1"/>
  <c r="F29" i="172" s="1"/>
  <c r="E48" i="172"/>
  <c r="E15" i="172"/>
  <c r="F48" i="172" l="1"/>
  <c r="F44" i="172" s="1"/>
  <c r="F43" i="172" s="1"/>
  <c r="F49" i="172" s="1"/>
  <c r="E44" i="172"/>
  <c r="E43" i="172" s="1"/>
  <c r="E49" i="172" s="1"/>
  <c r="C48" i="172"/>
  <c r="C44" i="172" s="1"/>
  <c r="C43" i="172" s="1"/>
  <c r="C49" i="172" s="1"/>
  <c r="G20" i="172"/>
  <c r="E29" i="172"/>
  <c r="G15" i="172"/>
  <c r="D53" i="170"/>
  <c r="E53" i="170" s="1"/>
  <c r="D61" i="170" l="1"/>
  <c r="E61" i="170" l="1"/>
  <c r="D48" i="170"/>
  <c r="D59" i="170" l="1"/>
  <c r="E59" i="170" s="1"/>
  <c r="E60" i="170"/>
</calcChain>
</file>

<file path=xl/sharedStrings.xml><?xml version="1.0" encoding="utf-8"?>
<sst xmlns="http://schemas.openxmlformats.org/spreadsheetml/2006/main" count="8479" uniqueCount="1523">
  <si>
    <t>Департамент освіти та науки Хмельницької міської ради (головний розпорядник)</t>
  </si>
  <si>
    <t>Департамент освіти та науки Хмельницької міської ради (відповідальний виконавець)</t>
  </si>
  <si>
    <t>1</t>
  </si>
  <si>
    <t>2</t>
  </si>
  <si>
    <t>Проведення навчально-тренувальних зборів і змагань з неолімпійських видів спорту</t>
  </si>
  <si>
    <t>4</t>
  </si>
  <si>
    <t>Надання пільг окремим категоріям громадян з оплати послуг зв'язку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</si>
  <si>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</si>
  <si>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</si>
  <si>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Компенсаційні виплати на пільговий проїзд електротранспортом окремим категоріям громадян</t>
  </si>
  <si>
    <t>Утримання клубів для підлітків за місцем проживання</t>
  </si>
  <si>
    <t>Разом</t>
  </si>
  <si>
    <t>Загальний фонд</t>
  </si>
  <si>
    <t>з них</t>
  </si>
  <si>
    <t>3</t>
  </si>
  <si>
    <t>комунальні послуги та енергоносії</t>
  </si>
  <si>
    <t>Код ФКВКБ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</si>
  <si>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</si>
  <si>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Управління охорони здоров'я Хмельницької міської ради (головний розпорядник)</t>
  </si>
  <si>
    <t>Багатопрофільна стаціонарна медична допомога населенню</t>
  </si>
  <si>
    <t>Код ТПКВКМБ /
ТКВКБМС</t>
  </si>
  <si>
    <t>1110000</t>
  </si>
  <si>
    <t>1100000</t>
  </si>
  <si>
    <t>Управління молоді та спорту Хмельницької міської ради (головний розпорядник)</t>
  </si>
  <si>
    <t>Управління культури і туризму Хмельницької міської ради (головний розпорядник)</t>
  </si>
  <si>
    <t>1500000</t>
  </si>
  <si>
    <t>1510000</t>
  </si>
  <si>
    <t>Фінансове управління Хмельницької міської ради (головний розпорядник)</t>
  </si>
  <si>
    <t>1115031</t>
  </si>
  <si>
    <t>1115032</t>
  </si>
  <si>
    <t>1115061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</si>
  <si>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</si>
  <si>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1115063</t>
  </si>
  <si>
    <t>Забезпечення діяльності централізованої бухгалтерії</t>
  </si>
  <si>
    <t>Проведення інформаційних заходів з організації проведення аукціонів</t>
  </si>
  <si>
    <t>Виготовлення документації із землеустрою</t>
  </si>
  <si>
    <t>Внески до статутного капіталу суб’єктів господарювання</t>
  </si>
  <si>
    <t>Управління молоді та спорту Хмельницької міської ради (відповідальний виконавець)</t>
  </si>
  <si>
    <t>Управління охорони здоров'я Хмельницької міської ради (відповідальний виконавець)</t>
  </si>
  <si>
    <t>Управління праці та соціального захисту населення Хмельницької міської ради (головний розпорядник)</t>
  </si>
  <si>
    <t>Управління праці та соціального захисту населення Хмельницької міської ради (відповідальний виконавець)</t>
  </si>
  <si>
    <t>Управління культури і туризму Хмельницької міської ради (відповідальний виконавець)</t>
  </si>
  <si>
    <t>Фінансове управління Хмельницької міської ради (відповідальний виконавець)</t>
  </si>
  <si>
    <t>Заходи з енергозбереження</t>
  </si>
  <si>
    <t>0133</t>
  </si>
  <si>
    <t>0180</t>
  </si>
  <si>
    <t>1115011</t>
  </si>
  <si>
    <t>Проведення навчально-тренувальних зборів і змагань з олімпійських видів спорту</t>
  </si>
  <si>
    <t>1115012</t>
  </si>
  <si>
    <t>1115022</t>
  </si>
  <si>
    <t>Утримання та навчально-тренувальна робота комунальних дитячо-юнацьких спортивних шкіл</t>
  </si>
  <si>
    <t>Фінансова підтримка дитячо-юнацьких спортивних шкіл фізкультурно-спортивних товариств</t>
  </si>
  <si>
    <t>1060</t>
  </si>
  <si>
    <t>Всього, в т.ч.:</t>
  </si>
  <si>
    <t>0511</t>
  </si>
  <si>
    <t>Охорона та раціональне використання природних ресурсів</t>
  </si>
  <si>
    <t>0540</t>
  </si>
  <si>
    <t>Спеціальний фонд</t>
  </si>
  <si>
    <t>видатки споживання</t>
  </si>
  <si>
    <t>оплата праці</t>
  </si>
  <si>
    <t>видатки розвитку</t>
  </si>
  <si>
    <t>Капітальні видатки</t>
  </si>
  <si>
    <t>Додаток 1</t>
  </si>
  <si>
    <t>( грн.)</t>
  </si>
  <si>
    <t>Код</t>
  </si>
  <si>
    <t>Найменування згідно
 з класифікацією доходів бюджету</t>
  </si>
  <si>
    <t>Податкові надходження</t>
  </si>
  <si>
    <t>Податки на доходи, податки на прибуток, податки на збільшення ринкової вартості</t>
  </si>
  <si>
    <t xml:space="preserve">Податок на доходи фізичних осіб </t>
  </si>
  <si>
    <t xml:space="preserve">Податок на  доходи фізичних осіб, що сплачуються податковими агентами, із доходів платника податку у вигляді заробітної плати </t>
  </si>
  <si>
    <t xml:space="preserve">Податок на  доходи 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</si>
  <si>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</t>
  </si>
  <si>
    <t xml:space="preserve">Податок на доходи доходів фізичних осіб, що сплачуються фізичними особами за результатами річного декларування </t>
  </si>
  <si>
    <t>Податок на прибуток підприємств</t>
  </si>
  <si>
    <t xml:space="preserve"> Податок на прибуток підприємств та фінансових установ комунальної власності </t>
  </si>
  <si>
    <t>Місцеві  податки і збори</t>
  </si>
  <si>
    <t>Податок на майно</t>
  </si>
  <si>
    <t xml:space="preserve">Податок на нерухоме майно, відмінне від земельної ділянки, сплачений юридичними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</si>
  <si>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</si>
  <si>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нежитлової нерухомості   </t>
  </si>
  <si>
    <t xml:space="preserve">Податок на нерухоме майно, відмінне від земельної ділянки, сплачений юридичними особами, які є власниками об"єктів нежитлової нерухомості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</si>
  <si>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</si>
  <si>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</si>
  <si>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</si>
  <si>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</si>
  <si>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 осіб</t>
  </si>
  <si>
    <t>Транспортний податок з юридичних осіб</t>
  </si>
  <si>
    <t xml:space="preserve">Туристичний збір </t>
  </si>
  <si>
    <t xml:space="preserve">Туристичний збір, сплачений юридичними особами  </t>
  </si>
  <si>
    <t xml:space="preserve">Туристичний збір, сплачений фізичними особами  </t>
  </si>
  <si>
    <t xml:space="preserve">Єдиний податок  </t>
  </si>
  <si>
    <t>Єдиний податок  з фізичних осіб</t>
  </si>
  <si>
    <t xml:space="preserve">Екологічний податок </t>
  </si>
  <si>
    <t>Надходження від скидів забруднюючих речовин безпосередньо у водні об"єкти</t>
  </si>
  <si>
    <t xml:space="preserve">Надходження від розміщення відходів у спеціально відведених місцях чи на об"єктах, крім розміщення окремих видів відходів як вторинної сировини </t>
  </si>
  <si>
    <t>Неподаткові надходження</t>
  </si>
  <si>
    <t>Частина чистого прибутку (доходу)  комунальних унітарних підприємств та їх об"єднань, що вилучається до відповідного місцевого бюджету</t>
  </si>
  <si>
    <t xml:space="preserve">Плата за розміщення тимчасово вільних коштів </t>
  </si>
  <si>
    <t>Адміністративні штрафи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</si>
  <si>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</si>
  <si>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</t>
  </si>
  <si>
    <t xml:space="preserve">Адміністративний збір за державну реєстрацію речових прав на нерухоме майно та їх обтяжень </t>
  </si>
  <si>
    <t xml:space="preserve">Плата за надання інших адміністративних послуг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</si>
  <si>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</t>
  </si>
  <si>
    <t xml:space="preserve">Державне мито 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</si>
  <si>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</si>
  <si>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</si>
  <si>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</si>
  <si>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 xml:space="preserve">Інші надходження </t>
  </si>
  <si>
    <t xml:space="preserve">Надходження коштів пайової участі у розвитку інфраструктури населеного пункту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</si>
  <si>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</si>
  <si>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</si>
  <si>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</si>
  <si>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 діяльності</t>
  </si>
  <si>
    <t>Плата за оренду майна бюджетних установ</t>
  </si>
  <si>
    <t>Надходження  бюджетних установ від реалізації в установленому порядку майна (крім нерухомого майна)</t>
  </si>
  <si>
    <t>Доходи від операцій з капіталом</t>
  </si>
  <si>
    <t>Надходження від продажу основного капіталу</t>
  </si>
  <si>
    <t xml:space="preserve">Кошти від реалізації безхазяйного майна,знахідок,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</t>
  </si>
  <si>
    <t xml:space="preserve">Кошти  від відчуження майна, яке належить  Автономній Республіці Крим та майна, що знаходиться у комунальній власності </t>
  </si>
  <si>
    <t>Надходження від продажу землі і нематеріальних активів</t>
  </si>
  <si>
    <t xml:space="preserve">Кошти від продажу землі </t>
  </si>
  <si>
    <t>Кошти від продажу прав на земельні ділянки несільськогосподарського призначення, що перебувають у державній або комунальній власності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</si>
  <si>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</si>
  <si>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 xml:space="preserve">Субвенції  </t>
  </si>
  <si>
    <t xml:space="preserve">Освітня субвенція з державного бюджету місцевим бюджетам </t>
  </si>
  <si>
    <t>Додаток 2</t>
  </si>
  <si>
    <t>200000</t>
  </si>
  <si>
    <t>Внутрішнє фінансування</t>
  </si>
  <si>
    <t>208100</t>
  </si>
  <si>
    <t>На початок періоду</t>
  </si>
  <si>
    <t>Передача коштів із загального до бюджету розвитку (спеціального фонду)</t>
  </si>
  <si>
    <t xml:space="preserve">Фінансування за борговими операціями </t>
  </si>
  <si>
    <t xml:space="preserve">Запозичення </t>
  </si>
  <si>
    <t>600000</t>
  </si>
  <si>
    <t>Фінансування за активними операціями</t>
  </si>
  <si>
    <t>Надання кредитів</t>
  </si>
  <si>
    <t>Повернення кредитів</t>
  </si>
  <si>
    <t>Хмельницької міської ради</t>
  </si>
  <si>
    <t xml:space="preserve">Пункти Положення </t>
  </si>
  <si>
    <t>Джерела доходів</t>
  </si>
  <si>
    <t>2.1.1.</t>
  </si>
  <si>
    <t>Кошти за надлишки загальної житлової площі при приватизації державного житлового фонду</t>
  </si>
  <si>
    <t>2.1.2.</t>
  </si>
  <si>
    <t>Кошти за тимчасове користування місцями для розміщення зовнішньої реклами</t>
  </si>
  <si>
    <t>2.1.3.</t>
  </si>
  <si>
    <t>Надходження коштів від забудовників, які без відповідного дозволу здійснили або здійснюють роботи по будівництву, реконструкції, реставрації, капітальному ремонту об"єктів містобудування</t>
  </si>
  <si>
    <t>2.1.5.</t>
  </si>
  <si>
    <t xml:space="preserve">Надходження плати за виготовлення бланків і видачу свідоцтв про право власності на житлове (житлові) приміщення у гуртожитку </t>
  </si>
  <si>
    <t xml:space="preserve">Всього по джерелах доходів : </t>
  </si>
  <si>
    <t>Видатки</t>
  </si>
  <si>
    <t>3.2.1.</t>
  </si>
  <si>
    <t>Фінансове забезпечення проведення міських заходів виконавчим комітетом Хмельницької міської ради та управліннями і відділами міської ради</t>
  </si>
  <si>
    <t>3.2.3.</t>
  </si>
  <si>
    <t>Матеріальне забезпечення проведення сесій міської ради, депутатських днів та інших організаційних заходів з діяльності депутатів міської ради</t>
  </si>
  <si>
    <t>3.2.5.</t>
  </si>
  <si>
    <t>3.2.6.</t>
  </si>
  <si>
    <t>Виплата винагороди головам квартальних комітетів</t>
  </si>
  <si>
    <t>3.2.7.</t>
  </si>
  <si>
    <t xml:space="preserve">Спрямування коштів на житлове будівництво, реконструкцію та на ремонт житла всіх форм власності, в т.ч. будинків житлово-будівельних кооперативів (ТОВ "ЖЕО"), об'є́днань співвла́сників багатокварти́рних буди́нків, Будинкоуправління №2  КЕВ м. Хмельницький та будівель і споруд  комунальної власності </t>
  </si>
  <si>
    <t>Здійснення заходів з приватизації, відчуження та передачі в оренду майна комунальної власності</t>
  </si>
  <si>
    <t>Адміністративний збір з проведення державної реєстрації юридичних осіб, фізичних осіб - підприємців та громадських формувань</t>
  </si>
  <si>
    <t>0200000</t>
  </si>
  <si>
    <t>0210000</t>
  </si>
  <si>
    <t>Виконавчий комітет Хмельницької міської ради (головний розпорядник)</t>
  </si>
  <si>
    <t>Виконавчий комітет Хмельницької міської ради  (відповідальний виконавець)</t>
  </si>
  <si>
    <t>0600000</t>
  </si>
  <si>
    <t>0610000</t>
  </si>
  <si>
    <t>0700000</t>
  </si>
  <si>
    <t>0710000</t>
  </si>
  <si>
    <t>0800000</t>
  </si>
  <si>
    <t>0810000</t>
  </si>
  <si>
    <t>1200000</t>
  </si>
  <si>
    <t>1210000</t>
  </si>
  <si>
    <t>1600000</t>
  </si>
  <si>
    <t>1610000</t>
  </si>
  <si>
    <t>3600000</t>
  </si>
  <si>
    <t>3610000</t>
  </si>
  <si>
    <t>2800000</t>
  </si>
  <si>
    <t>2810000</t>
  </si>
  <si>
    <t>2700000</t>
  </si>
  <si>
    <t>2710000</t>
  </si>
  <si>
    <t>3700000</t>
  </si>
  <si>
    <t>3710000</t>
  </si>
  <si>
    <t>0490</t>
  </si>
  <si>
    <t>1014010</t>
  </si>
  <si>
    <t>4010</t>
  </si>
  <si>
    <t>4060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</si>
  <si>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</si>
  <si>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</si>
  <si>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</si>
  <si>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</si>
  <si>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</si>
  <si>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</si>
  <si>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</si>
  <si>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</si>
  <si>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1014060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</si>
  <si>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</si>
  <si>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</si>
  <si>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0960</t>
  </si>
  <si>
    <t>0829</t>
  </si>
  <si>
    <t>1113121</t>
  </si>
  <si>
    <t>3121</t>
  </si>
  <si>
    <t>1040</t>
  </si>
  <si>
    <t>5011</t>
  </si>
  <si>
    <t>5012</t>
  </si>
  <si>
    <t>5022</t>
  </si>
  <si>
    <t>1113132</t>
  </si>
  <si>
    <t>3132</t>
  </si>
  <si>
    <t>1090</t>
  </si>
  <si>
    <t>5031</t>
  </si>
  <si>
    <t>5032</t>
  </si>
  <si>
    <t>5061</t>
  </si>
  <si>
    <t>0810</t>
  </si>
  <si>
    <t>5063</t>
  </si>
  <si>
    <t>7670</t>
  </si>
  <si>
    <t>0611010</t>
  </si>
  <si>
    <t>1010</t>
  </si>
  <si>
    <t>1020</t>
  </si>
  <si>
    <t>0910</t>
  </si>
  <si>
    <t>Надання дошкільної освіти</t>
  </si>
  <si>
    <t>0611020</t>
  </si>
  <si>
    <t>0921</t>
  </si>
  <si>
    <t>1030</t>
  </si>
  <si>
    <t>1070</t>
  </si>
  <si>
    <t>0922</t>
  </si>
  <si>
    <t>0611090</t>
  </si>
  <si>
    <t>0930</t>
  </si>
  <si>
    <t>0990</t>
  </si>
  <si>
    <t>2010</t>
  </si>
  <si>
    <t>7640</t>
  </si>
  <si>
    <t>0470</t>
  </si>
  <si>
    <t>0712010</t>
  </si>
  <si>
    <t>0731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</si>
  <si>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</si>
  <si>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</si>
  <si>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</si>
  <si>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</si>
  <si>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</si>
  <si>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</si>
  <si>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</si>
  <si>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0712100</t>
  </si>
  <si>
    <t>2100</t>
  </si>
  <si>
    <t>0722</t>
  </si>
  <si>
    <t>Стоматологічна допомога населенню</t>
  </si>
  <si>
    <t>0712111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</si>
  <si>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</si>
  <si>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</si>
  <si>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</si>
  <si>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</si>
  <si>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0210150</t>
  </si>
  <si>
    <t>0150</t>
  </si>
  <si>
    <t>0111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</si>
  <si>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</si>
  <si>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</si>
  <si>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Реалізація Національної програми інформатизації</t>
  </si>
  <si>
    <t>0217520</t>
  </si>
  <si>
    <t>7520</t>
  </si>
  <si>
    <t>0460</t>
  </si>
  <si>
    <t>0218410</t>
  </si>
  <si>
    <t>8410</t>
  </si>
  <si>
    <t>0830</t>
  </si>
  <si>
    <t>Фінансова підтримка засобів масової інформації</t>
  </si>
  <si>
    <t>0219710</t>
  </si>
  <si>
    <t>9710</t>
  </si>
  <si>
    <t>0210180</t>
  </si>
  <si>
    <t>Інша діяльність у сфері державного управління</t>
  </si>
  <si>
    <t>Заходи з організації рятування на водах</t>
  </si>
  <si>
    <t>8120</t>
  </si>
  <si>
    <t>0320</t>
  </si>
  <si>
    <t>2717630</t>
  </si>
  <si>
    <t>Реалізація програм і заходів в галузі зовнішньоекономічної діяльності</t>
  </si>
  <si>
    <t>7630</t>
  </si>
  <si>
    <t>Інші заходи, пов'язані з економічною діяльністю</t>
  </si>
  <si>
    <t>2717693</t>
  </si>
  <si>
    <t>7693</t>
  </si>
  <si>
    <t>Сприяння розвитку малого та середнього підприємництва</t>
  </si>
  <si>
    <t>0411</t>
  </si>
  <si>
    <t>2717610</t>
  </si>
  <si>
    <t>7610</t>
  </si>
  <si>
    <t>Реалізація інших заходів щодо соціально-економічного розвитку територій</t>
  </si>
  <si>
    <t>0813160</t>
  </si>
  <si>
    <t>3160</t>
  </si>
  <si>
    <t>3104</t>
  </si>
  <si>
    <t>3105</t>
  </si>
  <si>
    <t>0813104</t>
  </si>
  <si>
    <t>0813105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</si>
  <si>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</si>
  <si>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</si>
  <si>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</si>
  <si>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</si>
  <si>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</si>
  <si>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3035</t>
  </si>
  <si>
    <t>0813033</t>
  </si>
  <si>
    <t>3033</t>
  </si>
  <si>
    <t>0813035</t>
  </si>
  <si>
    <t>0813036</t>
  </si>
  <si>
    <t>3036</t>
  </si>
  <si>
    <t>1216011</t>
  </si>
  <si>
    <t>6011</t>
  </si>
  <si>
    <t>Експлуатація та технічне обслуговування житлового фонду</t>
  </si>
  <si>
    <t>0620</t>
  </si>
  <si>
    <t>1216017</t>
  </si>
  <si>
    <t>6017</t>
  </si>
  <si>
    <t>6013</t>
  </si>
  <si>
    <t>Забезпечення діяльності водопровідно-каналізаційного господарства</t>
  </si>
  <si>
    <t>1216030</t>
  </si>
  <si>
    <t>6030</t>
  </si>
  <si>
    <t>Організація благоустрою населених пунктів</t>
  </si>
  <si>
    <t>7426</t>
  </si>
  <si>
    <t>Інші заходи у сфері електротранспорту</t>
  </si>
  <si>
    <t>0453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</si>
  <si>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</si>
  <si>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</si>
  <si>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</si>
  <si>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1217640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</si>
  <si>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</si>
  <si>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</si>
  <si>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0217680</t>
  </si>
  <si>
    <t>7680</t>
  </si>
  <si>
    <t>1216015</t>
  </si>
  <si>
    <t>6015</t>
  </si>
  <si>
    <t>Забезпечення надійної та безперебійної експлуатації ліфтів</t>
  </si>
  <si>
    <t>0443</t>
  </si>
  <si>
    <t>7310</t>
  </si>
  <si>
    <t>3617130</t>
  </si>
  <si>
    <t>7130</t>
  </si>
  <si>
    <t>0421</t>
  </si>
  <si>
    <t>2818311</t>
  </si>
  <si>
    <t>8311</t>
  </si>
  <si>
    <t>2818330</t>
  </si>
  <si>
    <t>8330</t>
  </si>
  <si>
    <t>Будівництвоˈ  освітніх установ та закладів</t>
  </si>
  <si>
    <t>1517321</t>
  </si>
  <si>
    <t>7321</t>
  </si>
  <si>
    <t>1517325</t>
  </si>
  <si>
    <t>7325</t>
  </si>
  <si>
    <t>1517330</t>
  </si>
  <si>
    <t>7330</t>
  </si>
  <si>
    <t>№ п/п</t>
  </si>
  <si>
    <t>Код КПКВ</t>
  </si>
  <si>
    <t>Заходи, на які виділяються кошти</t>
  </si>
  <si>
    <t>Проведення експертної грошової оцінки земельної ділянки несільськогосподарського призначення</t>
  </si>
  <si>
    <t>%</t>
  </si>
  <si>
    <t>Забезпечення діяльності інших закладів у сфері охорони здоров’я</t>
  </si>
  <si>
    <t>Інші програми та заходи у сфері охорони здоров’я</t>
  </si>
  <si>
    <t>0712151</t>
  </si>
  <si>
    <t>0712152</t>
  </si>
  <si>
    <t>2151</t>
  </si>
  <si>
    <t>2152</t>
  </si>
  <si>
    <t>0813192</t>
  </si>
  <si>
    <t>3192</t>
  </si>
  <si>
    <t>0813241</t>
  </si>
  <si>
    <t>0813242</t>
  </si>
  <si>
    <t>3241</t>
  </si>
  <si>
    <t>3242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</si>
  <si>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</si>
  <si>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</si>
  <si>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1014081</t>
  </si>
  <si>
    <t>4081</t>
  </si>
  <si>
    <t>1014082</t>
  </si>
  <si>
    <t>4082</t>
  </si>
  <si>
    <t>Інші програми та заходи у сфері освіти</t>
  </si>
  <si>
    <t>7691</t>
  </si>
  <si>
    <t>0217691</t>
  </si>
  <si>
    <t>0610</t>
  </si>
  <si>
    <t>6084</t>
  </si>
  <si>
    <t>1116084</t>
  </si>
  <si>
    <t xml:space="preserve">Кошти від продажу земельних ділянок  несільськогосподарського призначення, що перебувають у державній або комунальній власності </t>
  </si>
  <si>
    <t xml:space="preserve">Дотація з місцевого бюджету на здійснення  переданих з державного бюджету видатків з утримання закладів освіти та охорони здоров"я за рахунок відповідної дотації з державного бюджету </t>
  </si>
  <si>
    <t xml:space="preserve">Дотації з місцевих бюджетів іншим місцевим бюджетам </t>
  </si>
  <si>
    <t>Амбулаторно-поліклінічна допомога населенню, крім первинної медичної допомоги</t>
  </si>
  <si>
    <t>0726</t>
  </si>
  <si>
    <t>3180</t>
  </si>
  <si>
    <t>0813180</t>
  </si>
  <si>
    <t>Проведення навчально-тренувальних зборів і змагань та заходів зі спорту осіб з інвалідністю</t>
  </si>
  <si>
    <t>7370</t>
  </si>
  <si>
    <t>1113133</t>
  </si>
  <si>
    <t>3133</t>
  </si>
  <si>
    <t>Інші заходи та заклади молодіжної політики</t>
  </si>
  <si>
    <t>Управління економіки Хмельницької міської ради (головний розпорядник)</t>
  </si>
  <si>
    <t>Управління економіки Хмельницької міської ради (відповідальний виконавець)</t>
  </si>
  <si>
    <t xml:space="preserve">Зовнішнє фінансування </t>
  </si>
  <si>
    <t xml:space="preserve">Позики, надані міжнародними організаціями </t>
  </si>
  <si>
    <t>Одержано позик</t>
  </si>
  <si>
    <t xml:space="preserve">Погашено позик </t>
  </si>
  <si>
    <t>Зовнішні запозичення</t>
  </si>
  <si>
    <t xml:space="preserve">Погашення </t>
  </si>
  <si>
    <t>0170</t>
  </si>
  <si>
    <t>9770</t>
  </si>
  <si>
    <t>Інші субвенції з місцевого бюджету</t>
  </si>
  <si>
    <t>6082</t>
  </si>
  <si>
    <t>Придбання житла для окремих категорій населення відповідно до законодавства</t>
  </si>
  <si>
    <t>0816082</t>
  </si>
  <si>
    <t>3617650</t>
  </si>
  <si>
    <t>7650</t>
  </si>
  <si>
    <t>Проведення експертної грошової оцінки земельної ділянки чи права на неї</t>
  </si>
  <si>
    <t>Організація та проведення громадських робіт</t>
  </si>
  <si>
    <t>3210</t>
  </si>
  <si>
    <t>1050</t>
  </si>
  <si>
    <t>Управління капітального будівництва Департаменту архітектури, містобудування та земельних ресурсів Хмельницької міської ради (головний розпорядник)</t>
  </si>
  <si>
    <t xml:space="preserve">Плата за встановлення земельного сервітуту 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</si>
  <si>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 </t>
  </si>
  <si>
    <t>6012</t>
  </si>
  <si>
    <t>Забезпечення діяльності з виробництва, транспортування, постачання теплової енергії</t>
  </si>
  <si>
    <t>Найменування згідно з Класифікацією фінансування бюджету</t>
  </si>
  <si>
    <t xml:space="preserve">Фінансування за типом кредитора </t>
  </si>
  <si>
    <t>Загальне фінансування</t>
  </si>
  <si>
    <t>Х</t>
  </si>
  <si>
    <t xml:space="preserve">Фінансування за типом боргового зобов'язання </t>
  </si>
  <si>
    <t>Усього</t>
  </si>
  <si>
    <t>усього</t>
  </si>
  <si>
    <t>у тому числі бюджет розвитку</t>
  </si>
  <si>
    <t>загальний фонд</t>
  </si>
  <si>
    <t>спеціальний фонд</t>
  </si>
  <si>
    <t>разом</t>
  </si>
  <si>
    <t>Кредитування, усього</t>
  </si>
  <si>
    <t>Код Функціональної класифікації видатків та кредитування бюджету</t>
  </si>
  <si>
    <t>УСЬОГО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</si>
  <si>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</si>
  <si>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</si>
  <si>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</si>
  <si>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</si>
  <si>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</si>
  <si>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</si>
  <si>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</si>
  <si>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</si>
  <si>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</si>
  <si>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</si>
  <si>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</si>
  <si>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</si>
  <si>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(грн)</t>
  </si>
  <si>
    <t>Сума, грн</t>
  </si>
  <si>
    <t>Проведення науково-технічних конференцій і семінарів, організація виставок, фестивалів та інших заходів щодо пропаганди охорони навколишнього природного середовища, видання поліграфічної продукції з екологічної тематики тощо</t>
  </si>
  <si>
    <t>Рішення 19-ї сесії Хмельницької міської ради від 21.02.2001 року №6</t>
  </si>
  <si>
    <t>Рішення 11-ї сесії Хмельницької міської ради від 25.01.2017 року №20</t>
  </si>
  <si>
    <t>Рішення позачергової 10-ї сесії Хмельницької міської ради від 29.12.2016 року №1</t>
  </si>
  <si>
    <t>Оформлення передплати на газети організаціям інвалідів, ветеранів війни і праці, окремим категоріям громадян</t>
  </si>
  <si>
    <t>Рішення позачергової 10-ї сесії Хмельницької міської ради від 29.12.2016 року №4</t>
  </si>
  <si>
    <t>Рішення позачергової 10-ї сесії Хмельницької міської ради від 29.12.2016 року №2</t>
  </si>
  <si>
    <t>7413</t>
  </si>
  <si>
    <t>0451</t>
  </si>
  <si>
    <t>Інші заходи у сфері автотранспорту</t>
  </si>
  <si>
    <t>0810160</t>
  </si>
  <si>
    <t>0710160</t>
  </si>
  <si>
    <t>1510160</t>
  </si>
  <si>
    <t>3610160</t>
  </si>
  <si>
    <t>1610160</t>
  </si>
  <si>
    <t>3710160</t>
  </si>
  <si>
    <t>1210160</t>
  </si>
  <si>
    <t>2810160</t>
  </si>
  <si>
    <t>0817691</t>
  </si>
  <si>
    <t>1217691</t>
  </si>
  <si>
    <t>Рішення 21-ї сесії Хмельницької міської ради від 11.04.2018 року №11</t>
  </si>
  <si>
    <t>у тому числі  бюджет розвитку</t>
  </si>
  <si>
    <t>Офіційні трансферти</t>
  </si>
  <si>
    <t>0813210</t>
  </si>
  <si>
    <t>Рішення 27-ї сесії Хмельницької міської ради від 14.12.2018 року №16</t>
  </si>
  <si>
    <t>Рішення 27-ї сесії Хмельницької міської ради від 14.12.2018 року №13</t>
  </si>
  <si>
    <t>Забезпечення діяльності інклюзивно-ресурсних центрів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</si>
  <si>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</si>
  <si>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0613140</t>
  </si>
  <si>
    <t>3140</t>
  </si>
  <si>
    <t>1515043</t>
  </si>
  <si>
    <t>Створення нових, будівельно-ремонтні роботи існуючих палаців спорту та завершення розпочатих у попередньому періоді робіт з будівництва/реконструкції палаців спорту</t>
  </si>
  <si>
    <t>5043</t>
  </si>
  <si>
    <t>0717670</t>
  </si>
  <si>
    <t>Програма «Здоров’я хмельничан» на 2017-2021 роки (із змінами і доповненнями)</t>
  </si>
  <si>
    <t>2018 - 2022 роки</t>
  </si>
  <si>
    <t>1517370</t>
  </si>
  <si>
    <t xml:space="preserve">Субвенції з державного бюджету місцевим бюджетам </t>
  </si>
  <si>
    <t>Залишок коштів на 01.01.2020 року</t>
  </si>
  <si>
    <t>Видатки, що здійснюються згідно розпоряджень міського голови, рішень міської ради та її виконавчого комітету (в т.ч. оплата подарунків, квітів, сувенірної продукції, рамок, грамот, подяк, кубків і т.д)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</si>
  <si>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</si>
  <si>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</si>
  <si>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Членські внески до асоціацій органів місцевого самоврядування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</si>
  <si>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</si>
  <si>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1900000</t>
  </si>
  <si>
    <t>1910000</t>
  </si>
  <si>
    <t>Управління транспорту та зв'язку Хмельницької міської ради (головний розпорядник)</t>
  </si>
  <si>
    <t>Управління транспорту та зв'язку Хмельницької міської ради (відповідальний виконавець)</t>
  </si>
  <si>
    <t>1910160</t>
  </si>
  <si>
    <t>Програма фінансової підтримки комунальної установи Хмельницької міської ради "Агенція розвитку Хмельницького" на 2019-2021 роки  (із змінами і доповненнями)</t>
  </si>
  <si>
    <t>Програма розвитку підприємництва міста Хмельницького на 2019-2021 роки  (із змінами і доповненнями)</t>
  </si>
  <si>
    <t>Програма створення та розвитку індустріального парку "Хмельницький"  (із змінами і доповненнями)</t>
  </si>
  <si>
    <t>Програма
бюджетування за участі громадськості (Бюджет участі) міста Хмельницького на 2020 - 2022 роки</t>
  </si>
  <si>
    <t>Рішення 32-ї сесії Хмельницької міської ради від 26.06.2019 року №9</t>
  </si>
  <si>
    <t>Реверсна дотація</t>
  </si>
  <si>
    <t>Обслуговування місцевого боргу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</si>
  <si>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</si>
  <si>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</si>
  <si>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Надання реабілітаційних послуг особам з інвалідністю та дітям з інвалідністю</t>
  </si>
  <si>
    <t>Надання пільгових довгострокових кредитів молодим сім'ям та одиноким молодим громадянам на будівництво/придбання житла</t>
  </si>
  <si>
    <t>1118821</t>
  </si>
  <si>
    <t>1118822</t>
  </si>
  <si>
    <t>8821</t>
  </si>
  <si>
    <t>8822</t>
  </si>
  <si>
    <t>Здійснення заходів із землеустрою</t>
  </si>
  <si>
    <t>Будівництво Палацу спорту по вул.Прибузькій, 5/1а у м.Хмельницькому</t>
  </si>
  <si>
    <t>Будівництвоˈ інших об'єктів комунальної власності</t>
  </si>
  <si>
    <t>Забезпечення діяльності музеїв i виставок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</si>
  <si>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</si>
  <si>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</si>
  <si>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Інша діяльність, пов’язана з експлуатацією об’єктів житлово-комунального господарства</t>
  </si>
  <si>
    <t>1917413</t>
  </si>
  <si>
    <t>1917426</t>
  </si>
  <si>
    <t>Будівництвоˈ об'єктів житлово-комунального господарства</t>
  </si>
  <si>
    <t>0512</t>
  </si>
  <si>
    <t>2818312</t>
  </si>
  <si>
    <t>8312</t>
  </si>
  <si>
    <t>Утилізація відходів</t>
  </si>
  <si>
    <t>Інша діяльність у сфері екології та охорони природних ресурсів</t>
  </si>
  <si>
    <t xml:space="preserve">     Виплата грошової винагороди у розмірі, передбаченому Положенням про звання "Почесний громадянин міста Хмельницького", Положенням "Про почесну відзнаку міської громади "Мужність і відвага""</t>
  </si>
  <si>
    <t>Надання грошової допомоги за поданням секретаря ради, або керуючого справами виконавчого комітету на підставі рішення виконавчого комітету Хмельницької міської ради для поховання:   загиблих та померлих учасників ООС; Почесних громадян міста; інших осіб.</t>
  </si>
  <si>
    <t>3.2.4.</t>
  </si>
  <si>
    <t>3.2.10.</t>
  </si>
  <si>
    <t>3.2.15.</t>
  </si>
  <si>
    <t xml:space="preserve">Субвенції з місцевих бюджетів іншим місцевим бюджетам </t>
  </si>
  <si>
    <t>Субвенція з місцевого бюджету на здійснення переданих видатків у сфері освіти за рахунок коштів освітньої субвенції</t>
  </si>
  <si>
    <t>0712144</t>
  </si>
  <si>
    <t>2144</t>
  </si>
  <si>
    <t>Централізовані заходи з лікування хворих на цукровий та нецукровий діабет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</si>
  <si>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</si>
  <si>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</si>
  <si>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</si>
  <si>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</si>
  <si>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</si>
  <si>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</si>
  <si>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</si>
  <si>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</si>
  <si>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</si>
  <si>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2020 - 2021 роки</t>
  </si>
  <si>
    <t xml:space="preserve">Цільові фонди </t>
  </si>
  <si>
    <t>Усього доходів (без врахування міжбюджетних трансфертів)</t>
  </si>
  <si>
    <t>Рішення 34-ї сесії Хмельницької міської ради від 09.10.2019 року №38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</si>
  <si>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</si>
  <si>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</si>
  <si>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</si>
  <si>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Додаток 3</t>
  </si>
  <si>
    <t>УСЬОГО:</t>
  </si>
  <si>
    <t>Найменування місцевої / регіональної програми</t>
  </si>
  <si>
    <t>Дата і номер документа, яким затверджено місцеву / регіональну програму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</si>
  <si>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реставрація, капітальний ремонт об'єктів виробничої, комунікаційної та соціальної інфраструктури за рахунок власних коштів місцевих бюджетів.</t>
    </r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</si>
  <si>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</si>
  <si>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</si>
  <si>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Надання позашкільної освіти закладами позашкільної освіти, заходи із позашкільної роботи з дітьми</t>
  </si>
  <si>
    <t>Надання спеціальної освіти мистецькими школами</t>
  </si>
  <si>
    <t>Підготовка кадрів закладами професійної (професійно-технічної) освіти та іншими закладами освіти</t>
  </si>
  <si>
    <t>Забезпечення діяльності інших закладів у сфері освіти</t>
  </si>
  <si>
    <t>Повернення довгострокових кредитів, наданих громадянам на будівництво/реконструкцію/придбання житла</t>
  </si>
  <si>
    <t>1118842</t>
  </si>
  <si>
    <t>8842</t>
  </si>
  <si>
    <t>0712020</t>
  </si>
  <si>
    <t>Спеціалізована стаціонарна медична допомога населенню</t>
  </si>
  <si>
    <t>0732</t>
  </si>
  <si>
    <t>2020</t>
  </si>
  <si>
    <t>0719770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</si>
  <si>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</si>
  <si>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</si>
  <si>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1115062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</si>
  <si>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</si>
  <si>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</si>
  <si>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</si>
  <si>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1517324</t>
  </si>
  <si>
    <t>7324</t>
  </si>
  <si>
    <t>8110</t>
  </si>
  <si>
    <t>Заходи із запобігання та ліквідації надзвичайних ситуацій та наслідків стихійного лиха</t>
  </si>
  <si>
    <t>8320</t>
  </si>
  <si>
    <t>Збереження природно-заповідного фонду</t>
  </si>
  <si>
    <t>2818320</t>
  </si>
  <si>
    <t>0520</t>
  </si>
  <si>
    <t>Біологічна меліорація водойм</t>
  </si>
  <si>
    <t>Найменування об’єкта будівництва 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</si>
  <si>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</si>
  <si>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</si>
  <si>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</si>
  <si>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</si>
  <si>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Рівень готовності об'єкта на кінець бюджетного періоду, %</t>
  </si>
  <si>
    <t>Придбання обладнання і предметів довгострокового користування</t>
  </si>
  <si>
    <t>Капітальний ремонт (зовнішнє опорядження та утеплення фасадів, заміна покрівлі) Хмельницького ДНЗ №21 "Ластівка" за адресою: вул. Сковороди, 31, м. Хмельницький</t>
  </si>
  <si>
    <t>Капітальний ремонт огорожі Хмельницького дошкільного навчального закладу №24 "Барвінок" по вул. Купріна, 54/1 в м. Хмельницькому</t>
  </si>
  <si>
    <t>2016 - 2020 роки</t>
  </si>
  <si>
    <t>Внески до статутного капіталу комунального підприємства "Хмельницька міська дитяча лікарня" Хмельницької міської ради (Придбання обладнання і предметів довгострокового користування)</t>
  </si>
  <si>
    <t>Внески до статутного капіталу комунального підприємства "Хмельницький міський лікувально-діагностичний центр" Хмельницької міської ради (Придбання обладнання і предметів довгострокового користування)</t>
  </si>
  <si>
    <t>Капітальний ремонт житлового фонду (приміщень)</t>
  </si>
  <si>
    <t>Капітальні трансферти населенню</t>
  </si>
  <si>
    <t>2017 - 2022 роки</t>
  </si>
  <si>
    <t>2018 - 2021 роки</t>
  </si>
  <si>
    <t xml:space="preserve">Капітальний ремонт житлового фонду </t>
  </si>
  <si>
    <t>Капітальні видатки, в т.ч.:</t>
  </si>
  <si>
    <t>капітальний ремонт прибудинкових територій</t>
  </si>
  <si>
    <t>Капітальний ремонт об’єктів благоустрою (мереж зовнішнього освітлення)</t>
  </si>
  <si>
    <t>Капітальний ремонт контейнерних майданчиків із встановленням підземних контейнерів</t>
  </si>
  <si>
    <t>Капітальний ремонт-розчистка русла річки Південний Буг від намулу, відкладів, завалів в межах міста Хмельницький  від вул.Трудової до вул.С.Бандери</t>
  </si>
  <si>
    <t>2019 - 2021 роки</t>
  </si>
  <si>
    <t>Внески до статутного капіталу МКП "Хмельницькводоканал" (Реконструкція ділянки водопроводу по вул. Північна в м.Хмельницький)</t>
  </si>
  <si>
    <t>Реставрація Хмельницького міського будинку культури по вул.Проскурівській, 43 в м. Хмельницькому</t>
  </si>
  <si>
    <r>
      <t xml:space="preserve">1 </t>
    </r>
    <r>
      <rPr>
        <sz val="10"/>
        <rFont val="Times New Roman"/>
        <family val="1"/>
        <charset val="204"/>
      </rPr>
      <t>Будівни́цтво — будівництво, реконструкція і реставрація, капітальний ремонт об'єктів виробничої, комунікаційної та соціальної інфраструктури за рахунок власних коштів місцевих бюджетів.</t>
    </r>
  </si>
  <si>
    <t>Внески до статутного капіталу комунального підприємства "Хмельницька інфекційна лікарня" Хмельницької міської ради (Придбання обладнання і предметів довгострокового користування)</t>
  </si>
  <si>
    <t>капітальний ремонт дитячих та спортивних майданчиків</t>
  </si>
  <si>
    <t>Реалізація громадських проєктів</t>
  </si>
  <si>
    <t>Внески до статутного капіталу ХКП "Спецкомунтранс" (Реконструкція полігону твердих побутових відходів з метою запобігання виникнення надзвичайної екологічної ситуації за адресою м. Хмельницький, вул. Проспект Миру, 7 розробка розділу "Проект  організації будівництва")</t>
  </si>
  <si>
    <t>2015 - 2022 роки</t>
  </si>
  <si>
    <t>Капітальний ремонт, відновлення зовнішньої штукатурки з подальшим оздобленням фасаду на вул. Курчатова, 1 Д, в м. Хмельницькому</t>
  </si>
  <si>
    <t>Капітальний ремонт ліфтів</t>
  </si>
  <si>
    <t xml:space="preserve">М. КРИВАК </t>
  </si>
  <si>
    <t xml:space="preserve">Начальник фінансового управління </t>
  </si>
  <si>
    <t xml:space="preserve">С. ЯМЧУК </t>
  </si>
  <si>
    <t xml:space="preserve">Начальник фінансового управління                                                                                                                                                                           С. ЯМЧУК </t>
  </si>
  <si>
    <t xml:space="preserve">Начальник фінансового управління                                                                                                                                                                                                            С. ЯМЧУК </t>
  </si>
  <si>
    <t xml:space="preserve">                    Секретар міської ради </t>
  </si>
  <si>
    <t xml:space="preserve">                                   Начальник фінансового управління                                                                                            Ю. САБІЙ</t>
  </si>
  <si>
    <t>Програма поводження з побутовими відходами у м. Хмельницькому - Програма "Розумне довкілля Хмельницький" на 2020р.</t>
  </si>
  <si>
    <t>Рішення 36-ї сесії Хмельницької міської ради від 24.12.2019р (зі змінами)</t>
  </si>
  <si>
    <t>Доходи  бюджету Хмельницької міської територіальної громади  на 2021 рік</t>
  </si>
  <si>
    <t xml:space="preserve">Рентна плата та плата за використання ішших природних ресурсів </t>
  </si>
  <si>
    <t xml:space="preserve">Рентна плата за спеціальне використання лісових ресурсів </t>
  </si>
  <si>
    <t>Рентна плата за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</si>
  <si>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 xml:space="preserve">Рентна плата за користування надрами </t>
  </si>
  <si>
    <t xml:space="preserve">Рентна плата за користуваання надрами для видобудування корисних копалин загальнодержавного значення </t>
  </si>
  <si>
    <t>на 2021 рік</t>
  </si>
  <si>
    <t>Вільний залишок коштів на 01.01.2021  року:</t>
  </si>
  <si>
    <t>Внутрішні податки на товари та послуги</t>
  </si>
  <si>
    <t>Інші податки та збори</t>
  </si>
  <si>
    <t>Надходження  від викидів забруднюючих речовин в атмосферне повітря стаціонарними джерелами забруднення (за винятком викидів в атмосферне повітря двоокису вуглецю)</t>
  </si>
  <si>
    <t>Доходи від власності та підприємницької діяльності</t>
  </si>
  <si>
    <t>Частина чистого прибутку (доходу)  державних або кумунальних унітраних підприємств та їх обєднань, що вилучається до відповідного бюджету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</si>
  <si>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</si>
  <si>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державним майном</t>
  </si>
  <si>
    <t xml:space="preserve">Кошти від реалізації скарбів, майна, одержаного державною або територіальною громадою  в порядку спадкування чи дарування, а також валютні цінності і грошові кошти, власники яких невідомі </t>
  </si>
  <si>
    <t xml:space="preserve">Єдиний податок з сільськогосподарських товаровиробників, у яких частка сільськогосподарського виробництва за попередній податковий (звітний) рік дорівнює або перевищує 75 відсотків </t>
  </si>
  <si>
    <t>Код бюджету - 22564000000</t>
  </si>
  <si>
    <t>Забезпечення екологічно безпечного збирання, перевезення, зберігання, оброблення, утилізації, видалення, знешкодження і захоронення відходів та небезпечних хімічних речовин, в тому числі ліквідація стихійних сміттєзвалищ</t>
  </si>
  <si>
    <t>Встановлення (поновлення) знаків - аншлагів, межових знаків на території об‘єктів природно-заповідного фонду</t>
  </si>
  <si>
    <t>Розроблення проекту організації території дендрологічного парку місцевого значення "Поділля"</t>
  </si>
  <si>
    <t>Наукові дослідження (лабораторні дослідження води водних об‘єктів)</t>
  </si>
  <si>
    <t>Розроблення програми моніторингу в галузі охорони атмосферного повітря</t>
  </si>
  <si>
    <t>Виготовлення та розміщення інформаційних листівок, екологічної реклами, відеороликів на тему "Розумне поводження з відходами"</t>
  </si>
  <si>
    <t xml:space="preserve">Реконструкція з надбудовою приміщень навчально-виховного комплексу №10 по вул. Водопровідній, 9А в м. Хмельницькому </t>
  </si>
  <si>
    <t>2018 - 2022роки</t>
  </si>
  <si>
    <t>2013 - 2022 роки</t>
  </si>
  <si>
    <t>1400000</t>
  </si>
  <si>
    <t>1410000</t>
  </si>
  <si>
    <t>1410160</t>
  </si>
  <si>
    <t>1410180</t>
  </si>
  <si>
    <t>1416012</t>
  </si>
  <si>
    <t>1416013</t>
  </si>
  <si>
    <t>1416020</t>
  </si>
  <si>
    <t>1416030</t>
  </si>
  <si>
    <t>1417310</t>
  </si>
  <si>
    <t>1417461</t>
  </si>
  <si>
    <t>1417640</t>
  </si>
  <si>
    <t>1417670</t>
  </si>
  <si>
    <t>1417691</t>
  </si>
  <si>
    <t>1418110</t>
  </si>
  <si>
    <t>1418120</t>
  </si>
  <si>
    <t>1418130</t>
  </si>
  <si>
    <t>8130</t>
  </si>
  <si>
    <t>Забезпечення діяльності місцевої пожежної охорони</t>
  </si>
  <si>
    <t>2020-2021 роки</t>
  </si>
  <si>
    <t>Капітальний ремонт прибудинкових територій</t>
  </si>
  <si>
    <t xml:space="preserve">Капітальний ремонт зони відпочинку навколо водойми в мікрорайоні "Озерна" в м.Хмельницький </t>
  </si>
  <si>
    <t>Капітальний ремонт атракціону "Колесо огляду" в парку культури та відпочинку ім. М. Чекмана м.Хмельницький</t>
  </si>
  <si>
    <t>Капітальний ремонт комунальних майданчиків для вигулу собак на території м. Хмельницького (в т.ч. ПКД та експертиза)</t>
  </si>
  <si>
    <t>Реставрація водонапірної бшти на вул. Балбачана, 18/1 в м.Хмельницькому</t>
  </si>
  <si>
    <t>Внески до статутного капіталу ХКП "Спецкомунтранс" (Реконструкція "Винос газопроводу високого тиску з тіла полігону твердих побутових відходів м.Хмельницького")</t>
  </si>
  <si>
    <t>2019-2021 роки</t>
  </si>
  <si>
    <t>2021 рік</t>
  </si>
  <si>
    <t>Внески до статутного капіталу МКП "Хмельницькводоканал" (Реконструкція каналізаційної мережі від ж.б.№4, 6 по вул.Деповська та ж.б. №63/2 по вул.Курчатова м.Хмельницький)</t>
  </si>
  <si>
    <t>Внески до статутного капіталу МКП "Хмельницькводоканал" (Будівництво зовнішніх мереж водопостачання вул.Ващука, вул.Ігнатенка, вул.Правика, вул.Кібенка, пров.Правика, пров, Ващука, пров. Кібенка житлового масиву"Прометей" в м.Хмельницький)</t>
  </si>
  <si>
    <t>Внески до статутного капіталу МКП "Хмельницькводоканал" (Будівництво вуличних мереж водовідведення по вул Черняховського у м.Хмельницький)</t>
  </si>
  <si>
    <t>Управління комунальної інфраструктури Хмельницької міської ради (головний розпорядник)</t>
  </si>
  <si>
    <t>Управління комунальної інфраструктури Хмельницької міської ради (відповідальний виконавець)</t>
  </si>
  <si>
    <t>Управління житлової політики і майна Хмельницької міської ради (головний розпорядник)</t>
  </si>
  <si>
    <t>Управління житлової політики і майна Хмельницької міської ради (відповідальний виконавець)</t>
  </si>
  <si>
    <t>Нове будівництво парку "Молодіжний" по вул. Бандери в м. Хмельницькому</t>
  </si>
  <si>
    <t>Індивідуальне навчання, оляг сиротам, субвенція на інелюзію</t>
  </si>
  <si>
    <t>Індивідуальне навчання, одяг сиротам</t>
  </si>
  <si>
    <t>Виплата 1810 грн сиротам при досягненні 18 років</t>
  </si>
  <si>
    <t>видатків бюджету Хмельницької міської територіальної громади на 2021 рік</t>
  </si>
  <si>
    <t>РОЗПОДІЛ</t>
  </si>
  <si>
    <t>витрат бюджету Хмельницької міської територіальної громади на реалізацію місцевих/регіональних програм у 2021 році</t>
  </si>
  <si>
    <t>Найменування головного розпорядника коштів бюджету 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</si>
  <si>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доходів та видатків цільового фонду</t>
  </si>
  <si>
    <t>КОШТОРИС</t>
  </si>
  <si>
    <t>природоохоронних заходів,</t>
  </si>
  <si>
    <t>ПЕРЕЛІК</t>
  </si>
  <si>
    <t>бюджету Хмельницької міської територіальної громади у 2021 році</t>
  </si>
  <si>
    <t>КРЕДИТУВАННЯ</t>
  </si>
  <si>
    <t>ФІНАНСУВАННЯ</t>
  </si>
  <si>
    <t>бюджету Хмельницької міської територіальної громади на 2021 рік</t>
  </si>
  <si>
    <t>Найменування головного розпорядника коштів бюджету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</si>
  <si>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22530000000</t>
  </si>
  <si>
    <t>Державний бюджет України</t>
  </si>
  <si>
    <t>МІЖБЮДЖЕТНІ ТРАНСФЕРТИ</t>
  </si>
  <si>
    <t>0219770</t>
  </si>
  <si>
    <t>22317200000</t>
  </si>
  <si>
    <t>Районний бюджет Хмельницького району</t>
  </si>
  <si>
    <t>Бюджет Красилівської міської територіальної громади</t>
  </si>
  <si>
    <t>22548000000</t>
  </si>
  <si>
    <t>Бюджет Заслучненської сільської територіальної громади</t>
  </si>
  <si>
    <t>22522000000</t>
  </si>
  <si>
    <t>Бюджет Чорноострівської селищної територіальної громади</t>
  </si>
  <si>
    <t xml:space="preserve">Капітальний ремонт водопостачання Хмельницької спеціалізованої загальноосвітньої школи №19 І-ІІІ ступенів імені академіка Михайла Павловського (в тому числі виготовлення проектно-кошторисної документації) </t>
  </si>
  <si>
    <t>Програма розвитку освіти Хмельницької міської територіальної громади на 2017-2021 роки (із змінами і доповненнями)</t>
  </si>
  <si>
    <t>Комплексна програма «Піклування» в Хмельницькій міській територіальній громаді на 2017 - 2021 роки (із змінами і доповненнями)</t>
  </si>
  <si>
    <t>Внески до статутного капіталу комунального підприємства "Хмельницька міська лікарня" Хмельницької міської ради (Капітальний ремонт приміщення другого поверху та центрального входу  відділення амбулаторного гемодіалізу  корпусу №4 комунального підприємства "Хмельницька міська лікарня" Хмельницької міської ради, за адресою: провулок  Проскурівський,1 м.Хмельницький)</t>
  </si>
  <si>
    <t>Внески до статутного капіталу комунального підприємства "Хмельницька міська дитяча лікарня" Хмельницької міської ради (Капітальний ремонт (заміна) двох лікарняних ліфтів в головному корпусі комунального підприємства "Хмельницька міська дитяча лікарня" Хмельницької міської ради за адресою: м.Хмельницький, вул. Степана Разіна,1)</t>
  </si>
  <si>
    <t>0210160</t>
  </si>
  <si>
    <t>Програма утримання та розвитку житлово-комунального господарства та благоустрою Хмельницької міської територіальної громади на 2017-2021 роки. (зі змінами)</t>
  </si>
  <si>
    <t>Рішення позачергової 10-ї сесії  Хмельницької міської ради від 29.12.2016 року № 6</t>
  </si>
  <si>
    <t>Рішення 42-ї сесії Хмельницької міської ради від 17.06.2020 року №39</t>
  </si>
  <si>
    <t>Програма популяризації та ефективного впрвадження програм у сфері житлово-комунального господарства на 2019-2023 роки</t>
  </si>
  <si>
    <t>Громадський проєкт «МІКРО": Мобільна Інтерактивна Кімната Розвитку Особистості у бібліотеці» (видатки на капітальний ремонт приміщення бібліотеки-філії №9)</t>
  </si>
  <si>
    <t>Громадський проєкт «Творчий проєкт "ProArt"» (видатки на капітальний ремонт підлоги бібліотеки-філії №12)</t>
  </si>
  <si>
    <t>1019770</t>
  </si>
  <si>
    <t>Програма
підтримки обдарованих дітей м.Хмельницького</t>
  </si>
  <si>
    <t>Капітальний ремонт підліткового клубу "Мустанг" по вул. Старокостянтинівське шосе, 8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</si>
  <si>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2017 - 2021 роки (із змінами і доповненнями)</t>
  </si>
  <si>
    <t>Рішення 29-ї сесії Хмельницької міської ради від 13.02.2019 року №31</t>
  </si>
  <si>
    <t>Рішення 42-ї сесії Хмельницької міської ради від 17.06.2020 року №40</t>
  </si>
  <si>
    <t>Програма 
«Громадські ініціативи» м.Хмельницького на 2021-2025 роки</t>
  </si>
  <si>
    <t>Рішення позачергової 46-ї сесії Хмельницької міської ради від 07.10.2020 року №3</t>
  </si>
  <si>
    <t>Плата за гарантії, надані Верховною Радою Автономної Республіки    Крим та міськими радами</t>
  </si>
  <si>
    <t>коштів бюджету розвитку на здійснення заходів на будівництво, реконструкцію і реставрацію, капітальний ремонт об'єктів виробничої, комунікаційної та соціальної інфраструктури за об'єктами у 2021 році</t>
  </si>
  <si>
    <t>Додаток №5</t>
  </si>
  <si>
    <t>Додаток №7</t>
  </si>
  <si>
    <t>Додаток 8</t>
  </si>
  <si>
    <t>Додаток  9</t>
  </si>
  <si>
    <t>1. Показники міжбюджетних трансфертів з інших бюджетів</t>
  </si>
  <si>
    <t>Найменування трансферту /
Найменування бюджету – надавача міжбюджетного трансферту</t>
  </si>
  <si>
    <t>Код Класифікації доходу бюджету /
Код бюджету</t>
  </si>
  <si>
    <t>І. Трансферти до загального фонду бюджету</t>
  </si>
  <si>
    <t>ІІ. Трансферти до спеціального фонду бюджету</t>
  </si>
  <si>
    <t>УСЬОГО за розділами І, ІІ, у тому числі: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</si>
  <si>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</si>
  <si>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 /
Код бюджету</t>
  </si>
  <si>
    <t>Найменування трансферту /
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</si>
  <si>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</si>
  <si>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</si>
  <si>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3719110</t>
  </si>
  <si>
    <t>9110</t>
  </si>
  <si>
    <t>41033900</t>
  </si>
  <si>
    <t>41030000</t>
  </si>
  <si>
    <t>1117670</t>
  </si>
  <si>
    <t>Виготовлення проєктно-кошторисної документації на реконструкцію спортивного майданчика по вул.Кармелюка в м. Хмельницькому</t>
  </si>
  <si>
    <t>Капітальний ремонт огорожі ДНЗ №35 (в тому числі виготовлення проектно-кошторисної документації)</t>
  </si>
  <si>
    <t>Внески до статутного капіталу комунального підприємства "Хмельницька міська дитяча лікарня" Хмельницької міської ради (Реконструкція відділення невідкладної допомоги та реанімації комунального підприємства "Хмельницька міська дитяча лікарня" Хмельницької міської ради за адресою: м. Хмельницький, вул. Степана Разіна, 1)</t>
  </si>
  <si>
    <t>2019 - 2023 роки</t>
  </si>
  <si>
    <t>Внески до статутного капіталу комунального підприємства "Хмельницький міський лікувально-діагностичний центр" Хмельницької міської ради (Капітальний ремонт санвузла першого поверху Поліклініки №1 КП "Хмельницький міський лікувально-діагностичний центр" Хмельницької міської ради по вул. Подільська, 54 у м. Хмельницькому)</t>
  </si>
  <si>
    <t>Внески до статутного капіталу комунального підприємства "Хмельницька міська лікарня" Хмельницької міської ради (Придбання обладнання і предметів довгострокового користування)</t>
  </si>
  <si>
    <t>Внески до статутного капіталу комунального підприємства "Хмельницька міська лікарня" Хмельницької міської ради (Капітальний ремонт сантехнічних вузлів першого поверху корпусу №1 комунального підприємства "Хмельницька міська лікарня" за адресою: м.Хмельницький, пров. Проскурівський, 1)</t>
  </si>
  <si>
    <t>22100000000</t>
  </si>
  <si>
    <t>Обласний бюджет Хмельницької області</t>
  </si>
  <si>
    <t>41040000</t>
  </si>
  <si>
    <t>41040200</t>
  </si>
  <si>
    <t>41050000</t>
  </si>
  <si>
    <t xml:space="preserve">Субвеції з місцевих бюджетів іншим місцевим бюджетам </t>
  </si>
  <si>
    <t>41051000</t>
  </si>
  <si>
    <t xml:space="preserve">Субвенції з місцевого бюджету на здійснення переданих видатків у сфері освіти за рахунок коштів освітньої субвенції </t>
  </si>
  <si>
    <t>41051200</t>
  </si>
  <si>
    <t>41055000</t>
  </si>
  <si>
    <t xml:space="preserve">Освітня субвенція  </t>
  </si>
  <si>
    <t xml:space="preserve"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</si>
  <si>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</si>
  <si>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Капітальний ремонт спортивного майданчика біля водойми в мікрорайоні Озерна м.Хмельницький</t>
  </si>
  <si>
    <t>Капітальний ремонт дитячого майданчика в парку мікрорайону Ракове м. Хмельницький</t>
  </si>
  <si>
    <t>Капітальний ремонт дитячого майданчикабіля житлового будинку №12 на вул.Кармелюка в м.Хмельницькому</t>
  </si>
  <si>
    <t>Внески до статутного капіталу МКП "Хмельницькводоканал" (Будівництво вуличних мереж водопостачання, мікрорайон "Лезневе" у м.Хмельницький)</t>
  </si>
  <si>
    <t>Внески до статутного капіталу МКП "Хмельницькводоканал" (Капітальний ремонт вуличних мереж водопроводу центральної частини с.Пирогівці Хмельницької міської територіальної громади)</t>
  </si>
  <si>
    <t>Внески до статутного капіталу МКП "Хмельницькводоканал" (Реконструкція очисних споруд продуктивністю 200 куб.м. /добу ст. Богданівці Хмельницької міської територіальної громади)</t>
  </si>
  <si>
    <t xml:space="preserve">Витрати на виконання Програми підтримки ОСББ Хмельницької міської територіальної громади  на 2020-2023 роки 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</si>
  <si>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</si>
  <si>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Внески до статутного капіталу комунального підприємства "Хмельницький міський перинатальний центр" Хмельницької міської ради (Придбання обладнання і предметів довгострокового користування)</t>
  </si>
  <si>
    <t xml:space="preserve">Пальне </t>
  </si>
  <si>
    <t>Акцизний податок з вироблених в Україні підакцизних товарів (продукції)</t>
  </si>
  <si>
    <t>Акцизний податок з ввезених на митну територію  України підакцизних товарів (продукції)</t>
  </si>
  <si>
    <t>0210170</t>
  </si>
  <si>
    <t>0131</t>
  </si>
  <si>
    <t>Підвищення кваліфікації депутатів місцевих рад та посадових осіб місцевого самоврядування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</si>
  <si>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житлово-комунального господарства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</si>
  <si>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освітніх установ та закладів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</si>
  <si>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культури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</si>
  <si>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споруд, установ та закладів фізичної культури і спорту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</si>
  <si>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інших об'єктів комунальної власності</t>
    </r>
  </si>
  <si>
    <t>1210170</t>
  </si>
  <si>
    <t>0810170</t>
  </si>
  <si>
    <t>1410170</t>
  </si>
  <si>
    <t>1510170</t>
  </si>
  <si>
    <t>1610170</t>
  </si>
  <si>
    <t>1910170</t>
  </si>
  <si>
    <t>2810170</t>
  </si>
  <si>
    <t>3710170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</si>
  <si>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</si>
  <si>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1011080</t>
  </si>
  <si>
    <t>1080</t>
  </si>
  <si>
    <t>Утримання та забезпечення діяльності центрів соціальних служб</t>
  </si>
  <si>
    <t>Витрати, пов’язані з наданням та обслуговуванням пільгових довгострокових кредитів, наданих громадянам на будівництво/реконструкцію/ придбання житла</t>
  </si>
  <si>
    <t>Резервний фонд місцевого бюджету</t>
  </si>
  <si>
    <t>0611021</t>
  </si>
  <si>
    <t>1021</t>
  </si>
  <si>
    <t>Надання загальної середньої освіти закладами загальної середньої освіти</t>
  </si>
  <si>
    <t>Надання загальної середньої освіти за рахунок коштів місцевого бюджету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</si>
  <si>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</si>
  <si>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</si>
  <si>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</si>
  <si>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0611160</t>
  </si>
  <si>
    <t>1160</t>
  </si>
  <si>
    <t>Забезпечення діяльності центрів професійного розвитку педагогічних працівників</t>
  </si>
  <si>
    <t>0611022</t>
  </si>
  <si>
    <t>1022</t>
  </si>
  <si>
    <t>0611180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</si>
  <si>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</si>
  <si>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</si>
  <si>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</si>
  <si>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</si>
  <si>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</si>
  <si>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Надання загальної середньої освіти за рахунок освітньої субвенції</t>
  </si>
  <si>
    <t>0611031</t>
  </si>
  <si>
    <t>1031</t>
  </si>
  <si>
    <t>0611070</t>
  </si>
  <si>
    <t>0611091</t>
  </si>
  <si>
    <t>1091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</si>
  <si>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</si>
  <si>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1092</t>
  </si>
  <si>
    <t>0611092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</si>
  <si>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</si>
  <si>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1140</t>
  </si>
  <si>
    <t>0611140</t>
  </si>
  <si>
    <t>Інші програми, заклади та заходи у сфері освіти</t>
  </si>
  <si>
    <t>0611141</t>
  </si>
  <si>
    <t>1141</t>
  </si>
  <si>
    <t>0611142</t>
  </si>
  <si>
    <t>1142</t>
  </si>
  <si>
    <t>0611150</t>
  </si>
  <si>
    <t>1150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</si>
  <si>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</si>
  <si>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</si>
  <si>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</si>
  <si>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</si>
  <si>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</si>
  <si>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</si>
  <si>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0210100</t>
  </si>
  <si>
    <t>0100</t>
  </si>
  <si>
    <t>Державне управління</t>
  </si>
  <si>
    <t>0217500</t>
  </si>
  <si>
    <t>7500</t>
  </si>
  <si>
    <t>Зв'язок, телекомунікації та інформатика</t>
  </si>
  <si>
    <t>Інші програми та заходи, пов'язані з економічною діяльністю</t>
  </si>
  <si>
    <t>0217600</t>
  </si>
  <si>
    <t>7600</t>
  </si>
  <si>
    <t>Інша економічна діяльність</t>
  </si>
  <si>
    <t>0217690</t>
  </si>
  <si>
    <t>7690</t>
  </si>
  <si>
    <t>0218000</t>
  </si>
  <si>
    <t>8000</t>
  </si>
  <si>
    <t>Інша діяльність</t>
  </si>
  <si>
    <t>0218400</t>
  </si>
  <si>
    <t>8400</t>
  </si>
  <si>
    <t>Засоби масової інформації</t>
  </si>
  <si>
    <t>0219000</t>
  </si>
  <si>
    <t>9000</t>
  </si>
  <si>
    <t>Міжбюджетні трансферти</t>
  </si>
  <si>
    <t>0219700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</si>
  <si>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</si>
  <si>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</si>
  <si>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0611000</t>
  </si>
  <si>
    <t>1000</t>
  </si>
  <si>
    <t>Освіта</t>
  </si>
  <si>
    <t>0613000</t>
  </si>
  <si>
    <t>3000</t>
  </si>
  <si>
    <t>Соціальний захист та соціальне забезпечення</t>
  </si>
  <si>
    <t>0710100</t>
  </si>
  <si>
    <t>0712000</t>
  </si>
  <si>
    <t>2000</t>
  </si>
  <si>
    <t>Охорона здоров’я</t>
  </si>
  <si>
    <t>0712110</t>
  </si>
  <si>
    <t>2110</t>
  </si>
  <si>
    <t>Первинна медична допомога населенню</t>
  </si>
  <si>
    <t>0712140</t>
  </si>
  <si>
    <t>2140</t>
  </si>
  <si>
    <t>Програми і централізовані заходи у галузі охорони здоров’я</t>
  </si>
  <si>
    <t>0712150</t>
  </si>
  <si>
    <t>2150</t>
  </si>
  <si>
    <t>Інші програми, заклади та заходи у сфері охорони здоров’я</t>
  </si>
  <si>
    <t>0717600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</si>
  <si>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установ та закладів культури</t>
    </r>
  </si>
  <si>
    <t>0810100</t>
  </si>
  <si>
    <t>0813000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</si>
  <si>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</si>
  <si>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</si>
  <si>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</si>
  <si>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</si>
  <si>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</si>
  <si>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</si>
  <si>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0813190</t>
  </si>
  <si>
    <t>3190</t>
  </si>
  <si>
    <t>Соціальний захист ветеранів війни та праці</t>
  </si>
  <si>
    <t>0813240</t>
  </si>
  <si>
    <t>3240</t>
  </si>
  <si>
    <t xml:space="preserve"> Інші заклади та заходи</t>
  </si>
  <si>
    <t>0816000</t>
  </si>
  <si>
    <t>6000</t>
  </si>
  <si>
    <t>Житлово-комунальне господарство</t>
  </si>
  <si>
    <t>0816080</t>
  </si>
  <si>
    <t>6080</t>
  </si>
  <si>
    <t>Реалізація державних та місцевих житлових програм</t>
  </si>
  <si>
    <t>0217000</t>
  </si>
  <si>
    <t>7000</t>
  </si>
  <si>
    <t xml:space="preserve"> Економічна діяльність</t>
  </si>
  <si>
    <t>0717000</t>
  </si>
  <si>
    <t>0817000</t>
  </si>
  <si>
    <t>0817690</t>
  </si>
  <si>
    <t>0817600</t>
  </si>
  <si>
    <t>1011000</t>
  </si>
  <si>
    <t>1014000</t>
  </si>
  <si>
    <t>4000</t>
  </si>
  <si>
    <t>Культура i мистецтво</t>
  </si>
  <si>
    <t>1014080</t>
  </si>
  <si>
    <t>4080</t>
  </si>
  <si>
    <t>Інші заклади та заходи в галузі культури і мистецтва</t>
  </si>
  <si>
    <t>1019000</t>
  </si>
  <si>
    <t>1019700</t>
  </si>
  <si>
    <t>1113000</t>
  </si>
  <si>
    <t>1113120</t>
  </si>
  <si>
    <t>3120</t>
  </si>
  <si>
    <t>Здійснення соціальної роботи з вразливими категоріями населення</t>
  </si>
  <si>
    <t>1113130</t>
  </si>
  <si>
    <t>3130</t>
  </si>
  <si>
    <t>Реалізація державної політики у молодіжній сфері</t>
  </si>
  <si>
    <t>1115000</t>
  </si>
  <si>
    <t>5000</t>
  </si>
  <si>
    <t xml:space="preserve"> Фiзична культура i спорт</t>
  </si>
  <si>
    <t>1115010</t>
  </si>
  <si>
    <t>5010</t>
  </si>
  <si>
    <t>Проведення спортивної роботи в регіоні</t>
  </si>
  <si>
    <t>1115020</t>
  </si>
  <si>
    <t>5020</t>
  </si>
  <si>
    <t>Здійснення фізкультурно-спортивної та реабілітаційної роботи серед осіб з інвалідністю</t>
  </si>
  <si>
    <t>1115030</t>
  </si>
  <si>
    <t>5030</t>
  </si>
  <si>
    <t xml:space="preserve"> Розвиток дитячо-юнацького та резервного спорту</t>
  </si>
  <si>
    <t>1115060</t>
  </si>
  <si>
    <t>5060</t>
  </si>
  <si>
    <t>Інші заходи з розвитку фізичної культури та спорту</t>
  </si>
  <si>
    <t>1116000</t>
  </si>
  <si>
    <t>1116080</t>
  </si>
  <si>
    <t>1117000</t>
  </si>
  <si>
    <t>1117600</t>
  </si>
  <si>
    <t>1210100</t>
  </si>
  <si>
    <t>1216000</t>
  </si>
  <si>
    <t>1216010</t>
  </si>
  <si>
    <t>6010</t>
  </si>
  <si>
    <t>Утримання та ефективна експлуатація об’єктів житлово-комунального господарства</t>
  </si>
  <si>
    <t>1217000</t>
  </si>
  <si>
    <t>Економічна діяльність</t>
  </si>
  <si>
    <t>1217600</t>
  </si>
  <si>
    <t>1217690</t>
  </si>
  <si>
    <t xml:space="preserve"> Інша економічна діяльність</t>
  </si>
  <si>
    <t>1410100</t>
  </si>
  <si>
    <t>1416000</t>
  </si>
  <si>
    <t>1416010</t>
  </si>
  <si>
    <t>1417000</t>
  </si>
  <si>
    <t>1417300</t>
  </si>
  <si>
    <t>7300</t>
  </si>
  <si>
    <t>Будівництво та регіональний розвиток</t>
  </si>
  <si>
    <t>1417400</t>
  </si>
  <si>
    <t>7400</t>
  </si>
  <si>
    <t>Транспорт та транспортна інфраструктура, дорожнє господарство</t>
  </si>
  <si>
    <t>1417600</t>
  </si>
  <si>
    <t>1417690</t>
  </si>
  <si>
    <t>1418000</t>
  </si>
  <si>
    <t>Захист населення і територій від надзвичайних ситуацій техногенного та природного характеру</t>
  </si>
  <si>
    <t>1418100</t>
  </si>
  <si>
    <t>8100</t>
  </si>
  <si>
    <t>1510100</t>
  </si>
  <si>
    <t>1515000</t>
  </si>
  <si>
    <t>1515040</t>
  </si>
  <si>
    <t>5040</t>
  </si>
  <si>
    <t>Підтримка і розвиток спортивної інфраструктури</t>
  </si>
  <si>
    <t>1517000</t>
  </si>
  <si>
    <t>1517300</t>
  </si>
  <si>
    <t>1517320</t>
  </si>
  <si>
    <t>7320</t>
  </si>
  <si>
    <r>
      <t>Будівництво</t>
    </r>
    <r>
      <rPr>
        <b/>
        <i/>
        <vertAlign val="superscript"/>
        <sz val="36"/>
        <rFont val="Times New Roman"/>
        <family val="1"/>
        <charset val="204"/>
      </rPr>
      <t>1</t>
    </r>
    <r>
      <rPr>
        <i/>
        <sz val="36"/>
        <rFont val="Times New Roman"/>
        <family val="1"/>
        <charset val="204"/>
      </rPr>
      <t>  об'єктів соціально-культурного призначення</t>
    </r>
  </si>
  <si>
    <t>1610100</t>
  </si>
  <si>
    <t>1910100</t>
  </si>
  <si>
    <t>1917000</t>
  </si>
  <si>
    <t>1917400</t>
  </si>
  <si>
    <t>1917420</t>
  </si>
  <si>
    <t>7420</t>
  </si>
  <si>
    <t>Забезпечення надання послуг з перевезення пасажирів електротранспортом</t>
  </si>
  <si>
    <t>2717000</t>
  </si>
  <si>
    <t>2717600</t>
  </si>
  <si>
    <t>2717690</t>
  </si>
  <si>
    <t>2810100</t>
  </si>
  <si>
    <t>2818000</t>
  </si>
  <si>
    <t>2818300</t>
  </si>
  <si>
    <t>8300</t>
  </si>
  <si>
    <t>Охорона навколишнього природного середовища</t>
  </si>
  <si>
    <t>2818310</t>
  </si>
  <si>
    <t>8310</t>
  </si>
  <si>
    <t xml:space="preserve"> Запобігання та ліквідація забруднення навколишнього природного середовища</t>
  </si>
  <si>
    <t>3610100</t>
  </si>
  <si>
    <t>3617000</t>
  </si>
  <si>
    <t>3617100</t>
  </si>
  <si>
    <t>7100</t>
  </si>
  <si>
    <t>Сільське, лісове, рибне господарство та мисливство</t>
  </si>
  <si>
    <t>3617600</t>
  </si>
  <si>
    <t xml:space="preserve"> Інші програми та заходи, пов'язані з економічною діяльністю</t>
  </si>
  <si>
    <t>3710100</t>
  </si>
  <si>
    <t>3718000</t>
  </si>
  <si>
    <t>Резервний фонд</t>
  </si>
  <si>
    <t>3719000</t>
  </si>
  <si>
    <t>Дотації з місцевого бюджету іншим бюджетам</t>
  </si>
  <si>
    <t>9100</t>
  </si>
  <si>
    <t>1118000</t>
  </si>
  <si>
    <t xml:space="preserve"> Інша діяльність</t>
  </si>
  <si>
    <t>1118800</t>
  </si>
  <si>
    <t>8800</t>
  </si>
  <si>
    <t>Кредитування</t>
  </si>
  <si>
    <t>1118820</t>
  </si>
  <si>
    <t>8820</t>
  </si>
  <si>
    <t>Внески до статутного капіталу МКП "Хмельницькводоканал" (Придбання поліетиленових труб )</t>
  </si>
  <si>
    <t>Рішення 2-ї сесії Хмельницької міської ради від 23.12.2020 року №22</t>
  </si>
  <si>
    <t>Програма висвітлення діяльності Хмельницької міської ради та її виконавчих органів на 2021 рік</t>
  </si>
  <si>
    <t>Рішення 2-ї сесії Хмельницької міської ради від 23.12.2020 року №7</t>
  </si>
  <si>
    <t xml:space="preserve"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</t>
  </si>
  <si>
    <t>Рішення 2-ї сесії Хмельницької міської ради від 23.12.2020 року №9</t>
  </si>
  <si>
    <t>Програма економічного і соціального розвитку Хмельницької міської територіальної громади на 2021 рік</t>
  </si>
  <si>
    <t>Рішення 2-ї сесії Хмельницької міської ради від 23.12.2020 року №10</t>
  </si>
  <si>
    <t>Програма міжнародного співробітництва та промоції Хмельницької міської територіальної громади на 2021-2025 роки</t>
  </si>
  <si>
    <t>Рішення 2-ї сесії Хмельницької міської ради від 23.12.2020 року №11</t>
  </si>
  <si>
    <t>Програма підтримки книговидання та читацької культури у Хмельницькій міській територіальній громаді на 2021-2025 роки «#ЩодняЧитай українською»</t>
  </si>
  <si>
    <t>Рішення 2-ї сесії Хмельницької міської ради від 23.12.2020 року №31</t>
  </si>
  <si>
    <t>Програма розвитку Хмельницької міської територіальної громади у сфері культури на 2021-2025 роки "Нова лінія культурних змін"</t>
  </si>
  <si>
    <t>Рішення 2-ї сесії Хмельницької міської ради від 23.12.2020 року №32</t>
  </si>
  <si>
    <t>Програма 
підтримки сім'ї на 2021-2025 рр.</t>
  </si>
  <si>
    <t>Рішення 2-ї сесії Хмельницької міської ради від 23.12.2020 року №33</t>
  </si>
  <si>
    <t>Програма соціальної підтримки учасників АТО/ООС, учасників Революції Гідності та членів їх сімей на 2021 - 2025 роки</t>
  </si>
  <si>
    <t>Рішення 2-ї сесії Хмельницької міської ради від 23.12.2020 року №36</t>
  </si>
  <si>
    <t>Рішення 2-ї сесії Хмельницької міської ради від 23.12.2020 року №47</t>
  </si>
  <si>
    <t>Програма забезпечення діяльності Хмельницького міського комунального підприємства "Муніципальна дружина" на 2021 - 2022 роки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</si>
  <si>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</t>
  </si>
  <si>
    <t>Рішення 2-ї сесії Хмельницької міської ради від 23.12.2020 року №50</t>
  </si>
  <si>
    <t>Програма забезпечення надання адміністративних послуг територіальних органів Міністерства внутрішніх справ України через управління адміністративних послуг Хмельницької міської ради на 2021 рік</t>
  </si>
  <si>
    <t>Рішення 2-ї сесії Хмельницької міської ради від 23.12.2020 року №57</t>
  </si>
  <si>
    <t>Рішення 30-ї сесії Хмельницької  міської  ради від 17.04.2019 року №48</t>
  </si>
  <si>
    <t>Рішення 2-ї сесії Хмельницької міської ради від 23.12.2020 року №67</t>
  </si>
  <si>
    <t>Програма розвитку велоінфраструктури м.Хмельницького на 2017-2025 роки</t>
  </si>
  <si>
    <t>Програма поводження з побутовими відходами "Розумне Довкілля.  Хмельницький" на 2021 - 2022 роки</t>
  </si>
  <si>
    <t>Пільгові довгострокові кредити молодим сім'ям та одиноким молодим громадянам на будівництво/реконструкцію/придбання житла та їх повернення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</si>
  <si>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</si>
  <si>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 xml:space="preserve"> Надання пільгових довгострокових кредитів молодим сім'ям та одиноким молодим громадянам на будівництво/реконструкцію/придбання житла</t>
  </si>
  <si>
    <t>99000000000</t>
  </si>
  <si>
    <t>0813170</t>
  </si>
  <si>
    <t>3170</t>
  </si>
  <si>
    <t>Забезпечення реалізації окремих програм для осіб з інвалідністю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</si>
  <si>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2021 рік</t>
  </si>
  <si>
    <t>Рішення 4-ї сесії Хмельницької міської ради від 17.02.2021 року №7</t>
  </si>
  <si>
    <t xml:space="preserve">Управління з питань екології та контролю за благоустроєм  Хмельницької міської ради  (відповідальний виконавець) </t>
  </si>
  <si>
    <t xml:space="preserve">Управління з питань екології та контролю за благоустроєм 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</si>
  <si>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</si>
  <si>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(відповідальний виконавець) </t>
  </si>
  <si>
    <t>Програма розвитку міського комунального підприємства «Муніципальна телерадіокомпанія «Місто» на 2021-2023 роки</t>
  </si>
  <si>
    <t>Рішення 4-ї сесії Хмельницької міської ради від 17.02.2021 року №24</t>
  </si>
  <si>
    <t>Рішення 13-ї сесії Хмельницької міської ради від 22.03.2017 року №33</t>
  </si>
  <si>
    <t>Управління капітального будівництва Хмельницької міської ради (головний розпорядник)</t>
  </si>
  <si>
    <t>Управління капітального будівництва Хмельницької міської ради (відповідальний виконавець)</t>
  </si>
  <si>
    <t>Управління архітектури та містобудування Хмельницької міської ради (головний розпорядник)</t>
  </si>
  <si>
    <t>Управління архітектури та містобудування  Хмельницької міської ради  (відповідальний виконавець)</t>
  </si>
  <si>
    <t>Управління земельних ресурсів  Хмельницької міської ради (головний розпорядник)</t>
  </si>
  <si>
    <t>Управління земельних ресурсів Хмельницької міської ради (відповідальний розпорядник)</t>
  </si>
  <si>
    <t>Управління земельних ресурсів Хмельницької міської ради (головний розпорядник)</t>
  </si>
  <si>
    <t>Хмельницької міської територіальної громади у 2021 році</t>
  </si>
  <si>
    <t xml:space="preserve">які будуть фінансуватися з Фонду охорони навколишнього природного середовища </t>
  </si>
  <si>
    <t>Підвищення енергоефективності систем водопостачання та водоочищення: Реконструкція каналізаційних насосних станцій №2, 7, 12 у місті Хмельницькому</t>
  </si>
  <si>
    <t>Внески до статутного капіталу КП "Південно-Західні тепломережі" (Реконструкція котельні по вул. Івана Павла ІІ, 1 в м. Хмельницькому з установленням обладнання для очищення газопилового потоку від забруднюючих речовин, що викидається в атмосферне повітря)</t>
  </si>
  <si>
    <t>Внески до статутного капіталу МКП "Хмельницьктеплокомуненерго" (Капітальний ремонт теплової мережі по прс. Миру, 62А, м. Хмельницький)</t>
  </si>
  <si>
    <t>Внески до статутного капіталу МКП "Хмельницьктеплокомуненерго" (Капітальний ремонт когенераційної установки в котельні по вул. Бандери, 32/1, м. Хмельницький)</t>
  </si>
  <si>
    <t>Внески до статутного капіталу ХКП "Спецкомунтранс"(Придбання шприцементу)</t>
  </si>
  <si>
    <t>Внески до статутного капіталу КП "Парки і сквери міста Хмельницького" (Придбання модульної вбиральні)</t>
  </si>
  <si>
    <t>Внески до статутного капіталу ХМКП "Муніципальна дружина" (Придбання квадрокоптера)</t>
  </si>
  <si>
    <t>Внески до статутного капіталу КП по будівництву, ремонту та експлуатації доріг (Придбання навантажувача)</t>
  </si>
  <si>
    <t xml:space="preserve">Виготовлення проєктно-кошторисної документації на  реконструкцію під`їздної дороги від вул. Вінницьке шосе до вул. Вінницьке шосе, 18 (індустріальний парк) </t>
  </si>
  <si>
    <t>Капітальний ремонт дитячого автомістечка в парку культури і відпочинку ім. М. Чекмана в м. Хмельницькому (ПКД, геодезія, експертиза)</t>
  </si>
  <si>
    <t>Капітальний ремонт – встановлення флагштоків на в’їздах в місто</t>
  </si>
  <si>
    <t>Внески до статутного капіталу МКП "Хмельницькводоканал" (Нове будівництво зовнішніх мереж водопостачання вул. Чеботарьова, проїздів Заярний, 2, Заярний, 8, Заярний, 9, Заярний, 10, Заярний, 11 мікрорайону Книжківці в м. Хмельницький)</t>
  </si>
  <si>
    <t>Управління архітектури та містобудування Хмельницької міської ради (відповідальний виконавець)</t>
  </si>
  <si>
    <t>Управління архітектури та містобудування Хмельницької міської ради  (відповідальний виконавець)</t>
  </si>
  <si>
    <t>Управління земельних ресурсів та земельної реформи Хмельницької міської ради (головний розпорядник)</t>
  </si>
  <si>
    <t>Управління земельних ресурсів та земельної реформи  Хмельницької міської ради (відповідальний розпорядник)</t>
  </si>
  <si>
    <t>Інші субвенції з місцевого бюджету, в тому числі:</t>
  </si>
  <si>
    <t xml:space="preserve"> - пільгове медичне обслуговування осіб, які постраждали внаслідок Чорнобильської катастрофи </t>
  </si>
  <si>
    <t xml:space="preserve"> - 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</si>
  <si>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  - поховання учасників бойових дій та осіб з інвалідністю внаслідок війни</t>
  </si>
  <si>
    <t>Внески до статутного капіталу ХКП "Міськсвітло" (Придбання святкової ілюмінації для "Різдвяного ярмарку")</t>
  </si>
  <si>
    <t>Внески до статутного капіталу МКП "Хмельницькводоканал" (Реконструкція водопроводу від  вул.Проскурівська по пров. Проскурівський, вул. Пилипчука до пров. Шевченка в м. Хмельницький)</t>
  </si>
  <si>
    <t>Виготовлення проєктно-кошторисної документації на капітальний ремонт даху спортивного комплексу по вул. Спортивна, 16, м. Хмельницький</t>
  </si>
  <si>
    <t>ДЮСШ №3</t>
  </si>
  <si>
    <t>Внески до статутного капіталу комунального підприємства "Спортивно-культурний центр "Плоскирів"" (Капітальний ремонт даху будівлі спортивно-культурного центру "Плоскирів" по вул. Курчатова, 90, м. Хмельницький, Хмельницької області (в тому числі виготовлення проєктно-кошторисної документації)</t>
  </si>
  <si>
    <t>2017 - 2021 роки</t>
  </si>
  <si>
    <t>2719000</t>
  </si>
  <si>
    <t>2719700</t>
  </si>
  <si>
    <t>2719770</t>
  </si>
  <si>
    <t>Розробка проектно-кошторисної документації на "Реконструкцію аеродромного комплексу КП «Аеропорт Хмельницький» з подовженням штучної злітно-посадкової смуги на 500 метрів"</t>
  </si>
  <si>
    <t>Реконструкція котельні під спортивні приміщення на території СК "Поділля" ДЮСШ №1 по вул. Проскурівській, 81 в м.Хмельницькому</t>
  </si>
  <si>
    <t xml:space="preserve">Заходи з озеленення </t>
  </si>
  <si>
    <t>Проведення робіт, пов‘язаних з поліпшенням технічного стану та благоустрою поверхневих водойм  - благоустрій струмка в районі будинків 8-10 по вул.Хотовицького</t>
  </si>
  <si>
    <t>Обстеження  та паспортизація гідротехнічних споруд</t>
  </si>
  <si>
    <t>Продовження практики сортування сміття у закладах освіти Хмельницької міської територіальної громади (придбання контейнерів для роздільного збирання  відходів)</t>
  </si>
  <si>
    <t>Проведення    спеціальних    заходів,    спрямованих   на запобігання знищенню чи пошкодженню природних комплексів територій та об'єктів природно-заповідного фонду</t>
  </si>
  <si>
    <t>Заходи  щодо  запобігання  інтродукції  та  поширення 
чужорідних видів рослин, які загрожують природним екосистемам</t>
  </si>
  <si>
    <t>Організація  проведення  оцінки  впливу на довкілля та стратегічної екологічної оцінки</t>
  </si>
  <si>
    <t>Відкриття навчального центру поводження з відходами в  м. Хмельницькому</t>
  </si>
  <si>
    <t>1617000</t>
  </si>
  <si>
    <t>1617300</t>
  </si>
  <si>
    <t>1617350</t>
  </si>
  <si>
    <t>7350</t>
  </si>
  <si>
    <t>Розроблення схем планування та забудови територій (містобудівної документації)</t>
  </si>
  <si>
    <t>Розроблення звіту про стратегічну екологічну оцінку проєкту містобудівної документації "Коригування (внесення змін) генерального плану м.Хмельтницький"</t>
  </si>
  <si>
    <t>Доопрацювання проєкту містобудівної документації "Коригування (внесення змін) генерального плану м.Хмельницький"</t>
  </si>
  <si>
    <t>0217693</t>
  </si>
  <si>
    <t>Вартість по ПКД Уточнити пісдя коригування</t>
  </si>
  <si>
    <t>1017000</t>
  </si>
  <si>
    <t>1017600</t>
  </si>
  <si>
    <t>1017670</t>
  </si>
  <si>
    <t>Внески до статутного капіталу комунального підприємства "Медичний стоматологічний центр" Хмельницької міської ради (Капітальний ремонт вхідного ганку з облаштуванням підйомника для маломобільних груп населення в КП "Медичний стоматологічний центр" по вул.Прибузька, 18 в м. Хмельницькому)</t>
  </si>
  <si>
    <t>Внески до статутного капіталу міського комунального підприємства по утриманню нежитлових приміщень (капітальний ремонт системи пожежної сигналізації, системи керування евакуюванням, системи централізованого пожежного спостерігання, будинку побуту "Південний Буг", за адресою: м. Хмельницький , вул. Кам"янецька,2 )</t>
  </si>
  <si>
    <t>1217670</t>
  </si>
  <si>
    <t>Капітальний ремонт дитячого майданчика в с. Олешин</t>
  </si>
  <si>
    <t>Капітальний ремонт дитячого майданчика в с. Богданівці</t>
  </si>
  <si>
    <t xml:space="preserve">Капітальний ремонт пішохідної зони біля водонапірної вежі на вул. Болбачана, 18/1 в м. Хмельницькому </t>
  </si>
  <si>
    <t>Внески до статутного капіталу МКП "Хмельницькводоканал" (Нове будівництво зовнішніх мереж водопроводу в  с. Шаровечка Хмельницького району, Хмельницької області (І черга))</t>
  </si>
  <si>
    <t>Внески до статутного капіталу МКП "Хмельницькводоканал"  (Нове будівництво вуличних мереж водопостачання житлових будинків по вул. Глушенкова (мікрорайон Ружична) в м. Хиельницький)</t>
  </si>
  <si>
    <t>Внески до статутного капіталу МКП "Хмельницькводоканал" (Придбання насосного агрегату)</t>
  </si>
  <si>
    <t>0810180</t>
  </si>
  <si>
    <t>0813060</t>
  </si>
  <si>
    <t>3060</t>
  </si>
  <si>
    <t>Оздоровлення громадян, які постраждали внаслідок Чорнобильської катастрофи</t>
  </si>
  <si>
    <t>Капітальний ремонт, для облаштування архіву, в підвальному приміщенні Центру надання соціальних послуг "Прозорий офіс" за адресою вул. Перемоги, 10Б в м.Хмельницькому</t>
  </si>
  <si>
    <t>2012 - 2022 роки</t>
  </si>
  <si>
    <t>0817320</t>
  </si>
  <si>
    <t>0817323</t>
  </si>
  <si>
    <t>7323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</si>
  <si>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соціальної сфери</t>
    </r>
  </si>
  <si>
    <t>0817300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</si>
  <si>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установ та закладів соціальної сфери</t>
    </r>
  </si>
  <si>
    <t>Будівництво приміщення відділення тимчасового цілодобового перебування Хмельницького міського територіального центру соціального обслуговування (надання соціальних послуг) по вул. Перемоги, 7-А в м.Хмельницькому</t>
  </si>
  <si>
    <t>Проєктні і вишукувальні роботи на реконструкцію станції очищення господарсько-побутових стічних вод продуктивністю БІО-3І 30 м3/доб в с.Пирогівці Хмельницького району, Хмельницької області</t>
  </si>
  <si>
    <t>Проєктні і вишукувальні роботи на будівництво станції очищення господарсько-побутових стічних вод продуктивністю БІО-ЗІ 20  м3/доб  ст. Богданівці, Хмельницького району, Хмельницької області</t>
  </si>
  <si>
    <t>Проєктні і вишукувальні роботи на будівництво на станції очищення господарсько-побутових стічних вод продуктивністю БІО-ЗІ 150 м3/доб   ст.Богданівці, Хмельницького району, Хмельницької області</t>
  </si>
  <si>
    <t>Будівництво артезіанської свердловини, водонапірної башти та водогону в с.Малашівці Хмельницького району Хмельницької області (кредиторська заборгованість, яка передається з балансу Шаровечківської сільської ради на баланс управління капітального будівництва Хмельницької міської ради)</t>
  </si>
  <si>
    <t>1517310</t>
  </si>
  <si>
    <t>1510180</t>
  </si>
  <si>
    <t>Капітальний ремонт системи пожежної сигналізації, системи керування евакуюванням, системою централізованого пожежного спостерігання на об'єкті: навчальні корпуси №1, № 2 та майстерні Державного навчального закладу  "Хмельницький центр професійно-технічної освіти сфери послуг" за адресою: м.Хмельницький, вул. Панаса Мирного, 5</t>
  </si>
  <si>
    <t>Нове будівництво діючої теплиці, як навчальної лабораторії та збірно-розбірного макету тепличного господарства "ДНЗ ВПУ №11 м.Хмельницького"</t>
  </si>
  <si>
    <t>1216020</t>
  </si>
  <si>
    <t>Капітальний ремонт пожежної сигналізації на об'єкті: ДНЗ №18 "Зірочка", що знаходиться за адресою: Хмельницька область, м.Хмельницький, вул. Кам'янецька 65/1 (в тому числі виготовлення проєктно-кошторисної документації)</t>
  </si>
  <si>
    <t xml:space="preserve">Капітальний ремонт спортивного майданчика НВК №2 (в тому числі виготовлення проєктно-кошторисної документації) </t>
  </si>
  <si>
    <t>Капітальний ремонт даху Давидковецької загальноосвітньої школи I-III ступенів Хмельницької районної ради Хмельницької області (в тому числі виготовлення проєктно-кошторисної документації)</t>
  </si>
  <si>
    <t xml:space="preserve">Капітальний ремонт сантехнічних мереж приміщення СЗОШ №7 (в тому числі виготовлення проєктно-кошторисної документації) </t>
  </si>
  <si>
    <t xml:space="preserve">Капітальний ремонт сантехнічних мереж приміщення СЗОШ №8 (в тому числі виготовлення проєктно-кошторисної документації) </t>
  </si>
  <si>
    <t xml:space="preserve">Капітальний ремонт сантехнічних мереж приміщення СЗОШ №14 (в тому числі виготовлення проєктно-кошторисної документації) </t>
  </si>
  <si>
    <t>Виготовлення проєктно-кошторисної документації на реконструкцію спортивного майданчика під мультифункціональний  майданчик для занять ігровими видами спорту на території Хмельницької середньої загальноосвітньої школи №18 І-ІІІ ступенів ім.В.Чорновола за адресою: м.Хмельницький, вул. Купріна, 12</t>
  </si>
  <si>
    <t>Виготовлення проєктно-кошторисної документації на реконструкцію плоского покриття з улаштуванням шатрового даху над приміщеннями спортивного залу та їдальні Хмельницької середньої загальноосвітньої школи І-ІІІ ступенів №21 за адресою: м.Хмельницький, просп. Миру, 76/5</t>
  </si>
  <si>
    <t>Реконструкція будівлі Шаровечківської ЗОШ І-ІІІ ст. за адресою: с. Шаровечка, вул. Шкільна, 10 Хмельницького району Хмельницької  області</t>
  </si>
  <si>
    <t xml:space="preserve">Капітальний ремонт сантехнічних мереж приміщення НВК №2 (в тому числі виготовлення проєктно-кошторисної документації) </t>
  </si>
  <si>
    <t xml:space="preserve">Капітальний ремонт ігрового майданчика СЗОШ №32 (в тому числі виготовлення проєктно-кошторисної документації) </t>
  </si>
  <si>
    <t>0611060</t>
  </si>
  <si>
    <t>0611061</t>
  </si>
  <si>
    <t>1061</t>
  </si>
  <si>
    <t xml:space="preserve"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</t>
  </si>
  <si>
    <t>забезпечення безпечного навчального процесу у закладах загальної середньої освіти)</t>
  </si>
  <si>
    <t xml:space="preserve"> Надання загальної середньої освіти закладами загальної середньої освіти</t>
  </si>
  <si>
    <t>Капітальний ремонт пожежної сигналізації на об'єкті: Спеціалізована загальноосвітня школа І-ІІІ ступенів № 29 м.Хмельницького, що знаходиться за адресою: Хмельницька область, м.Хмельницький, вул. Вокзальна, 16 (в тому числі виготовлення проєктно-кошторисної документації)</t>
  </si>
  <si>
    <t xml:space="preserve">Капітальний ремонт сантехнічних мереж приміщення Хмельницького колегіуму імені Володимира Козубняка (в тому числі виготовлення проєктно-кошторисної документації) </t>
  </si>
  <si>
    <t xml:space="preserve">Капітальний ремонт сантехнічних мереж приміщення НВО №28 (в тому числі виготовлення проєктно-кошторисної документації) </t>
  </si>
  <si>
    <t>Капітальний ремонт інженерних систем, улаштування дашків та відмостки в ДНЗ №54 "Пізнайко" по просп. Миру, 51/2 в м.Хмельницькому (в тому числі виготовлення проєктно-кошторисної документації)</t>
  </si>
  <si>
    <t>Капітальний ремонт огорожі дошкільного навчального закладу №55 "Сонечко" по пров. Козацькому, 47/2 в м.Хмельницькому  (в тому числі виготовлення проєктно-кошторисної документації)</t>
  </si>
  <si>
    <t>Внески до статутного капіталу ХКП "Міськсвітло" (Капітальний ремонт мереж зовнішнього освітлення)</t>
  </si>
  <si>
    <t>Внески до статутного капіталу ХКП "Спецкомунтранс" (Нове будівництво самопливного каналізаційного колектора Хмельницького полігону ТПВ  за адресою м.Хмельницький проспект Миру,7)</t>
  </si>
  <si>
    <t xml:space="preserve">Капітальний ремонт стадіону Спеціалізованої загальноосвітньої школи №12 за адресою: вулиця Довженка, буд.6, м. Хмельницький (в тому числі виготовлення проєктно-кошторисної документації) </t>
  </si>
  <si>
    <t>Внески до статутного капіталу ХКП "Спецкомунтранс" (розробка проекту: Нове будівництво самопливного каналізаційного колектора Хмельницького полігону ТПВ  за адресою м. Хмельницький проспект Миру,7)</t>
  </si>
  <si>
    <t>Капітальний ремонт з теплоізоляції (термомодернізації) цоколя Хмельницької середньої загальноосвітньої школи І-ІІІ ступенів №14 за адресою: вул. Спортивна, 17, в м.Хмельницькому (в тому числі виготовлення проєктно-кошторисної документації)</t>
  </si>
  <si>
    <t>Капітальний ремонт приміщення Хмельницької середньої загальноосвітньої школи №18 І-ІІІ ступенів ім. В.Чорновола по вул. Купріна, 12 в м. Хмельницький</t>
  </si>
  <si>
    <t>Реконструкція будівлі №45/312 (контрольно-технічний пункт), військового містечка №45 військової частини А0661</t>
  </si>
  <si>
    <t>Рішення 42-ї сесії Хмельницької міської ради від 17.06.2020 року №8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</si>
  <si>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</t>
  </si>
  <si>
    <t>Рішення 4-ї сесії Хмельницької міської ради від 17.02.2021 року №2</t>
  </si>
  <si>
    <t>Програма розвитку  електротранспорту Хмельницької міської територіальної громади  на 2021 - 2025 роки</t>
  </si>
  <si>
    <t>Рішення 3-ї сесії Хмельницької міської ради від 14.01.2021 року №1</t>
  </si>
  <si>
    <t xml:space="preserve"> Виготовлення проєктно-кошторисної документації на капітальний ремонт приміщення  НВК №10 м.Хмельницького (приміщення тиру)</t>
  </si>
  <si>
    <t>Внески до статутного капіталу комунального підприємства "Хмельницький міський лікувально-діагностичний центр" Хмельницької міської ради (Реконструкція кабінету №9 під санвузол для МГН Поліклініки №2 КП "Хмельницький міський лікувально-діагностичний центр" Хмельницької міської ради по проспекту Миру, 61 в м.Хмельницькому)</t>
  </si>
  <si>
    <t>Реконструкція існуючої будівлі краєзнавчого музею під музейний комплекс історії та культури по вул.Свободи, 22 в м.Хмельницькому</t>
  </si>
  <si>
    <t>Виготовлення проєктно-кошторисної документації на капітальний ремонт системи освітлення футбольного поля на території  СК "Поділля" ДЮСШ №1 по вул. Проскурівській, 81 в м.Хмельницькому</t>
  </si>
  <si>
    <t>Внески до статутного капіталу КП "Елеватор" (придбання лічильників)</t>
  </si>
  <si>
    <t>Внески до статутного капіталу МКП "Хмельницькводоканал" (Реконструкція ділянки самопливного каналізаійного колектора по вул. Заводська в м.Хмельницький)</t>
  </si>
  <si>
    <t>Внески до статутного капіталу МКП "Хмельницькводоканал" (Реконструкція сомопливної каналізаційної мережі через вул. Шевченка до КНС-1 в м.Хмельницький)</t>
  </si>
  <si>
    <t>Внески до статутного капіталу МКП "Хмельницькводоканал" (Будівництво вуличного водопроводу по вул. Достоєвського від вул. Київська до прв.Достоєвського в м. Хмельницький)</t>
  </si>
  <si>
    <t>Внески до статутного капіталу МКП "Хмельницьктеплокомуненерго" (Реконструкція теплової мережі по вул.Зарічанській, 24, м. Хмельницький)</t>
  </si>
  <si>
    <t>Внески до статутного капіталу МКП "Хмельницьктеплокомуненерго" (Реконструкція теплової мережі по вул.Перемоги, 12, м Хмельницький)</t>
  </si>
  <si>
    <t xml:space="preserve">Реконструкція з добудовою їдальні до існуючого приміщення спеціалізованої загальноосвітньої школи І-ІІІ ступенів №8 по вул. Я. Гальчевського, 34 в м.Хмельницькому </t>
  </si>
  <si>
    <t>Нове будівництво закладу загальної середньої освіти на вул. Січових стрільців, 8-А в м. Хмельницькому, в тому числі виготовлення проєктно-кошторисної документації</t>
  </si>
  <si>
    <t xml:space="preserve"> Нове будівництво вулиці від вулиці Степана Бандери до вулиці Західно-Окружної в м. Хмельницькому,  в тому числі виготовлення проєктно-кошторисної документації </t>
  </si>
  <si>
    <t>Нове будівництво зовнішніх  мереж газопостачання індустріального парку  "Хмельницький" по вул. Вінницьке шосе, 18 в м. Хмельницькому,  в тому числі виготовлення проєктно-кошторисної документації</t>
  </si>
  <si>
    <t xml:space="preserve"> Нове будівництво зовнішніх мереж  водопостачання та каналізації індустріального парку  "Хмельницький" по  вул. Вінницьке шосе, 18 в м.Хмельницькому, в тому числі  виготовлення проєктно-кошторисної документації </t>
  </si>
  <si>
    <t xml:space="preserve"> Нове будівництво зовнішніх мереж  водовідведення індустріального парку  "Хмельницький" по  вул. Вінницьке шосе, 18 в м.Хмельницькому, в тому числі  виготовлення проєктно-кошторисної документації </t>
  </si>
  <si>
    <t>2017 - 2025 роки</t>
  </si>
  <si>
    <t>2020 - 2025 роки</t>
  </si>
  <si>
    <t>2015 - 2025 роки</t>
  </si>
  <si>
    <t>В. ДІДЕНКО</t>
  </si>
  <si>
    <t>Внески до статутного капіталу ХКП "Спецкомунтранс" (Розробка техніко-економічного обґрунтування з поділом на черги реконструкції полігону твердих побутових відходів з метою запобігання виникнення надзвичайної екологічної ситуації за адресою м. Хмельницький, вул. Проспект Миру, 7)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</si>
  <si>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</si>
  <si>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</si>
  <si>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</si>
  <si>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Внески до статутного капіталу міського комунального підприємства - Кінотеатр ім. Т.Г.Шевченка (Капітальний ремонт сходової частини кінотеатру ім.Т.Г.Шевченка (в тому числі виготовлення проектно-кошторисної документації))</t>
  </si>
  <si>
    <t>Внески до статутного капіталу міського комунального підприємства - Кінотеатр ім. Т.Г.Шевченка (Виготовлення науково-проектної документації «Реставрація будівлі кінотеатру ім. Т. Г. Шевченка (щойно виявлений об’єкт культурної спадщини) по вул. Проскурівській, 40 у м. Хмельницькому)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</si>
  <si>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</si>
  <si>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</si>
  <si>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41053600</t>
  </si>
  <si>
    <t>Субвенція з місцевого бюджету на здійснення природоохоронних заходів</t>
  </si>
  <si>
    <t xml:space="preserve"> - соціально-економічний розвиток</t>
  </si>
  <si>
    <t>Субвенція з місцевого бюджету на здійснення природоохоронних заходів  (Обласний фонд охорони навколишнього природного середовища)</t>
  </si>
  <si>
    <t>Інші субвенції з місцевого бюджету (соціально-економічний розвиток)</t>
  </si>
  <si>
    <t>Програма національно-патріотичного виховання мешканців Хмельницької міської територіальної громади на 2021-2022 роки</t>
  </si>
  <si>
    <t>Рішення 5-ї сесії Хмельницької міської ради від 21.04.2021 року №6</t>
  </si>
  <si>
    <t>Програма забезпечення антитерористичного та протидиверсійного захисту важливих державних об’єктів, місць масового перебування людей, об’єктів критичної та транспортної інфраструктури Хмельницької міської територіальної громади  на 2021-2022 роки</t>
  </si>
  <si>
    <t>Рішення 5-ї сесії Хмельницької міської ради від 21.04.2021 року №5</t>
  </si>
  <si>
    <t>Рішення 5-ї сесії Хмельницької міської ради від 21.04.2021 року №8</t>
  </si>
  <si>
    <t>Програма організаційно-практичних заходів щодо комплексної підтримки державної установи «Хмельницький слідчий ізолятор» на 2021 – 2025 роки</t>
  </si>
  <si>
    <t>Рішення 5-ї сесії Хмельницької міської ради від 21.04.2021 року №7</t>
  </si>
  <si>
    <t>Програма шефської допомоги військовим частинам Збройних Сил України, Національної гвардії України, які розташовані на території м. Хмельницького на 2020 – 2021 роки (із змінами)</t>
  </si>
  <si>
    <t>Рішення 5-ї сесії Хмельницької міської ради від 21.04.2021 року №57</t>
  </si>
  <si>
    <t xml:space="preserve">Програма зайнятості населення Хмельницької міської територіальної громади на 2021-2023 роки </t>
  </si>
  <si>
    <t>Рішення 5-ї сесії Хмельницької міської ради від 21.04.2021 року №55</t>
  </si>
  <si>
    <t>Програма охорони довкілля Хмельницької міської територіальної громади на 2021-2025 роки</t>
  </si>
  <si>
    <t>Рішення 5-ї сесії Хмельницької міської ради від 21.04.2021 року №69</t>
  </si>
  <si>
    <t>Програма розвитку та фінансової підтримки комунального підприємства «Чайка» Хмельницької міської ради на 2021-2022 роки</t>
  </si>
  <si>
    <t>Рішення 5-ї сесії Хмельницької міської ради від 21.04.2021 року №74</t>
  </si>
  <si>
    <t>Програма профілактики адміністративних правопорушень та покращення забезпечення громадського правопорядку для жителів Хмельницької міської територіальної громади на 2021 - 2022 роки</t>
  </si>
  <si>
    <t>Програма для забезпечення виконання судових рішень на 2021-2025 роки</t>
  </si>
  <si>
    <t>1417460</t>
  </si>
  <si>
    <t>7460</t>
  </si>
  <si>
    <t>Утримання та розвиток автомобільних доріг та дорожньої інфраструктури</t>
  </si>
  <si>
    <t>Будівництво навчально-виховного комплексу на вул. Залізняка, 32 в м.Хмельницькому (коригування)</t>
  </si>
  <si>
    <t>Реконструкція приміщень НВО №1 по вул. Старокостянтинівське шосе, 3Б в м.Хмельницькому (коригування)</t>
  </si>
  <si>
    <t>Програма співфінансування робіт з ремонту багатоквартирних житлових будинків Хмельницької міської територіальної громади на 2020 - 2024 роки</t>
  </si>
  <si>
    <t>Будівництво внутрішньоквартального проїзду між земельними ділянками по вул.Старокостянтинівське шосе, 2/1 "З" в м.Хмельницькому</t>
  </si>
  <si>
    <t>Реконструкція  вбудовано-прибудованої аптеки під адміністративне приміщення управління адміністративних послуг Хмельницької міської ради  по вул.Кам'янецькій, 38 в м. Хмельницькому</t>
  </si>
  <si>
    <t>Будівництво каналізаційних мереж в мікрорайоні "Озерна" в м.Хмельницькому (в тому числі коригування проєктно-кошторисної документації)</t>
  </si>
  <si>
    <t>Реконструкція мереж водопроводу та каналізації в мікрорайоні "Лезнево" м.Хмельницький  (коригування)</t>
  </si>
  <si>
    <t>Будівництво самопливного і напірного колекторів та каналізаційної насосної станції продуктивністю 1500 куб.м/добу на житловому масиві "Лезнево 1,2" в м.Хмельницькому (коригування)</t>
  </si>
  <si>
    <t>2016 - 2022 роки</t>
  </si>
  <si>
    <t>Будівництво вулиці Мельникова (від вул.Зарічанської до вул. Трудової) в м.Хмельницькому (коригування)</t>
  </si>
  <si>
    <t xml:space="preserve">до рішення  №       від                    2021 року </t>
  </si>
  <si>
    <t>Зовнішні зобов'язання</t>
  </si>
  <si>
    <t xml:space="preserve">Довгострокові зобов'язання </t>
  </si>
  <si>
    <t xml:space="preserve">Середньострокові зобов'язання </t>
  </si>
  <si>
    <t xml:space="preserve">Нове будівництво вулиці Лісогринівецької (від вул. Степана Бандери до Старокостянтинівського шосе) в м.Хмельницькому,  в тому числі виготовлення проєктно-кошторисної документації </t>
  </si>
  <si>
    <t>Капітальний ремонт утеплення фасаду та сходового майданчика перед палацом творчості дітей та юнацтва по вул.Свободи, 2/1 в м.Хмельницькому (коригування)</t>
  </si>
  <si>
    <t>+</t>
  </si>
  <si>
    <t xml:space="preserve">Капітальний ремонт спортивного майданчика на території Хмельницької середньої загальноосвітньої школи І-ІІІ ступенів №22 імені Олега Ольжича, за адресою: вул Зарічанська, 20/1, в м. Хмельницькому (в тому числі виготовлення проєктно-кошторисної документації) </t>
  </si>
  <si>
    <t>Реконструкція спортивного майданчика під мультифункціональний  майданчик для занять ігровими видами спорту на території Хмельницького навчально-виховного комплексу №31</t>
  </si>
  <si>
    <t>Капітальний ремонт прилеглої території Хмельницької дитячої школи мистецтв "Райдуга" по вул. Курчатова, 9 в м.Хмельницькому (коригування)</t>
  </si>
  <si>
    <t>Капітальний ремонт огорожі Хмельницького навчально-виховного комплексу №31 "Дошкільний навчальний заклад - загальноосвітній навчальний заклад І ступеня" по вул. М.Мазура, 17 в м. Хмельницькому</t>
  </si>
  <si>
    <t xml:space="preserve">Капітальний ремонт спортивного майданчика на території Пироговецького ліцею Хмельницької районної ради Хмельницької області, за адресою вул.Центральна, 29 в с. Пирогівці Хмельницького району Хмельницької області (в тому числі виготовлення проєктно-кошторисної документації) </t>
  </si>
  <si>
    <t>Капітальний ремонт систем пожежної сигналізації, оповіщування про пожежу та управління евакуацією людей, устаткування передавання тривожних сповіщень на об'єкті: корпус №1 Хмельницького навчально-виховного комплексу №4, що знаходиться за адресою: Хмельницька область, м.Хмельницький, вул. Перемоги, 9 (в тому числі виготовлення проєктно-кошторисної документації)</t>
  </si>
  <si>
    <t>Капітальний ремонт систем пожежної сигналізації, оповіщування про пожежу та управління евакуацією людей, устаткування передавання тривожних сповіщень на об'єкті: корпус №2 Хмельницького навчально-виховного комплексу №4, що знаходиться за адресою: Хмельницька область, м.Хмельницький, вул. Перемоги, 9 (в тому числі виготовлення проєктно-кошторисної документації)</t>
  </si>
  <si>
    <t>Реконструкція спортивного майданчика під мультифункціональний  майданчик для занять ігровими видами спорту на території Хмельницької спеціалізованої середньої загальноосвітньої школи І-ІІІ ступенів №13 імені М.К.Чекмана</t>
  </si>
  <si>
    <t>Капітальний ремонт підвальних приміщень з влаштуванням дренажної системи дошкільного навчального закладу №6 "Колобок" по вул. Львівське шосе, 43/2 в м. Хмельницькому</t>
  </si>
  <si>
    <t xml:space="preserve">Фінансування за рахунок позик банківських установ </t>
  </si>
  <si>
    <t xml:space="preserve"> Одержано позик </t>
  </si>
  <si>
    <t xml:space="preserve">Фінансування за рахунок інших банків </t>
  </si>
  <si>
    <t xml:space="preserve">Внутрішні запозичення </t>
  </si>
  <si>
    <t xml:space="preserve">Фінансування за рахунок зміни залишків коштів бюджетів </t>
  </si>
  <si>
    <t>Зміни обсягів бюджетних коштів</t>
  </si>
  <si>
    <t xml:space="preserve">На початок періоду </t>
  </si>
  <si>
    <t xml:space="preserve">Інші розрахунки </t>
  </si>
  <si>
    <t xml:space="preserve">Передача коштів із загального до спеціального фонду бюджету </t>
  </si>
  <si>
    <t>Секретар міської ради</t>
  </si>
  <si>
    <t>Субвенція з державного бюджету місцевим бюджетам на розвиток спортивної інфраструктури</t>
  </si>
  <si>
    <t>41035700</t>
  </si>
  <si>
    <t xml:space="preserve">Капітальний ремонт спортивного залу Хмельницької спеціалізованої загальоосвітньої школи №19 І-ІІІ ступенів імені академіка Михайла Павловського по вул. Кам'янецькій, 164 в м. Хмельницькому (в тому числі виготовлення проєктно-кошторисної документації) </t>
  </si>
  <si>
    <t xml:space="preserve">Реконструкція плоского покриття з улаштуванням шатрового даху над приміщеннями спортивного та актового залу Хмельницької спеціалізованої загальноосвітньої школи №19 І-ІІІ ступенів ім.академіка М. Павловського по вул.Кам'янецькій, 164 в м.Хмельницькому  (в тому числі виготовлення проєктно-кошторисної документації) </t>
  </si>
  <si>
    <t xml:space="preserve">Капітальний ремонт спортивного залу Хмельницької спеціалізованої загальоосвітньої школи №19 І-ІІІ ступенів імені академіка Михайла Павловського по вул. Кам'янецькій, 164 в м.Хмельницькому (в тому числі виготовлення проєктно-кошторисної документації) </t>
  </si>
  <si>
    <t xml:space="preserve"> Реконструкція з добудовою приміщень Хмельницького ліцею №17 під спортивну залу на вул. Героїв Майдану, 5 в м.Хмельницькому (коригування)</t>
  </si>
  <si>
    <t xml:space="preserve">Виконання експертизи проєкту містобудівної  документації "Коригування (внесення змін) генерального плану м. Хмельницький </t>
  </si>
  <si>
    <t>0217540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</si>
  <si>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</si>
  <si>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</si>
  <si>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</si>
  <si>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</si>
  <si>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</si>
  <si>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Субвенція з державного бюджету місцевим бюджетам на реалізацію інфраструктурних проектів та розвиток об’єктів соціально-культурної сфери</t>
  </si>
  <si>
    <t>41032300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</si>
  <si>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</si>
  <si>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41035500</t>
  </si>
  <si>
    <t>41051400</t>
  </si>
  <si>
    <t>Субвенція з місцевого бюджету на забезпечення якісної, сучасної та доступної загальної середньої освіти  "Нова українська школа" за рахунок відповідної субвенції з державного бюджету</t>
  </si>
  <si>
    <t xml:space="preserve">Внески до статутного капіталу комунального підприємства "Хмельницька інфекційна лікарня" Хмельницької міської ради (Монтаж системи киснепостачання корпусу №1 КП«Хмельницька інфекційна лікарня» за адресою: м. Хмельницький, вул. Сковороди,17) (в тому числі виготовлення проектно-кошторисної документації) </t>
  </si>
  <si>
    <t>1517600</t>
  </si>
  <si>
    <t>1517690</t>
  </si>
  <si>
    <t>1517691</t>
  </si>
  <si>
    <t>3.2.8.</t>
  </si>
  <si>
    <t>Будівництво, реконструкція та ремонт інженерно-транспортної та соціальної інфраструктури Хмельницької міської територіальної громади, відповідного мікрорайону/кварталу, в т. ч. і тих, в яких розташовані будинки житлово-будівельних кооперативів (ТОВ "ЖЕО")</t>
  </si>
  <si>
    <t>Внески до статутного капіталу комунального підприємства "Хмельницький міський лікувально-діагностичний центр" Хмельницької міської ради (Капітальний ремонт санвузла Поліклініки №4 КП "Хмельницький міський лікувально-діагностичний центр" Хмельницької міської ради на вул. Молодіжна, 9 у м. Хмельницькому)</t>
  </si>
  <si>
    <t>2011 - 2025 роки</t>
  </si>
  <si>
    <t xml:space="preserve">Капітальний ремонт - електропостачання 269 житлових будинків ГО «Хмельницький кооператив співвласників земельних ділянок - Мрія» в м. Хмельницькому, мікрорайон «Дубово» Хмельницького району Хмельницької області (І та ІІ черга) </t>
  </si>
  <si>
    <t>Внески до статутного капіталу КП по будівництву, ремонту та експлуатації доріг (Придбання відвалів снігоочисних поворотних)</t>
  </si>
  <si>
    <t>Внески до статутного капіталу КП по будівництву, ремонту та експлуатації доріг (Придбання відвалів снігоочисних поворотних типу ФПВ)</t>
  </si>
  <si>
    <t>Внески до статутного капіталу МКП "Хмельницькводоканал"  (Нове будівництво зовнішніх мереж водопостачання вулиць Старосадова,Яблунева, Пшенична, Ланок, Багалія, Колективна мікрорайону Книжківці в м. Хиельницький)</t>
  </si>
  <si>
    <t>Внески до статутного капіталу ХКП "Спецкомунтранс" (Придбання накидного кільця)</t>
  </si>
  <si>
    <t>2021 - 2022 роки</t>
  </si>
  <si>
    <t>Внески до статутного капіталу ХКП "Спецкомунтранс"("Капітальний ремонт частини нежитлового приміщення за адресою м.Хмельницький, вул. Марка Кропивницького, 6А")</t>
  </si>
  <si>
    <t xml:space="preserve"> Реконструкція парку-пам'ятки садово-паркового мистецтва місцевого значення "Парк ім. М.Чекмана. Ділянка колеса огляду. </t>
  </si>
  <si>
    <t>41035600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</si>
  <si>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</si>
  <si>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0611023</t>
  </si>
  <si>
    <t>1023</t>
  </si>
  <si>
    <t xml:space="preserve"> Надання загальної середньої освіти спеціалізованими закладами загальної середньої освіти</t>
  </si>
  <si>
    <t>0611190</t>
  </si>
  <si>
    <t>0611191</t>
  </si>
  <si>
    <t>1190</t>
  </si>
  <si>
    <t>1191</t>
  </si>
  <si>
    <t xml:space="preserve"> 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</si>
  <si>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Співфінансування заходів, що реалізуються за рахунок субвенції з державного бюджету місцевим бюджетам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</si>
  <si>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0611220</t>
  </si>
  <si>
    <t>0611221</t>
  </si>
  <si>
    <t>1220</t>
  </si>
  <si>
    <t>1221</t>
  </si>
  <si>
    <t xml:space="preserve"> Виконання заходів щодо створення навчально-практичних центрів сучасної професійної (професійно-технічної) освіти</t>
  </si>
  <si>
    <t xml:space="preserve"> 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</si>
  <si>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Реконструкція кабінетів приміщення майстерень державного навчального закладу "Хмельницький центр професійно-технічної освіти сфери послуг" по вул. Панаса Мирного,5 м. Хмельницького (коригування)</t>
  </si>
  <si>
    <t>Реконструкція існуючих газових мереж з заміною ВОГ теплогенераторної учбового корпусу Шаровечківської ЗОШ І-ІІІ ст. Хмельницької міської ради по вул.Шкільна,10 в с.Шаровечка Хмельницької області (в тому числі виготовлення проєктно-кошторисної документації)</t>
  </si>
  <si>
    <t>Реконструкція існуючих газових мереж з заміною ВОГ теплогенераторної Черепівської філії Іванковецького ліцею Хмельницької міської ради по вул.Трублаїні,25 в с.Черепівка Хмельницької області (в тому числі виготовлення проєктно-кошторисної документації)</t>
  </si>
  <si>
    <t>Реконструкція існуючих газових мереж з заміною ВОГ теплогенераторної Олешинської гімназії Хмельницької міської ради по вул.Шкільна,17а в с.Олешин Хмельницької області (в тому числі виготовлення проєктно-кошторисної документації)</t>
  </si>
  <si>
    <t>Нове будівництво мережі каналізації Хмельницької спеціалізованої загальноосвітньої школи №19 І-ІІІ ступенів імені академіка Михайла Павловського по вул. Кам'янецькій, 164 м. Хмельницький (коригування)</t>
  </si>
  <si>
    <t>Субвенція з державного бюджету місцевим бюджетам на створення мережі спеціалізованихслужб підтрмки осіб, які постраждали від домашнього насильства та  або насильства за ознакою статі</t>
  </si>
  <si>
    <t>2.1.4.</t>
  </si>
  <si>
    <t>Кошти участі замовників у створенні і розвитку інженерно-транспортної та соціальної інфраструктури Хмельницької міської територіальної громади</t>
  </si>
  <si>
    <t>Реконструкція футбольного поля під штучним покриттям Хмельницької дитячо-юнацької спортивної школи № 1 по вул.Спортивній,17 в м. Хмельницькому (в тому числі виготовлення проєктно-кошторисної документації)</t>
  </si>
  <si>
    <t>Реконструкція системи газопостачання "Технічне переоснащення існуючих газових мереж з зміною ВОГ теплогенераторної ДЮСШ №1 по вул. Спортивній,17 в м. Хмельницькому"</t>
  </si>
  <si>
    <t>Виготовлення проєктно-кошторисної документації на об'єкт: Реконструкція системи освітлення футбольного поля на території  СК "Поділля" ДЮСШ №1 по вул. Проскурівській, 81 в м.Хмельницькому</t>
  </si>
  <si>
    <t>2717300</t>
  </si>
  <si>
    <t>2717370</t>
  </si>
  <si>
    <t>Забезпечення надання послуг з перевезення пасажирів автомобільним транспортом</t>
  </si>
  <si>
    <t>1917410</t>
  </si>
  <si>
    <t>7410</t>
  </si>
  <si>
    <t>Програма розвитку  та вдосконалення міського пасажирського транспорту  міста Хмельницького на 2019 - 2023 роки  (із змінами і доповненнями)</t>
  </si>
  <si>
    <t>0611192</t>
  </si>
  <si>
    <t>1192</t>
  </si>
  <si>
    <t>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субвенції з державного бюджету місцевим бюджетам</t>
  </si>
  <si>
    <t>Заміна газового котла без зміни потужності по вул. Житецького, 22 в м.Хмельницькому</t>
  </si>
  <si>
    <t>0813120</t>
  </si>
  <si>
    <t>0813124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</si>
  <si>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</si>
  <si>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</si>
  <si>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 xml:space="preserve"> Внутрішні зобов'язання </t>
  </si>
  <si>
    <t>Реконструкція існуючих газових мереж з заміною ВОГ теплогенераторної Водичківської гімназії Хмельницької міської ради по вул.Подільська,9 в селі Водички Хмельницької області (в тому числі виготовлення проєктно-кошторисної документації)</t>
  </si>
  <si>
    <t>41056600</t>
  </si>
  <si>
    <t>Субвенція з місцевого бюджету на заходи, спрямовані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відповідної субвенції з державного бюджету</t>
  </si>
  <si>
    <t xml:space="preserve">Субвенція з місцевого  бюджету на заходи, спрямовані на боротьбу з гострою респіраторною хворобою COVID-19, спричиненою коронавірусом  SARS- CoV-2 та її наслідками під час навчального процесу у закладах загальної середньої освіти за рахунок відповідної субвенції з державного бюджету </t>
  </si>
  <si>
    <t>Програма підтримки ОСББ Хмельницької міської територіальної громади на 2020 – 2023 роки (зі змінами)</t>
  </si>
  <si>
    <t xml:space="preserve"> Програма відшкодування частини відсоткових ставок та кредитів, отриманих ОСББ, ЖБК на впровадження відновлювальних джерел енергії та заходів з енергозбереження, термомодернізації багатоквартирних житлових будинків Хмельницької міської теритріальної громади на 2019-2022 роки (зі змінами)</t>
  </si>
  <si>
    <t>2021-2022 роки</t>
  </si>
  <si>
    <t>Внески до статутного капіталу ХКП "Спецкомунтранс" (Нове будівництво нежитлового приміщення за адресою: вул. Заводська, 165 в м.Хмельницькому)</t>
  </si>
  <si>
    <t>Коригування проєктно-кошторисної документації на "Будівництво автодорожнього тунелю під залізничними коліями на перегоні Хмельницький - Гречани ПК 12256+71.00 в м. Хмельницькому"</t>
  </si>
  <si>
    <t xml:space="preserve">Внески до статутного капіталу комунального підприємства "Хмельницька інфекційна лікарня" Хмельницької міської ради (Капітальний ремонт (з заміною дверей) тераси корпусу №3 Хмельницької міської інфекційної лікарні по вул. Сковороди, 17)  (в тому числі виготовлення проектно-кошторисної документації) </t>
  </si>
  <si>
    <t>Внески до статутного капіталу комунального підприємства "Хмельницький міський лікувально-діагностичний центр" Хмельницької міської ради (Капітальний ремонт приміщень інфекційного відділення поліклініки №4 на вул. Молодіжній, 9 у м.Хмельницькому)</t>
  </si>
  <si>
    <t>Капітальний ремонт приміщення для облаштування в ньому притулку для осіб, постраждалих від домашнього насильства за адресою: вул.Заводська,4-А, с.Богданівці Хмельницького району Хмельницької області</t>
  </si>
  <si>
    <t>Виготовлення проєктно-кошторисної документації на капітальний ремонт з впровадженням заходів по енергозбереженню в Хмельницькому закладів дошкільної освіти №55 "Сонечко", що за адресою: пров. Козацький, 47/2, м.Хмельницький</t>
  </si>
  <si>
    <t xml:space="preserve">Капітальний ремонт систем пожежної сигналізації, оповіщування про пожежу та управління евакуацією людей, устаткування передавання тривожних сповіщень на об'єкті: суспільно-побутовий блок, блок теоритичних занять та корпус майстерень ВПУ №4 м. Хмельницького, що знаходиться за адресою: 29016, Хмельницька обл., місто Хмельницький, вулиця Інститутська, будинок, 10 (в тому числі виготовлення проєктно-кошторисної документації) </t>
  </si>
  <si>
    <t>0619000</t>
  </si>
  <si>
    <t>0619700</t>
  </si>
  <si>
    <t>0619770</t>
  </si>
  <si>
    <t>Капітальний ремонт даху з впровадженням заходів по енергозбереженню в Хмельницькому дошкільному навчальному закладі № 25 "Калинонька", що за адресою: Хмельницька область, м. Хмельницький, пров. 2-й Кам’янецький 17 (в тому числі виготовлення проєктно-кошторисної документації)</t>
  </si>
  <si>
    <t>Розвиток готельного господарства та туризму</t>
  </si>
  <si>
    <t>1017620</t>
  </si>
  <si>
    <t>7620</t>
  </si>
  <si>
    <t>Реалізація програм і заходів в галузі туризму та курортів</t>
  </si>
  <si>
    <t>1017622</t>
  </si>
  <si>
    <t>7622</t>
  </si>
  <si>
    <t>Рішення 5-ї сесії Хмельницької міської ради від 21.04.2021 року №33</t>
  </si>
  <si>
    <t>Програма розвитку інформаційної інфраструктури туристичних послуг на 2021-2023 роки</t>
  </si>
  <si>
    <t xml:space="preserve">Комплексна програма мобілізації зусиль Хмельницької міської ради та Головного управління Державної податкової служби у Хмельницькій області по забезпеченню надходжень до бюджету Хмельницької міської територіальної громади на 2021-2023 роки </t>
  </si>
  <si>
    <t>Програма цифрового розвитку на 2021-2025 роки (із змінами)</t>
  </si>
  <si>
    <t>Рішення 7-ї сесії Хмельницької міської ради від 14.07.2021 року №9</t>
  </si>
  <si>
    <t>Разом  доходів (з врахуванням міжбюджетних трансфертів)</t>
  </si>
  <si>
    <t>до рішення №   від  2021 року</t>
  </si>
  <si>
    <t xml:space="preserve">Акцизний податок з реалізації суб'єктами господарювання роздрібної торгівлі підакцизних товарів </t>
  </si>
  <si>
    <t>Єдиний податок  з юридичних осіб</t>
  </si>
  <si>
    <t xml:space="preserve"> Інші надходження  </t>
  </si>
  <si>
    <t>Програма забезпечення охорони прав і свобод людини, профілактики злочинності та підтримання публічної безпеки і порядку на території Хмельницької міської територіальної громади на 2021 – 2025 роки (із змінами)</t>
  </si>
  <si>
    <t>Субвенція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</si>
  <si>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</si>
  <si>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</si>
  <si>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</si>
  <si>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</si>
  <si>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</si>
  <si>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 xml:space="preserve"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</si>
  <si>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 - II групи, які стали особами з інвалідністю внаслідок 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</si>
  <si>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</si>
  <si>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0611222</t>
  </si>
  <si>
    <t>1222</t>
  </si>
  <si>
    <t>Виконання інвестиційних проектів</t>
  </si>
  <si>
    <t>7360</t>
  </si>
  <si>
    <t>0717300</t>
  </si>
  <si>
    <t>0717360</t>
  </si>
  <si>
    <t>0717363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</si>
  <si>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</si>
  <si>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</si>
  <si>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Придбання медичного обладнання, а саме: мобільний апарат КТГ для контролю за внутрішньоутробним станом плоду 
(13 штук) для комунального підприємства “Хмельницький міський перинатальний центр” Хмельницької міської ради
29000, Хмельницька область, місто Хмельницький, вулиця Хотовицького, 6</t>
  </si>
  <si>
    <t>Придбання медичного обладнання, а саме: портативна ультразвукова система для комунального підприємства “Хмельницька міська лікарня” Хмельницької міської ради
29000, Хмельницька область, місто Хмельницький, провулок Проскурівський, будинок 1</t>
  </si>
  <si>
    <t>Придбання медичного обладнання, а саме: спектральний оптико-когерентний томограф з функцією фундус-камери для комунального підприємства “Хмельницький міський лікувально-діагностичний центр” Хмельницької міської ради 29013, Хмельницька область, місто Хмельницький, 
вул. Подільська, 54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</si>
  <si>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</si>
  <si>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0813220</t>
  </si>
  <si>
    <t>3220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</si>
  <si>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</t>
  </si>
  <si>
    <t xml:space="preserve">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</t>
  </si>
  <si>
    <t>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</si>
  <si>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0813221</t>
  </si>
  <si>
    <t>3221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</si>
  <si>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t>
  </si>
  <si>
    <t>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</t>
  </si>
  <si>
    <t>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</t>
  </si>
  <si>
    <t xml:space="preserve"> України "Про статус ветеранів війни, гарантії їх соціального захисту", та які потребують поліпшення житлових умов</t>
  </si>
  <si>
    <t>0813222</t>
  </si>
  <si>
    <t>3222</t>
  </si>
  <si>
    <t>0813223</t>
  </si>
  <si>
    <t>3223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</si>
  <si>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</t>
  </si>
  <si>
    <t>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</t>
  </si>
  <si>
    <t>гарантії їх соціального захисту", та які потребують поліпшення житлових умов</t>
  </si>
  <si>
    <t>Грошова компенсація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I-II групи, які стали особами з інвалідністю внаслідок</t>
  </si>
  <si>
    <t>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</t>
  </si>
  <si>
    <t>потребують поліпшення житлових умов</t>
  </si>
  <si>
    <t>0813224</t>
  </si>
  <si>
    <t>3224</t>
  </si>
  <si>
    <t>0816083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</si>
  <si>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</si>
  <si>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</si>
  <si>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41034500</t>
  </si>
  <si>
    <t>41050500</t>
  </si>
  <si>
    <t>Субвенція з місцевого бюджету на виплату грошової 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</t>
  </si>
  <si>
    <t>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</si>
  <si>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</t>
  </si>
  <si>
    <t>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</si>
  <si>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41033800</t>
  </si>
  <si>
    <t xml:space="preserve"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«Про статус ветеранів війни, гарантії їх соціального захисту»,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</t>
  </si>
  <si>
    <t>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</si>
  <si>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41050400</t>
  </si>
  <si>
    <t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числа, за рахунок відповідної субвенції з державного бюджету</t>
  </si>
  <si>
    <t>41054200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</si>
  <si>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«Про статус ветеранів війни, гарантії їх соціального захисту», для осіб з інвалідністю І – ІІ групи, які стали особами з інвалідністю внаслідок поранень, каліцтва, контузії чи інших ушкоджень здоров’я, одержаних під час участі у Революції Гідності, визначених пунктом 10 частини другої статті 7 Закону України «Про</t>
  </si>
  <si>
    <t xml:space="preserve">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</si>
  <si>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>Капітальний ремонт існуючого приміщення Хмельницького НВК № 4 по вул. Перемоги, 9 під спортивну залу для початкових класів та шкільний буфет (в тому числі виготовлення проєктно-кошторисної документації)</t>
  </si>
  <si>
    <t xml:space="preserve"> Капітальний ремонт зелених насаджень (омолодження дерев та знешкодження омели)</t>
  </si>
  <si>
    <t xml:space="preserve">  - для забезпечення функціонування відділення боксу Хмельницької ДЮСШ №2 "Авангард" ФСТ "Україна)</t>
  </si>
  <si>
    <t xml:space="preserve">  - на нове будівництво зовнішніх мереж водопостачання в с. Копистин</t>
  </si>
  <si>
    <t>Будівництво спортивного майданчика з штучним покриттям по пров. Володимирському, 12 в м.Хмельницькому</t>
  </si>
  <si>
    <t>2019 - 2020 роки</t>
  </si>
  <si>
    <t xml:space="preserve"> ЗОШ №6</t>
  </si>
  <si>
    <t>0617300</t>
  </si>
  <si>
    <t xml:space="preserve">	Економічна діяльність</t>
  </si>
  <si>
    <t>0617000</t>
  </si>
  <si>
    <t>0617320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</si>
  <si>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соціально-культурного призначення</t>
    </r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</si>
  <si>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споруд, установ та закладів фізичної культури і спорту</t>
    </r>
  </si>
  <si>
    <t>Виготовлення проєктно-кошторисної документації на будівництво спортивного комплексу Хмельницького спортивного ліцею за адресою: м.Хмельницький, вул. Чорновола, 180</t>
  </si>
  <si>
    <t>0617600</t>
  </si>
  <si>
    <t>0617640</t>
  </si>
  <si>
    <t xml:space="preserve">Реконструкція спортивного майданчика під мультифункціональний  майданчик для занять ігровими видами спорту на території навчально-виховного об'єднання №5 міста Хмельницького імені Сергія Єфремова за адресою вул. Володимирська, 51 в м. Хмельницькому (в тому числі виготовлення проектно-кошторисної документації) </t>
  </si>
  <si>
    <t>2020 - 2021 рік</t>
  </si>
  <si>
    <t>Капітальний ремонт приміщень Хмельницької міської ради за адресою: Хмеьницька область, м. Хмельницький, вулиця Пушкіна, 1 (в тому числі виготовлення проєктно-кошторисної документації)</t>
  </si>
  <si>
    <t>Капітальний ремонт системи опалення (з встановленням електричних котлів) адміністративної будівлі управління охорони здоров'я Хмельницької міської ради за адресою: вул. Грушевського, 64 в м. Хмельницькому</t>
  </si>
  <si>
    <t>2021 рsк</t>
  </si>
  <si>
    <t>Інша діяльність у сфері транспорту</t>
  </si>
  <si>
    <t>1917450</t>
  </si>
  <si>
    <t>7450</t>
  </si>
  <si>
    <t>Будівництво на кладовищі надгробків на могилах загиблих учасників АТО/ООС</t>
  </si>
  <si>
    <t>1117300</t>
  </si>
  <si>
    <t>1117320</t>
  </si>
  <si>
    <t>1117325</t>
  </si>
  <si>
    <t xml:space="preserve">Виготовлення проєктно-кошторисної документації на реконструкцію спортивних об’єктів на території Хмельницької дитячо-юнацької спортивної школи №4 по вул. Паркова, 4 у м. Хмельницький </t>
  </si>
  <si>
    <t>0617321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</si>
  <si>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освітніх установ та закладів</t>
    </r>
  </si>
  <si>
    <t>Нове будівництво зовнішніх мереж водопостачання в с. Копистин Хмельницького району Хмельницької області</t>
  </si>
  <si>
    <t>Реконструкція скидного колектора та розчистка річки Плоскої з метою здійснення заходів щодо відновлення і підтримання сприятливого гідрологічного режиму та санітарного стану річки в м. Хмельницький</t>
  </si>
  <si>
    <t>Внески до статутного капіталу ХКП "Спецкомунтранс" (Придбання насоса каналізаційного)</t>
  </si>
  <si>
    <t>Внески до статутного капіталу ХКП "Спецкомунтранс" (Придбання системи відеоспостереження)</t>
  </si>
  <si>
    <t>Внески до статутного капіталу ХКП "Спецкомунтранс" (Розробка техніко-економічного обґрунтування будівництва комплексу переробки твердих побутових відходів (коригування))</t>
  </si>
  <si>
    <t>Внески до статутного капіталу ХКП "Міськсвітло" (Придбання мікроавтобуса)</t>
  </si>
  <si>
    <t>Внески до статутного капіталу МКП "Хмельницькводоканал" (Будівництво зовнішніх мереж водопостачання житлових будинків №24,24/3,24/4,24/6, по вул.Пилипчука, в м.Хмельницький)</t>
  </si>
  <si>
    <t>500,0 тис. грн - за рахунок ЦФ</t>
  </si>
  <si>
    <t>Внески до статутного капіталу ХКП "Спецкомунтранс"(Придбання змінного зовнішнього металевого пандуса)</t>
  </si>
  <si>
    <t>Внески до статутного капіталу ХКП "Спецкомунтранс"(Придбання насоса занурювального)</t>
  </si>
  <si>
    <t>Внески до статутного капіталу ХКП "Спецкомунтранс"(Придбання гусеничного сходового підйомника)</t>
  </si>
  <si>
    <t>Реставрація будівлі дитячої музичної школи № 1 ім. Миколи Мозгового по вул.Проскурівській,  18 в м.Хмельницькому</t>
  </si>
  <si>
    <t>Інші субвенції з місцевого бюджету (на нове будівництво зовнішніх мереж водопостачання в с. Копистин)</t>
  </si>
  <si>
    <t xml:space="preserve">Субвенція з місцевого бюджету на здійснення підтримки окремих закладів та заходів у системі охорони здоров"я за рахунок відповідної субвенції з державного бюджету </t>
  </si>
  <si>
    <t>0813200</t>
  </si>
  <si>
    <t>3200</t>
  </si>
  <si>
    <t>Забезпечення обробки інформації з нарахування та виплати допомог і компенсацій</t>
  </si>
  <si>
    <t>Внески до статутного капіталу МКП "Хмельницькводоканал" (Будівництво мереж водовідведення вул.Д.Нечая, вул.Блакитної, пров. Молодіжного в м.Хмельницькому (коригування))</t>
  </si>
  <si>
    <t>РІЗНИЦЯ доходів  бюджету Хмельницької міської територіальної громади  на 2021 рік</t>
  </si>
  <si>
    <t>РІЗНИЦЯ</t>
  </si>
  <si>
    <t>Капітальний ремонт Майдану Незалежності (в т.ч. фонтанів) в м.Хмельницькому</t>
  </si>
  <si>
    <t xml:space="preserve">Керуючий справами </t>
  </si>
  <si>
    <t xml:space="preserve">Ю. САБІЙ </t>
  </si>
  <si>
    <t>Ю. САБІЙ</t>
  </si>
  <si>
    <t>Інші субвенції з місцевого бюджету (для забезпечення функціонування відділення боксу Хмельницької ДЮСШ №2 "Авангард" ФСТ "Україна" (на підготовку спортсменів, проведення спортивних змагань, навчально-тренувальних зборів, придбання спортивного інвентаря та обладнання))</t>
  </si>
  <si>
    <t>до рішення №  913  від 07.10 .2021 року</t>
  </si>
  <si>
    <t>до рішення № 913  від 07.10. 2021 р.</t>
  </si>
  <si>
    <t>від    07.10. 2021</t>
  </si>
  <si>
    <t>до рішення № 913</t>
  </si>
  <si>
    <t xml:space="preserve">до рішення  № 913    від 07.10. 2021 року </t>
  </si>
  <si>
    <t>Додаток 4
до рішення  № 913   від 07.10. 2021 року</t>
  </si>
  <si>
    <t xml:space="preserve">Додаток 6
до рішення №  913   від    07.10. 2021 року
</t>
  </si>
  <si>
    <t xml:space="preserve">до рішення  № 913   від 07.10.2021 року </t>
  </si>
  <si>
    <t>до рішення №  913</t>
  </si>
  <si>
    <t xml:space="preserve"> від 07.10.2021</t>
  </si>
  <si>
    <t>від  07.10.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</si>
</sst>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0.0"/>
    <numFmt numFmtId="166" formatCode="#,##0.00000"/>
    <numFmt numFmtId="167" formatCode="#,##0.0000"/>
    <numFmt numFmtId="168" formatCode="_-* #,##0.00_₴_-;\-* #,##0.00_₴_-;_-* &quot;-&quot;??_₴_-;_-@_-"/>
    <numFmt numFmtId="169" formatCode="_-* #,##0.00_₴_-;\-* #,##0.00_₴_-;_-* \-??_₴_-;_-@_-"/>
  </numFmts>
  <fonts count="180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11"/>
      <color indexed="19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sz val="37"/>
      <name val="Times New Roman"/>
      <family val="1"/>
      <charset val="204"/>
    </font>
    <font>
      <sz val="36"/>
      <name val="Arial Cyr"/>
      <charset val="204"/>
    </font>
    <font>
      <b/>
      <sz val="1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i/>
      <sz val="11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charset val="204"/>
    </font>
    <font>
      <i/>
      <sz val="10"/>
      <name val="Arial Cyr"/>
      <charset val="204"/>
    </font>
    <font>
      <sz val="11"/>
      <name val="Arial Cyr"/>
      <charset val="204"/>
    </font>
    <font>
      <b/>
      <sz val="36"/>
      <name val="Times New Roman Cyr"/>
      <family val="1"/>
      <charset val="204"/>
    </font>
    <font>
      <b/>
      <sz val="16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0"/>
      <name val="Times New Roman CYR"/>
      <charset val="204"/>
    </font>
    <font>
      <sz val="9"/>
      <name val="Times New Roman CYR"/>
      <charset val="204"/>
    </font>
    <font>
      <b/>
      <sz val="12.5"/>
      <name val="Times New Roman"/>
      <family val="1"/>
      <charset val="204"/>
    </font>
    <font>
      <sz val="12"/>
      <name val="Arial Cyr"/>
      <charset val="204"/>
    </font>
    <font>
      <sz val="12.5"/>
      <name val="Times New Roman"/>
      <family val="1"/>
      <charset val="204"/>
    </font>
    <font>
      <b/>
      <i/>
      <sz val="12.5"/>
      <name val="Times New Roman"/>
      <family val="1"/>
      <charset val="204"/>
    </font>
    <font>
      <b/>
      <i/>
      <sz val="10"/>
      <name val="Arial"/>
      <family val="2"/>
      <charset val="204"/>
    </font>
    <font>
      <sz val="28"/>
      <name val="Arial Cyr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22"/>
      <name val="Times New Roman Cyr"/>
      <family val="1"/>
      <charset val="204"/>
    </font>
    <font>
      <b/>
      <sz val="48"/>
      <name val="Times New Roman Cyr"/>
      <family val="1"/>
      <charset val="204"/>
    </font>
    <font>
      <vertAlign val="superscript"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family val="2"/>
      <charset val="204"/>
    </font>
    <font>
      <sz val="36"/>
      <name val="Times New Roman Cyr"/>
      <family val="1"/>
      <charset val="204"/>
    </font>
    <font>
      <i/>
      <sz val="10"/>
      <name val="Times New Roman"/>
      <family val="1"/>
      <charset val="204"/>
    </font>
    <font>
      <sz val="50"/>
      <name val="Arial Cyr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i/>
      <sz val="11"/>
      <name val="Times New Roman Cyr"/>
      <family val="1"/>
      <charset val="204"/>
    </font>
    <font>
      <sz val="22"/>
      <name val="Times New Roman"/>
      <family val="1"/>
      <charset val="204"/>
    </font>
    <font>
      <sz val="36"/>
      <color indexed="8"/>
      <name val="Times New Roman"/>
      <family val="1"/>
      <charset val="204"/>
    </font>
    <font>
      <sz val="72"/>
      <name val="Arial Cyr"/>
      <charset val="204"/>
    </font>
    <font>
      <sz val="11"/>
      <color theme="1"/>
      <name val="Calibri"/>
      <family val="2"/>
      <scheme val="minor"/>
    </font>
    <font>
      <sz val="9"/>
      <name val="Arial Cyr"/>
      <charset val="204"/>
    </font>
    <font>
      <u/>
      <sz val="9"/>
      <color indexed="8"/>
      <name val="Times New Roman"/>
      <family val="1"/>
      <charset val="204"/>
    </font>
    <font>
      <u/>
      <sz val="9"/>
      <name val="Arial Cyr"/>
      <charset val="204"/>
    </font>
    <font>
      <u/>
      <sz val="36"/>
      <color indexed="8"/>
      <name val="Times New Roman"/>
      <family val="1"/>
      <charset val="204"/>
    </font>
    <font>
      <u/>
      <sz val="36"/>
      <name val="Arial Cyr"/>
      <charset val="204"/>
    </font>
    <font>
      <u/>
      <sz val="10"/>
      <color indexed="8"/>
      <name val="Times New Roman"/>
      <family val="1"/>
      <charset val="204"/>
    </font>
    <font>
      <u/>
      <sz val="10"/>
      <name val="Arial Cyr"/>
      <charset val="204"/>
    </font>
    <font>
      <sz val="28"/>
      <name val="Times New Roman Cyr"/>
      <family val="1"/>
      <charset val="204"/>
    </font>
    <font>
      <b/>
      <sz val="36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i/>
      <sz val="36"/>
      <color rgb="FFFF0000"/>
      <name val="Times New Roman"/>
      <family val="1"/>
      <charset val="204"/>
    </font>
    <font>
      <sz val="36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.5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37"/>
      <color rgb="FFFF0000"/>
      <name val="Times New Roman"/>
      <family val="1"/>
      <charset val="204"/>
    </font>
    <font>
      <b/>
      <i/>
      <sz val="36"/>
      <name val="Times New Roman"/>
      <family val="1"/>
      <charset val="204"/>
    </font>
    <font>
      <b/>
      <sz val="10"/>
      <name val="Times New Roman CYR"/>
      <charset val="204"/>
    </font>
    <font>
      <b/>
      <sz val="10"/>
      <color rgb="FFFF0000"/>
      <name val="Times New Roman"/>
      <family val="1"/>
      <charset val="204"/>
    </font>
    <font>
      <i/>
      <sz val="36"/>
      <color rgb="FFFF0000"/>
      <name val="Arial Cyr"/>
      <charset val="204"/>
    </font>
    <font>
      <i/>
      <sz val="10"/>
      <color rgb="FFFF0000"/>
      <name val="Arial Cyr"/>
      <charset val="204"/>
    </font>
    <font>
      <sz val="36"/>
      <color rgb="FFFF0000"/>
      <name val="Arial Cyr"/>
      <charset val="204"/>
    </font>
    <font>
      <b/>
      <sz val="36"/>
      <color rgb="FFFF0000"/>
      <name val="Arial Cyr"/>
      <charset val="204"/>
    </font>
    <font>
      <sz val="48"/>
      <color rgb="FFFF0000"/>
      <name val="Arial Cyr"/>
      <charset val="204"/>
    </font>
    <font>
      <b/>
      <sz val="48"/>
      <color rgb="FFFF0000"/>
      <name val="Times New Roman Cyr"/>
      <family val="1"/>
      <charset val="204"/>
    </font>
    <font>
      <b/>
      <sz val="36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0"/>
      <color rgb="FFFF0000"/>
      <name val="Times New Roman CYR"/>
      <charset val="204"/>
    </font>
    <font>
      <b/>
      <sz val="14"/>
      <color rgb="FFFF0000"/>
      <name val="Times New Roman CYR"/>
      <charset val="204"/>
    </font>
    <font>
      <sz val="12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i/>
      <sz val="37"/>
      <color rgb="FFFF0000"/>
      <name val="Times New Roman"/>
      <family val="1"/>
      <charset val="204"/>
    </font>
    <font>
      <sz val="48"/>
      <color rgb="FFFF0000"/>
      <name val="Times New Roman"/>
      <family val="1"/>
      <charset val="204"/>
    </font>
    <font>
      <b/>
      <i/>
      <sz val="37"/>
      <color rgb="FFFF0000"/>
      <name val="Arial Cyr"/>
      <charset val="204"/>
    </font>
    <font>
      <sz val="28"/>
      <color rgb="FFFF0000"/>
      <name val="Arial Cyr"/>
      <charset val="204"/>
    </font>
    <font>
      <sz val="36"/>
      <color theme="1"/>
      <name val="Times New Roman"/>
      <family val="1"/>
      <charset val="204"/>
    </font>
    <font>
      <b/>
      <i/>
      <sz val="37"/>
      <name val="Times New Roman"/>
      <family val="1"/>
      <charset val="204"/>
    </font>
    <font>
      <b/>
      <i/>
      <sz val="37"/>
      <name val="Arial Cyr"/>
      <charset val="204"/>
    </font>
    <font>
      <b/>
      <sz val="72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sz val="26"/>
      <name val="Times New Roman Cyr"/>
      <family val="1"/>
      <charset val="204"/>
    </font>
    <font>
      <sz val="22"/>
      <name val="Arial Cyr"/>
      <charset val="204"/>
    </font>
    <font>
      <sz val="36"/>
      <color rgb="FF000099"/>
      <name val="Times New Roman"/>
      <family val="1"/>
      <charset val="204"/>
    </font>
    <font>
      <sz val="10"/>
      <color rgb="FFFF0000"/>
      <name val="Times New Roman Cyr"/>
      <family val="1"/>
      <charset val="204"/>
    </font>
    <font>
      <sz val="10"/>
      <color rgb="FF000099"/>
      <name val="Arial Cyr"/>
      <charset val="204"/>
    </font>
    <font>
      <sz val="48"/>
      <name val="Times New Roman Cyr"/>
      <family val="1"/>
      <charset val="204"/>
    </font>
    <font>
      <sz val="37"/>
      <color theme="1"/>
      <name val="Times New Roman"/>
      <family val="1"/>
      <charset val="204"/>
    </font>
    <font>
      <b/>
      <i/>
      <sz val="36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36"/>
      <color theme="1"/>
      <name val="Arial Cyr"/>
      <charset val="204"/>
    </font>
    <font>
      <b/>
      <vertAlign val="superscript"/>
      <sz val="36"/>
      <name val="Times New Roman"/>
      <family val="1"/>
      <charset val="204"/>
    </font>
    <font>
      <i/>
      <sz val="36"/>
      <name val="Times New Roman"/>
      <family val="1"/>
      <charset val="204"/>
    </font>
    <font>
      <i/>
      <sz val="37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0"/>
      <name val="Arial Cyr"/>
      <charset val="204"/>
    </font>
    <font>
      <i/>
      <sz val="36"/>
      <color theme="1"/>
      <name val="Times New Roman"/>
      <family val="1"/>
      <charset val="204"/>
    </font>
    <font>
      <b/>
      <i/>
      <sz val="10"/>
      <color rgb="FFFF0000"/>
      <name val="Arial Cyr"/>
      <charset val="204"/>
    </font>
    <font>
      <b/>
      <i/>
      <sz val="36"/>
      <color rgb="FFFF0000"/>
      <name val="Arial Cyr"/>
      <charset val="204"/>
    </font>
    <font>
      <b/>
      <vertAlign val="superscript"/>
      <sz val="11"/>
      <name val="Times New Roman"/>
      <family val="1"/>
      <charset val="204"/>
    </font>
    <font>
      <i/>
      <sz val="36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i/>
      <sz val="37"/>
      <color theme="1"/>
      <name val="Times New Roman"/>
      <family val="1"/>
      <charset val="204"/>
    </font>
    <font>
      <b/>
      <i/>
      <vertAlign val="superscript"/>
      <sz val="36"/>
      <name val="Times New Roman"/>
      <family val="1"/>
      <charset val="204"/>
    </font>
    <font>
      <sz val="35"/>
      <name val="Times New Roman"/>
      <family val="1"/>
      <charset val="204"/>
    </font>
    <font>
      <sz val="34"/>
      <name val="Times New Roman"/>
      <family val="1"/>
      <charset val="204"/>
    </font>
    <font>
      <u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36"/>
      <color rgb="FF000000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4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.5"/>
      <color rgb="FF000000"/>
      <name val="Times New Roman"/>
      <family val="1"/>
      <charset val="204"/>
    </font>
    <font>
      <sz val="12.5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8"/>
      <color indexed="62"/>
      <name val="Cambria"/>
      <family val="2"/>
      <charset val="204"/>
    </font>
    <font>
      <b/>
      <sz val="36"/>
      <color rgb="FF000099"/>
      <name val="Times New Roman"/>
      <family val="1"/>
      <charset val="204"/>
    </font>
    <font>
      <b/>
      <sz val="10"/>
      <color rgb="FF000099"/>
      <name val="Arial Cyr"/>
      <charset val="204"/>
    </font>
    <font>
      <i/>
      <sz val="10"/>
      <color indexed="8"/>
      <name val="Times New Roman"/>
      <family val="1"/>
      <charset val="204"/>
    </font>
    <font>
      <sz val="36"/>
      <color rgb="FF66FF99"/>
      <name val="Times New Roman Cyr"/>
      <family val="1"/>
      <charset val="204"/>
    </font>
    <font>
      <b/>
      <sz val="28"/>
      <name val="Arial Cyr"/>
      <charset val="204"/>
    </font>
  </fonts>
  <fills count="4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9" tint="0.80001220740379042"/>
        </stop>
      </gradientFill>
    </fill>
    <fill>
      <gradientFill type="path" left="0.5" right="0.5" top="0.5" bottom="0.5">
        <stop position="0">
          <color theme="0"/>
        </stop>
        <stop position="1">
          <color rgb="FFCCFFCC"/>
        </stop>
      </gradientFill>
    </fill>
    <fill>
      <gradientFill degree="90">
        <stop position="0">
          <color theme="0"/>
        </stop>
        <stop position="1">
          <color rgb="FFCC99FF"/>
        </stop>
      </gradientFill>
    </fill>
    <fill>
      <gradientFill type="path" left="0.5" right="0.5" top="0.5" bottom="0.5">
        <stop position="0">
          <color theme="0"/>
        </stop>
        <stop position="1">
          <color theme="9" tint="0.59999389629810485"/>
        </stop>
      </gradient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gradientFill degree="270">
        <stop position="0">
          <color theme="0"/>
        </stop>
        <stop position="1">
          <color rgb="FFFFFFCC"/>
        </stop>
      </gradientFill>
    </fill>
    <fill>
      <gradientFill degree="90">
        <stop position="0">
          <color theme="0"/>
        </stop>
        <stop position="1">
          <color rgb="FFCFAFE7"/>
        </stop>
      </gradientFill>
    </fill>
    <fill>
      <patternFill patternType="solid">
        <fgColor rgb="FF66FF99"/>
        <bgColor indexed="64"/>
      </patternFill>
    </fill>
    <fill>
      <gradientFill degree="270">
        <stop position="0">
          <color theme="0"/>
        </stop>
        <stop position="1">
          <color rgb="FFFFFF99"/>
        </stop>
      </gradientFill>
    </fill>
    <fill>
      <patternFill patternType="solid">
        <fgColor rgb="FFA86ED4"/>
        <bgColor indexed="64"/>
      </patternFill>
    </fill>
    <fill>
      <patternFill patternType="solid">
        <fgColor theme="9" tint="0.59996337778862885"/>
        <bgColor indexed="64"/>
      </patternFill>
    </fill>
    <fill>
      <gradientFill degree="270">
        <stop position="0">
          <color theme="0"/>
        </stop>
        <stop position="1">
          <color theme="9" tint="0.40000610370189521"/>
        </stop>
      </gradientFill>
    </fill>
    <fill>
      <gradientFill degree="270">
        <stop position="0">
          <color theme="0"/>
        </stop>
        <stop position="1">
          <color theme="9" tint="0.59999389629810485"/>
        </stop>
      </gradient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indexed="64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</borders>
  <cellStyleXfs count="190">
    <xf numFmtId="0" fontId="0" fillId="0" borderId="0"/>
    <xf numFmtId="0" fontId="9" fillId="0" borderId="0"/>
    <xf numFmtId="0" fontId="22" fillId="2" borderId="1" applyNumberFormat="0" applyAlignment="0" applyProtection="0"/>
    <xf numFmtId="0" fontId="30" fillId="3" borderId="0" applyNumberFormat="0" applyBorder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9" fillId="0" borderId="0"/>
    <xf numFmtId="0" fontId="49" fillId="0" borderId="0"/>
    <xf numFmtId="0" fontId="32" fillId="0" borderId="0"/>
    <xf numFmtId="0" fontId="9" fillId="0" borderId="0"/>
    <xf numFmtId="0" fontId="49" fillId="0" borderId="0"/>
    <xf numFmtId="0" fontId="9" fillId="0" borderId="0"/>
    <xf numFmtId="0" fontId="4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7" fillId="0" borderId="0">
      <alignment vertical="top"/>
    </xf>
    <xf numFmtId="0" fontId="26" fillId="5" borderId="5" applyNumberFormat="0" applyAlignment="0" applyProtection="0"/>
    <xf numFmtId="0" fontId="27" fillId="0" borderId="0" applyNumberFormat="0" applyFill="0" applyBorder="0" applyAlignment="0" applyProtection="0"/>
    <xf numFmtId="0" fontId="9" fillId="0" borderId="0"/>
    <xf numFmtId="0" fontId="49" fillId="0" borderId="0"/>
    <xf numFmtId="0" fontId="11" fillId="0" borderId="0"/>
    <xf numFmtId="0" fontId="57" fillId="0" borderId="0" applyNumberFormat="0" applyFont="0" applyFill="0" applyBorder="0" applyAlignment="0" applyProtection="0">
      <alignment vertical="top"/>
    </xf>
    <xf numFmtId="0" fontId="31" fillId="0" borderId="0"/>
    <xf numFmtId="0" fontId="10" fillId="0" borderId="0" applyNumberFormat="0" applyFont="0" applyFill="0" applyBorder="0" applyAlignment="0" applyProtection="0">
      <alignment vertical="top"/>
    </xf>
    <xf numFmtId="0" fontId="11" fillId="0" borderId="0"/>
    <xf numFmtId="0" fontId="31" fillId="0" borderId="0"/>
    <xf numFmtId="0" fontId="28" fillId="0" borderId="6" applyNumberFormat="0" applyFill="0" applyAlignment="0" applyProtection="0"/>
    <xf numFmtId="0" fontId="33" fillId="4" borderId="0" applyNumberFormat="0" applyBorder="0" applyAlignment="0" applyProtection="0"/>
    <xf numFmtId="0" fontId="31" fillId="0" borderId="0"/>
    <xf numFmtId="0" fontId="29" fillId="0" borderId="0" applyNumberFormat="0" applyFill="0" applyBorder="0" applyAlignment="0" applyProtection="0"/>
    <xf numFmtId="0" fontId="9" fillId="0" borderId="0"/>
    <xf numFmtId="0" fontId="68" fillId="7" borderId="0" applyNumberFormat="0" applyBorder="0" applyAlignment="0" applyProtection="0"/>
    <xf numFmtId="0" fontId="68" fillId="8" borderId="0" applyNumberFormat="0" applyBorder="0" applyAlignment="0" applyProtection="0"/>
    <xf numFmtId="0" fontId="68" fillId="9" borderId="0" applyNumberFormat="0" applyBorder="0" applyAlignment="0" applyProtection="0"/>
    <xf numFmtId="0" fontId="68" fillId="10" borderId="0" applyNumberFormat="0" applyBorder="0" applyAlignment="0" applyProtection="0"/>
    <xf numFmtId="0" fontId="68" fillId="3" borderId="0" applyNumberFormat="0" applyBorder="0" applyAlignment="0" applyProtection="0"/>
    <xf numFmtId="0" fontId="68" fillId="2" borderId="0" applyNumberFormat="0" applyBorder="0" applyAlignment="0" applyProtection="0"/>
    <xf numFmtId="0" fontId="68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13" borderId="0" applyNumberFormat="0" applyBorder="0" applyAlignment="0" applyProtection="0"/>
    <xf numFmtId="0" fontId="68" fillId="10" borderId="0" applyNumberFormat="0" applyBorder="0" applyAlignment="0" applyProtection="0"/>
    <xf numFmtId="0" fontId="68" fillId="11" borderId="0" applyNumberFormat="0" applyBorder="0" applyAlignment="0" applyProtection="0"/>
    <xf numFmtId="0" fontId="68" fillId="14" borderId="0" applyNumberFormat="0" applyBorder="0" applyAlignment="0" applyProtection="0"/>
    <xf numFmtId="0" fontId="69" fillId="15" borderId="0" applyNumberFormat="0" applyBorder="0" applyAlignment="0" applyProtection="0"/>
    <xf numFmtId="0" fontId="69" fillId="12" borderId="0" applyNumberFormat="0" applyBorder="0" applyAlignment="0" applyProtection="0"/>
    <xf numFmtId="0" fontId="69" fillId="13" borderId="0" applyNumberFormat="0" applyBorder="0" applyAlignment="0" applyProtection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69" fillId="22" borderId="0" applyNumberFormat="0" applyBorder="0" applyAlignment="0" applyProtection="0"/>
    <xf numFmtId="0" fontId="22" fillId="2" borderId="1" applyNumberFormat="0" applyAlignment="0" applyProtection="0"/>
    <xf numFmtId="0" fontId="70" fillId="23" borderId="13" applyNumberFormat="0" applyAlignment="0" applyProtection="0"/>
    <xf numFmtId="0" fontId="71" fillId="23" borderId="1" applyNumberForma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72" fillId="0" borderId="14" applyNumberFormat="0" applyFill="0" applyAlignment="0" applyProtection="0"/>
    <xf numFmtId="0" fontId="26" fillId="5" borderId="5" applyNumberFormat="0" applyAlignment="0" applyProtection="0"/>
    <xf numFmtId="0" fontId="27" fillId="0" borderId="0" applyNumberFormat="0" applyFill="0" applyBorder="0" applyAlignment="0" applyProtection="0"/>
    <xf numFmtId="0" fontId="73" fillId="4" borderId="0" applyNumberFormat="0" applyBorder="0" applyAlignment="0" applyProtection="0"/>
    <xf numFmtId="0" fontId="74" fillId="8" borderId="0" applyNumberFormat="0" applyBorder="0" applyAlignment="0" applyProtection="0"/>
    <xf numFmtId="0" fontId="75" fillId="0" borderId="0" applyNumberFormat="0" applyFill="0" applyBorder="0" applyAlignment="0" applyProtection="0"/>
    <xf numFmtId="0" fontId="68" fillId="24" borderId="15" applyNumberFormat="0" applyFont="0" applyAlignment="0" applyProtection="0"/>
    <xf numFmtId="0" fontId="28" fillId="0" borderId="6" applyNumberFormat="0" applyFill="0" applyAlignment="0" applyProtection="0"/>
    <xf numFmtId="0" fontId="29" fillId="0" borderId="0" applyNumberFormat="0" applyFill="0" applyBorder="0" applyAlignment="0" applyProtection="0"/>
    <xf numFmtId="0" fontId="30" fillId="9" borderId="0" applyNumberFormat="0" applyBorder="0" applyAlignment="0" applyProtection="0"/>
    <xf numFmtId="0" fontId="84" fillId="0" borderId="0"/>
    <xf numFmtId="0" fontId="9" fillId="0" borderId="0"/>
    <xf numFmtId="0" fontId="8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4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8" fillId="0" borderId="0"/>
    <xf numFmtId="0" fontId="22" fillId="4" borderId="1" applyNumberFormat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29" fillId="0" borderId="28" applyNumberFormat="0" applyFill="0" applyAlignment="0" applyProtection="0"/>
    <xf numFmtId="0" fontId="174" fillId="0" borderId="0" applyNumberFormat="0" applyFill="0" applyBorder="0" applyAlignment="0" applyProtection="0"/>
    <xf numFmtId="0" fontId="47" fillId="0" borderId="0"/>
    <xf numFmtId="0" fontId="68" fillId="0" borderId="0"/>
    <xf numFmtId="0" fontId="94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84" fillId="0" borderId="0"/>
    <xf numFmtId="0" fontId="57" fillId="0" borderId="0"/>
    <xf numFmtId="0" fontId="84" fillId="0" borderId="0"/>
    <xf numFmtId="0" fontId="11" fillId="0" borderId="0"/>
    <xf numFmtId="0" fontId="15" fillId="0" borderId="0"/>
    <xf numFmtId="0" fontId="57" fillId="0" borderId="0"/>
    <xf numFmtId="0" fontId="68" fillId="0" borderId="0"/>
    <xf numFmtId="0" fontId="68" fillId="0" borderId="0"/>
    <xf numFmtId="0" fontId="15" fillId="0" borderId="0"/>
    <xf numFmtId="0" fontId="15" fillId="0" borderId="0"/>
    <xf numFmtId="0" fontId="68" fillId="0" borderId="0"/>
    <xf numFmtId="0" fontId="9" fillId="0" borderId="0"/>
    <xf numFmtId="0" fontId="1" fillId="0" borderId="0"/>
    <xf numFmtId="0" fontId="1" fillId="0" borderId="0"/>
    <xf numFmtId="0" fontId="84" fillId="0" borderId="0"/>
    <xf numFmtId="0" fontId="173" fillId="0" borderId="0"/>
    <xf numFmtId="168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7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84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2" borderId="1" applyNumberFormat="0" applyAlignment="0" applyProtection="0"/>
    <xf numFmtId="0" fontId="1" fillId="0" borderId="0"/>
    <xf numFmtId="0" fontId="1" fillId="0" borderId="0"/>
    <xf numFmtId="0" fontId="28" fillId="0" borderId="6" applyNumberFormat="0" applyFill="0" applyAlignment="0" applyProtection="0"/>
    <xf numFmtId="0" fontId="26" fillId="5" borderId="5" applyNumberFormat="0" applyAlignment="0" applyProtection="0"/>
    <xf numFmtId="0" fontId="27" fillId="0" borderId="0" applyNumberFormat="0" applyFill="0" applyBorder="0" applyAlignment="0" applyProtection="0"/>
    <xf numFmtId="0" fontId="173" fillId="0" borderId="0"/>
    <xf numFmtId="0" fontId="9" fillId="0" borderId="0"/>
    <xf numFmtId="0" fontId="11" fillId="0" borderId="0"/>
    <xf numFmtId="0" fontId="29" fillId="0" borderId="0" applyNumberFormat="0" applyFill="0" applyBorder="0" applyAlignment="0" applyProtection="0"/>
  </cellStyleXfs>
  <cellXfs count="1229">
    <xf numFmtId="0" fontId="0" fillId="0" borderId="0" xfId="0"/>
    <xf numFmtId="0" fontId="12" fillId="0" borderId="0" xfId="0" applyFont="1" applyAlignment="1">
      <alignment vertical="center"/>
    </xf>
    <xf numFmtId="0" fontId="14" fillId="0" borderId="0" xfId="0" applyFont="1"/>
    <xf numFmtId="4" fontId="12" fillId="0" borderId="0" xfId="0" applyNumberFormat="1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42" fillId="0" borderId="0" xfId="0" applyFont="1" applyAlignment="1">
      <alignment horizontal="right" vertical="center"/>
    </xf>
    <xf numFmtId="0" fontId="15" fillId="0" borderId="0" xfId="35" applyFont="1"/>
    <xf numFmtId="0" fontId="11" fillId="0" borderId="0" xfId="35"/>
    <xf numFmtId="4" fontId="53" fillId="0" borderId="0" xfId="0" applyNumberFormat="1" applyFont="1" applyAlignment="1">
      <alignment vertical="center"/>
    </xf>
    <xf numFmtId="0" fontId="53" fillId="0" borderId="0" xfId="0" applyFont="1" applyAlignment="1">
      <alignment vertical="center"/>
    </xf>
    <xf numFmtId="0" fontId="11" fillId="0" borderId="0" xfId="39"/>
    <xf numFmtId="0" fontId="34" fillId="0" borderId="0" xfId="39" applyFont="1" applyAlignment="1">
      <alignment horizontal="center" vertical="center"/>
    </xf>
    <xf numFmtId="0" fontId="11" fillId="0" borderId="0" xfId="39" applyAlignment="1">
      <alignment vertical="center" wrapText="1"/>
    </xf>
    <xf numFmtId="0" fontId="34" fillId="0" borderId="0" xfId="39" applyFont="1" applyAlignment="1">
      <alignment wrapText="1"/>
    </xf>
    <xf numFmtId="0" fontId="35" fillId="0" borderId="0" xfId="39" applyFont="1" applyAlignment="1">
      <alignment wrapText="1"/>
    </xf>
    <xf numFmtId="0" fontId="55" fillId="0" borderId="0" xfId="39" applyFont="1" applyAlignment="1">
      <alignment wrapText="1"/>
    </xf>
    <xf numFmtId="0" fontId="11" fillId="0" borderId="0" xfId="39" applyAlignment="1">
      <alignment wrapText="1"/>
    </xf>
    <xf numFmtId="0" fontId="16" fillId="0" borderId="0" xfId="39" applyFont="1"/>
    <xf numFmtId="0" fontId="21" fillId="0" borderId="0" xfId="0" applyFont="1"/>
    <xf numFmtId="0" fontId="59" fillId="0" borderId="0" xfId="35" applyFont="1"/>
    <xf numFmtId="0" fontId="17" fillId="0" borderId="0" xfId="35" applyFont="1" applyAlignment="1">
      <alignment horizontal="center" vertical="center" wrapText="1"/>
    </xf>
    <xf numFmtId="0" fontId="20" fillId="0" borderId="0" xfId="35" applyFont="1" applyAlignment="1">
      <alignment horizontal="center" vertical="center" wrapText="1"/>
    </xf>
    <xf numFmtId="0" fontId="17" fillId="0" borderId="0" xfId="35" applyFont="1" applyAlignment="1">
      <alignment horizontal="center"/>
    </xf>
    <xf numFmtId="0" fontId="59" fillId="0" borderId="0" xfId="35" applyFont="1" applyAlignment="1">
      <alignment horizontal="center"/>
    </xf>
    <xf numFmtId="0" fontId="20" fillId="0" borderId="0" xfId="35" applyFont="1" applyAlignment="1">
      <alignment horizontal="right"/>
    </xf>
    <xf numFmtId="0" fontId="59" fillId="0" borderId="11" xfId="35" applyFont="1" applyBorder="1"/>
    <xf numFmtId="0" fontId="59" fillId="0" borderId="12" xfId="35" applyFont="1" applyBorder="1"/>
    <xf numFmtId="0" fontId="55" fillId="0" borderId="0" xfId="35" applyFont="1"/>
    <xf numFmtId="0" fontId="60" fillId="0" borderId="0" xfId="35" applyFont="1"/>
    <xf numFmtId="0" fontId="57" fillId="0" borderId="0" xfId="36">
      <alignment vertical="top"/>
    </xf>
    <xf numFmtId="0" fontId="16" fillId="0" borderId="0" xfId="36" applyFont="1" applyAlignment="1">
      <alignment horizontal="center" vertical="top"/>
    </xf>
    <xf numFmtId="2" fontId="57" fillId="0" borderId="0" xfId="36" applyNumberFormat="1" applyAlignment="1">
      <alignment horizontal="center" vertical="top"/>
    </xf>
    <xf numFmtId="0" fontId="63" fillId="0" borderId="0" xfId="36" applyFont="1" applyAlignment="1">
      <alignment horizontal="center" vertical="top" wrapText="1"/>
    </xf>
    <xf numFmtId="2" fontId="63" fillId="0" borderId="0" xfId="36" applyNumberFormat="1" applyFont="1" applyAlignment="1">
      <alignment horizontal="center" vertical="top" wrapText="1"/>
    </xf>
    <xf numFmtId="165" fontId="15" fillId="0" borderId="0" xfId="36" applyNumberFormat="1" applyFont="1" applyAlignment="1">
      <alignment horizontal="center" vertical="top"/>
    </xf>
    <xf numFmtId="0" fontId="65" fillId="0" borderId="0" xfId="38" applyFont="1" applyAlignment="1" applyProtection="1">
      <alignment horizontal="left" vertical="center" wrapText="1"/>
      <protection locked="0"/>
    </xf>
    <xf numFmtId="0" fontId="63" fillId="0" borderId="0" xfId="36" applyFont="1" applyAlignment="1">
      <alignment horizontal="left" vertical="top" wrapText="1"/>
    </xf>
    <xf numFmtId="4" fontId="77" fillId="0" borderId="0" xfId="0" applyNumberFormat="1" applyFont="1" applyAlignment="1">
      <alignment vertical="center"/>
    </xf>
    <xf numFmtId="0" fontId="51" fillId="0" borderId="0" xfId="0" applyFont="1"/>
    <xf numFmtId="0" fontId="11" fillId="0" borderId="0" xfId="0" applyFont="1"/>
    <xf numFmtId="0" fontId="15" fillId="0" borderId="0" xfId="0" applyFont="1"/>
    <xf numFmtId="2" fontId="15" fillId="0" borderId="0" xfId="36" applyNumberFormat="1" applyFont="1">
      <alignment vertical="top"/>
    </xf>
    <xf numFmtId="0" fontId="81" fillId="0" borderId="0" xfId="0" applyFont="1" applyAlignment="1">
      <alignment horizontal="center" vertical="center"/>
    </xf>
    <xf numFmtId="4" fontId="81" fillId="0" borderId="0" xfId="0" applyNumberFormat="1" applyFont="1" applyAlignment="1">
      <alignment horizontal="center" vertical="center"/>
    </xf>
    <xf numFmtId="4" fontId="85" fillId="0" borderId="0" xfId="0" applyNumberFormat="1" applyFont="1" applyAlignment="1">
      <alignment vertical="center"/>
    </xf>
    <xf numFmtId="4" fontId="14" fillId="0" borderId="0" xfId="0" applyNumberFormat="1" applyFont="1"/>
    <xf numFmtId="0" fontId="86" fillId="0" borderId="0" xfId="35" applyFont="1"/>
    <xf numFmtId="4" fontId="42" fillId="0" borderId="0" xfId="0" applyNumberFormat="1" applyFont="1" applyAlignment="1">
      <alignment horizontal="left" vertical="center"/>
    </xf>
    <xf numFmtId="0" fontId="48" fillId="0" borderId="0" xfId="39" applyFont="1" applyAlignment="1">
      <alignment wrapText="1"/>
    </xf>
    <xf numFmtId="0" fontId="87" fillId="0" borderId="0" xfId="0" applyFont="1"/>
    <xf numFmtId="0" fontId="44" fillId="0" borderId="0" xfId="0" applyFont="1"/>
    <xf numFmtId="0" fontId="34" fillId="0" borderId="0" xfId="35" applyFont="1" applyAlignment="1">
      <alignment horizontal="center" vertical="center" wrapText="1"/>
    </xf>
    <xf numFmtId="4" fontId="35" fillId="0" borderId="0" xfId="35" applyNumberFormat="1" applyFont="1" applyAlignment="1">
      <alignment horizontal="center" vertical="center"/>
    </xf>
    <xf numFmtId="0" fontId="88" fillId="0" borderId="0" xfId="0" applyFont="1" applyAlignment="1">
      <alignment vertical="center"/>
    </xf>
    <xf numFmtId="4" fontId="89" fillId="0" borderId="0" xfId="0" applyNumberFormat="1" applyFont="1" applyAlignment="1">
      <alignment vertical="center"/>
    </xf>
    <xf numFmtId="4" fontId="90" fillId="0" borderId="0" xfId="0" applyNumberFormat="1" applyFont="1" applyAlignment="1">
      <alignment vertical="center"/>
    </xf>
    <xf numFmtId="0" fontId="90" fillId="0" borderId="0" xfId="0" applyFont="1" applyAlignment="1">
      <alignment vertical="center"/>
    </xf>
    <xf numFmtId="4" fontId="88" fillId="0" borderId="0" xfId="0" applyNumberFormat="1" applyFont="1" applyAlignment="1">
      <alignment vertical="center"/>
    </xf>
    <xf numFmtId="0" fontId="89" fillId="0" borderId="0" xfId="0" applyFont="1" applyAlignment="1">
      <alignment vertical="center"/>
    </xf>
    <xf numFmtId="0" fontId="50" fillId="0" borderId="0" xfId="35" applyFont="1"/>
    <xf numFmtId="0" fontId="82" fillId="0" borderId="0" xfId="0" applyFont="1" applyAlignment="1">
      <alignment horizontal="center" vertical="center"/>
    </xf>
    <xf numFmtId="4" fontId="82" fillId="0" borderId="0" xfId="0" applyNumberFormat="1" applyFont="1" applyAlignment="1">
      <alignment horizontal="center" vertical="center"/>
    </xf>
    <xf numFmtId="4" fontId="82" fillId="0" borderId="0" xfId="0" applyNumberFormat="1" applyFont="1" applyAlignment="1">
      <alignment horizontal="left" vertical="center"/>
    </xf>
    <xf numFmtId="2" fontId="18" fillId="0" borderId="0" xfId="36" applyNumberFormat="1" applyFont="1">
      <alignment vertical="top"/>
    </xf>
    <xf numFmtId="0" fontId="18" fillId="0" borderId="0" xfId="36" applyFont="1">
      <alignment vertical="top"/>
    </xf>
    <xf numFmtId="0" fontId="15" fillId="0" borderId="0" xfId="39" applyFont="1"/>
    <xf numFmtId="0" fontId="40" fillId="0" borderId="0" xfId="0" applyFont="1" applyAlignment="1">
      <alignment horizontal="right"/>
    </xf>
    <xf numFmtId="0" fontId="85" fillId="0" borderId="0" xfId="0" applyFont="1" applyAlignment="1">
      <alignment vertical="center"/>
    </xf>
    <xf numFmtId="0" fontId="9" fillId="0" borderId="0" xfId="0" applyFont="1"/>
    <xf numFmtId="4" fontId="9" fillId="0" borderId="0" xfId="0" applyNumberFormat="1" applyFont="1"/>
    <xf numFmtId="0" fontId="93" fillId="0" borderId="0" xfId="0" applyFont="1"/>
    <xf numFmtId="0" fontId="93" fillId="0" borderId="0" xfId="36" applyFont="1">
      <alignment vertical="top"/>
    </xf>
    <xf numFmtId="0" fontId="93" fillId="0" borderId="0" xfId="35" applyFont="1"/>
    <xf numFmtId="0" fontId="44" fillId="0" borderId="0" xfId="36" applyFont="1">
      <alignment vertical="top"/>
    </xf>
    <xf numFmtId="0" fontId="44" fillId="0" borderId="0" xfId="35" applyFont="1"/>
    <xf numFmtId="0" fontId="57" fillId="0" borderId="0" xfId="36" applyAlignment="1">
      <alignment vertical="center"/>
    </xf>
    <xf numFmtId="0" fontId="15" fillId="0" borderId="0" xfId="36" applyFont="1" applyAlignment="1">
      <alignment horizontal="right" vertical="center"/>
    </xf>
    <xf numFmtId="4" fontId="41" fillId="30" borderId="7" xfId="36" applyNumberFormat="1" applyFont="1" applyFill="1" applyBorder="1" applyAlignment="1">
      <alignment horizontal="center" vertical="center" wrapText="1"/>
    </xf>
    <xf numFmtId="0" fontId="0" fillId="0" borderId="0" xfId="0" applyFont="1"/>
    <xf numFmtId="0" fontId="16" fillId="0" borderId="0" xfId="39" applyFont="1" applyAlignment="1">
      <alignment horizontal="center" vertical="center"/>
    </xf>
    <xf numFmtId="0" fontId="0" fillId="0" borderId="0" xfId="0" applyAlignment="1">
      <alignment vertical="center"/>
    </xf>
    <xf numFmtId="0" fontId="59" fillId="0" borderId="0" xfId="35" applyFont="1"/>
    <xf numFmtId="0" fontId="17" fillId="0" borderId="0" xfId="35" applyFont="1" applyAlignment="1">
      <alignment horizontal="center" vertical="center" wrapText="1"/>
    </xf>
    <xf numFmtId="0" fontId="61" fillId="0" borderId="0" xfId="36" applyFont="1" applyAlignment="1">
      <alignment horizontal="center" vertical="top"/>
    </xf>
    <xf numFmtId="0" fontId="0" fillId="0" borderId="0" xfId="0" applyAlignment="1">
      <alignment vertical="top"/>
    </xf>
    <xf numFmtId="0" fontId="57" fillId="0" borderId="0" xfId="36">
      <alignment vertical="top"/>
    </xf>
    <xf numFmtId="0" fontId="61" fillId="0" borderId="0" xfId="36" applyFont="1" applyAlignment="1">
      <alignment horizontal="center" vertical="center"/>
    </xf>
    <xf numFmtId="0" fontId="9" fillId="0" borderId="0" xfId="0" applyFont="1" applyAlignment="1">
      <alignment horizontal="left"/>
    </xf>
    <xf numFmtId="0" fontId="11" fillId="0" borderId="0" xfId="35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101" fillId="0" borderId="0" xfId="0" applyFont="1" applyBorder="1" applyAlignment="1">
      <alignment horizontal="center" vertical="center"/>
    </xf>
    <xf numFmtId="0" fontId="100" fillId="0" borderId="0" xfId="0" applyFont="1" applyBorder="1" applyAlignment="1">
      <alignment horizontal="center"/>
    </xf>
    <xf numFmtId="0" fontId="40" fillId="0" borderId="0" xfId="0" applyFont="1" applyBorder="1" applyAlignment="1">
      <alignment horizontal="center" vertical="top"/>
    </xf>
    <xf numFmtId="2" fontId="15" fillId="0" borderId="17" xfId="36" applyNumberFormat="1" applyFont="1" applyFill="1" applyBorder="1" applyAlignment="1">
      <alignment horizontal="center" vertical="center" wrapText="1"/>
    </xf>
    <xf numFmtId="4" fontId="15" fillId="0" borderId="17" xfId="36" applyNumberFormat="1" applyFont="1" applyFill="1" applyBorder="1" applyAlignment="1">
      <alignment horizontal="center" vertical="center"/>
    </xf>
    <xf numFmtId="4" fontId="64" fillId="0" borderId="17" xfId="36" applyNumberFormat="1" applyFont="1" applyFill="1" applyBorder="1" applyAlignment="1">
      <alignment horizontal="center" vertical="center" wrapText="1"/>
    </xf>
    <xf numFmtId="4" fontId="61" fillId="29" borderId="17" xfId="36" applyNumberFormat="1" applyFont="1" applyFill="1" applyBorder="1" applyAlignment="1">
      <alignment horizontal="center" vertical="center" wrapText="1"/>
    </xf>
    <xf numFmtId="0" fontId="61" fillId="29" borderId="17" xfId="0" applyFont="1" applyFill="1" applyBorder="1" applyAlignment="1">
      <alignment horizontal="center" vertical="center"/>
    </xf>
    <xf numFmtId="0" fontId="0" fillId="31" borderId="0" xfId="0" applyFill="1"/>
    <xf numFmtId="0" fontId="59" fillId="0" borderId="0" xfId="35" applyFont="1"/>
    <xf numFmtId="0" fontId="35" fillId="0" borderId="17" xfId="0" applyFont="1" applyBorder="1" applyAlignment="1">
      <alignment horizontal="center" vertical="center" wrapText="1"/>
    </xf>
    <xf numFmtId="4" fontId="41" fillId="30" borderId="0" xfId="36" applyNumberFormat="1" applyFont="1" applyFill="1" applyBorder="1" applyAlignment="1">
      <alignment horizontal="center" vertical="center" wrapText="1"/>
    </xf>
    <xf numFmtId="10" fontId="53" fillId="0" borderId="0" xfId="0" applyNumberFormat="1" applyFont="1" applyAlignment="1">
      <alignment vertical="center"/>
    </xf>
    <xf numFmtId="0" fontId="35" fillId="0" borderId="17" xfId="0" applyFont="1" applyBorder="1" applyAlignment="1">
      <alignment horizontal="center" vertical="top" wrapText="1"/>
    </xf>
    <xf numFmtId="0" fontId="35" fillId="0" borderId="17" xfId="35" applyFont="1" applyBorder="1" applyAlignment="1">
      <alignment horizontal="center" vertical="top" wrapText="1"/>
    </xf>
    <xf numFmtId="0" fontId="44" fillId="31" borderId="0" xfId="35" applyFont="1" applyFill="1" applyAlignment="1">
      <alignment horizontal="center" vertical="center"/>
    </xf>
    <xf numFmtId="0" fontId="11" fillId="0" borderId="0" xfId="35" applyFill="1"/>
    <xf numFmtId="2" fontId="15" fillId="0" borderId="17" xfId="36" applyNumberFormat="1" applyFont="1" applyFill="1" applyBorder="1" applyAlignment="1">
      <alignment horizontal="center" vertical="center" wrapText="1"/>
    </xf>
    <xf numFmtId="0" fontId="0" fillId="0" borderId="0" xfId="0"/>
    <xf numFmtId="0" fontId="40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35" fillId="0" borderId="0" xfId="0" applyFont="1" applyFill="1" applyBorder="1" applyAlignment="1">
      <alignment horizontal="center" vertical="center"/>
    </xf>
    <xf numFmtId="4" fontId="35" fillId="0" borderId="0" xfId="0" applyNumberFormat="1" applyFont="1" applyFill="1" applyBorder="1" applyAlignment="1">
      <alignment horizontal="center" vertical="center"/>
    </xf>
    <xf numFmtId="0" fontId="59" fillId="0" borderId="0" xfId="35" applyFont="1" applyFill="1"/>
    <xf numFmtId="0" fontId="61" fillId="0" borderId="0" xfId="0" applyFont="1" applyFill="1" applyBorder="1" applyAlignment="1">
      <alignment horizontal="center" vertical="center"/>
    </xf>
    <xf numFmtId="2" fontId="61" fillId="0" borderId="0" xfId="36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/>
    </xf>
    <xf numFmtId="4" fontId="61" fillId="0" borderId="0" xfId="36" applyNumberFormat="1" applyFont="1" applyFill="1" applyBorder="1" applyAlignment="1">
      <alignment horizontal="center" vertical="center" wrapText="1"/>
    </xf>
    <xf numFmtId="2" fontId="57" fillId="0" borderId="0" xfId="36" applyNumberFormat="1" applyFill="1" applyAlignment="1">
      <alignment horizontal="center" vertical="top"/>
    </xf>
    <xf numFmtId="0" fontId="34" fillId="0" borderId="0" xfId="35" applyFont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4" fontId="34" fillId="0" borderId="0" xfId="0" applyNumberFormat="1" applyFont="1" applyFill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4" fontId="41" fillId="0" borderId="0" xfId="0" applyNumberFormat="1" applyFont="1" applyAlignment="1">
      <alignment horizontal="left" vertical="center"/>
    </xf>
    <xf numFmtId="4" fontId="43" fillId="0" borderId="0" xfId="0" applyNumberFormat="1" applyFont="1" applyAlignment="1">
      <alignment horizontal="center" vertical="center" wrapText="1"/>
    </xf>
    <xf numFmtId="0" fontId="76" fillId="0" borderId="0" xfId="0" applyFont="1" applyAlignment="1">
      <alignment vertical="center"/>
    </xf>
    <xf numFmtId="2" fontId="91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right" vertical="center" wrapText="1"/>
    </xf>
    <xf numFmtId="164" fontId="12" fillId="0" borderId="0" xfId="0" applyNumberFormat="1" applyFont="1" applyAlignment="1">
      <alignment horizontal="right" vertical="center" wrapText="1"/>
    </xf>
    <xf numFmtId="166" fontId="53" fillId="0" borderId="0" xfId="0" applyNumberFormat="1" applyFont="1" applyAlignment="1">
      <alignment vertical="center"/>
    </xf>
    <xf numFmtId="0" fontId="41" fillId="0" borderId="0" xfId="0" applyFont="1" applyAlignment="1">
      <alignment horizontal="right" vertical="center"/>
    </xf>
    <xf numFmtId="0" fontId="0" fillId="0" borderId="0" xfId="0"/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78" fillId="0" borderId="0" xfId="0" applyFont="1" applyAlignment="1">
      <alignment horizontal="left" vertical="center"/>
    </xf>
    <xf numFmtId="0" fontId="80" fillId="0" borderId="0" xfId="0" applyFont="1" applyAlignment="1">
      <alignment horizontal="left" vertical="center"/>
    </xf>
    <xf numFmtId="4" fontId="102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4" fontId="34" fillId="0" borderId="0" xfId="0" applyNumberFormat="1" applyFont="1" applyAlignment="1">
      <alignment horizontal="center" vertical="center"/>
    </xf>
    <xf numFmtId="0" fontId="0" fillId="0" borderId="0" xfId="0"/>
    <xf numFmtId="0" fontId="78" fillId="0" borderId="0" xfId="0" applyFont="1" applyAlignment="1">
      <alignment horizontal="left" vertical="center"/>
    </xf>
    <xf numFmtId="0" fontId="80" fillId="0" borderId="0" xfId="0" applyFont="1" applyAlignment="1">
      <alignment horizontal="left" vertical="center"/>
    </xf>
    <xf numFmtId="0" fontId="42" fillId="0" borderId="0" xfId="39" applyFont="1"/>
    <xf numFmtId="0" fontId="34" fillId="0" borderId="0" xfId="39" applyFont="1"/>
    <xf numFmtId="0" fontId="52" fillId="0" borderId="0" xfId="0" applyFont="1"/>
    <xf numFmtId="0" fontId="34" fillId="0" borderId="0" xfId="39" applyFont="1" applyFill="1"/>
    <xf numFmtId="0" fontId="34" fillId="0" borderId="0" xfId="0" applyFont="1" applyFill="1" applyAlignment="1">
      <alignment horizontal="left" vertical="center"/>
    </xf>
    <xf numFmtId="0" fontId="63" fillId="0" borderId="0" xfId="35" applyFont="1" applyAlignment="1">
      <alignment horizontal="center" vertical="center"/>
    </xf>
    <xf numFmtId="0" fontId="63" fillId="0" borderId="0" xfId="35" applyFont="1" applyFill="1" applyAlignment="1">
      <alignment horizontal="center" vertical="center"/>
    </xf>
    <xf numFmtId="0" fontId="15" fillId="0" borderId="0" xfId="39" applyFont="1" applyFill="1"/>
    <xf numFmtId="0" fontId="35" fillId="33" borderId="0" xfId="39" applyFont="1" applyFill="1" applyAlignment="1">
      <alignment wrapText="1"/>
    </xf>
    <xf numFmtId="2" fontId="15" fillId="0" borderId="17" xfId="36" applyNumberFormat="1" applyFont="1" applyFill="1" applyBorder="1" applyAlignment="1">
      <alignment horizontal="center" vertical="center" wrapText="1"/>
    </xf>
    <xf numFmtId="4" fontId="106" fillId="32" borderId="17" xfId="38" applyNumberFormat="1" applyFont="1" applyFill="1" applyBorder="1" applyAlignment="1" applyProtection="1">
      <alignment horizontal="center" vertical="center" wrapText="1"/>
      <protection locked="0"/>
    </xf>
    <xf numFmtId="4" fontId="112" fillId="25" borderId="17" xfId="0" applyNumberFormat="1" applyFont="1" applyFill="1" applyBorder="1" applyAlignment="1">
      <alignment horizontal="center" vertical="center" wrapText="1"/>
    </xf>
    <xf numFmtId="49" fontId="107" fillId="25" borderId="17" xfId="0" applyNumberFormat="1" applyFont="1" applyFill="1" applyBorder="1" applyAlignment="1">
      <alignment horizontal="center" vertical="center" wrapText="1"/>
    </xf>
    <xf numFmtId="4" fontId="108" fillId="25" borderId="17" xfId="0" applyNumberFormat="1" applyFont="1" applyFill="1" applyBorder="1" applyAlignment="1">
      <alignment horizontal="center" vertical="center" wrapText="1"/>
    </xf>
    <xf numFmtId="0" fontId="0" fillId="0" borderId="0" xfId="0"/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vertical="center"/>
    </xf>
    <xf numFmtId="0" fontId="4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59" fillId="0" borderId="0" xfId="35" applyFont="1"/>
    <xf numFmtId="0" fontId="6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7" fillId="0" borderId="0" xfId="36">
      <alignment vertical="top"/>
    </xf>
    <xf numFmtId="0" fontId="41" fillId="0" borderId="0" xfId="0" applyFont="1" applyAlignment="1">
      <alignment horizontal="center" vertical="center"/>
    </xf>
    <xf numFmtId="4" fontId="107" fillId="0" borderId="17" xfId="0" applyNumberFormat="1" applyFont="1" applyBorder="1" applyAlignment="1">
      <alignment horizontal="center" vertical="center" wrapText="1"/>
    </xf>
    <xf numFmtId="0" fontId="0" fillId="0" borderId="0" xfId="0"/>
    <xf numFmtId="4" fontId="44" fillId="0" borderId="17" xfId="38" applyNumberFormat="1" applyFont="1" applyFill="1" applyBorder="1" applyAlignment="1" applyProtection="1">
      <alignment horizontal="center" vertical="center" wrapText="1"/>
      <protection locked="0"/>
    </xf>
    <xf numFmtId="164" fontId="42" fillId="0" borderId="17" xfId="30" applyNumberFormat="1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top" wrapText="1"/>
    </xf>
    <xf numFmtId="49" fontId="41" fillId="0" borderId="17" xfId="0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top" wrapText="1"/>
    </xf>
    <xf numFmtId="0" fontId="16" fillId="0" borderId="17" xfId="35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top"/>
    </xf>
    <xf numFmtId="2" fontId="61" fillId="0" borderId="17" xfId="36" applyNumberFormat="1" applyFont="1" applyBorder="1" applyAlignment="1">
      <alignment horizontal="center" vertical="center" wrapText="1"/>
    </xf>
    <xf numFmtId="0" fontId="114" fillId="0" borderId="17" xfId="35" applyFont="1" applyBorder="1" applyAlignment="1">
      <alignment horizontal="center" vertical="top" wrapText="1"/>
    </xf>
    <xf numFmtId="0" fontId="19" fillId="0" borderId="17" xfId="35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6" fillId="29" borderId="17" xfId="0" applyFont="1" applyFill="1" applyBorder="1" applyAlignment="1">
      <alignment horizontal="center" vertical="center"/>
    </xf>
    <xf numFmtId="2" fontId="16" fillId="29" borderId="17" xfId="36" applyNumberFormat="1" applyFont="1" applyFill="1" applyBorder="1" applyAlignment="1">
      <alignment horizontal="left" vertical="center" wrapText="1"/>
    </xf>
    <xf numFmtId="4" fontId="16" fillId="29" borderId="17" xfId="36" applyNumberFormat="1" applyFont="1" applyFill="1" applyBorder="1" applyAlignment="1">
      <alignment horizontal="center" vertical="center" wrapText="1"/>
    </xf>
    <xf numFmtId="0" fontId="0" fillId="0" borderId="0" xfId="0"/>
    <xf numFmtId="49" fontId="107" fillId="0" borderId="17" xfId="0" applyNumberFormat="1" applyFont="1" applyBorder="1" applyAlignment="1">
      <alignment horizontal="center" vertical="center" wrapText="1"/>
    </xf>
    <xf numFmtId="0" fontId="104" fillId="0" borderId="0" xfId="0" applyFont="1"/>
    <xf numFmtId="49" fontId="107" fillId="0" borderId="0" xfId="0" applyNumberFormat="1" applyFont="1" applyAlignment="1">
      <alignment horizontal="center" vertical="center" wrapText="1"/>
    </xf>
    <xf numFmtId="0" fontId="107" fillId="0" borderId="0" xfId="38" applyFont="1" applyFill="1" applyBorder="1" applyAlignment="1" applyProtection="1">
      <alignment horizontal="center" vertical="center" wrapText="1"/>
      <protection locked="0"/>
    </xf>
    <xf numFmtId="0" fontId="105" fillId="0" borderId="0" xfId="0" applyFont="1"/>
    <xf numFmtId="4" fontId="103" fillId="0" borderId="0" xfId="0" applyNumberFormat="1" applyFont="1" applyAlignment="1">
      <alignment horizontal="left" vertical="center"/>
    </xf>
    <xf numFmtId="0" fontId="115" fillId="0" borderId="0" xfId="0" applyFont="1"/>
    <xf numFmtId="4" fontId="116" fillId="0" borderId="0" xfId="0" applyNumberFormat="1" applyFont="1" applyAlignment="1">
      <alignment horizontal="center" vertical="center"/>
    </xf>
    <xf numFmtId="0" fontId="117" fillId="0" borderId="0" xfId="0" applyFont="1"/>
    <xf numFmtId="4" fontId="118" fillId="0" borderId="0" xfId="0" applyNumberFormat="1" applyFont="1"/>
    <xf numFmtId="4" fontId="119" fillId="0" borderId="0" xfId="0" applyNumberFormat="1" applyFont="1" applyAlignment="1">
      <alignment horizontal="left" vertical="center"/>
    </xf>
    <xf numFmtId="4" fontId="112" fillId="0" borderId="0" xfId="0" applyNumberFormat="1" applyFont="1" applyAlignment="1">
      <alignment horizontal="center" vertical="center" wrapText="1"/>
    </xf>
    <xf numFmtId="4" fontId="112" fillId="0" borderId="0" xfId="0" applyNumberFormat="1" applyFont="1" applyAlignment="1">
      <alignment horizontal="left" vertical="center" wrapText="1"/>
    </xf>
    <xf numFmtId="4" fontId="120" fillId="0" borderId="0" xfId="0" applyNumberFormat="1" applyFont="1" applyAlignment="1">
      <alignment vertical="center"/>
    </xf>
    <xf numFmtId="0" fontId="109" fillId="0" borderId="0" xfId="0" applyFont="1"/>
    <xf numFmtId="0" fontId="104" fillId="31" borderId="0" xfId="0" applyFont="1" applyFill="1"/>
    <xf numFmtId="4" fontId="121" fillId="0" borderId="0" xfId="0" applyNumberFormat="1" applyFont="1" applyAlignment="1">
      <alignment vertical="center"/>
    </xf>
    <xf numFmtId="4" fontId="107" fillId="0" borderId="0" xfId="0" applyNumberFormat="1" applyFont="1" applyAlignment="1">
      <alignment horizontal="center" vertical="center"/>
    </xf>
    <xf numFmtId="0" fontId="118" fillId="0" borderId="0" xfId="0" applyFont="1"/>
    <xf numFmtId="4" fontId="122" fillId="0" borderId="0" xfId="0" applyNumberFormat="1" applyFont="1" applyAlignment="1">
      <alignment horizontal="left" vertical="center"/>
    </xf>
    <xf numFmtId="0" fontId="125" fillId="0" borderId="0" xfId="35" applyFont="1"/>
    <xf numFmtId="0" fontId="126" fillId="0" borderId="0" xfId="35" applyFont="1" applyAlignment="1">
      <alignment horizontal="center" vertical="center"/>
    </xf>
    <xf numFmtId="0" fontId="125" fillId="0" borderId="0" xfId="35" applyFont="1" applyFill="1"/>
    <xf numFmtId="0" fontId="104" fillId="0" borderId="0" xfId="0" applyFont="1"/>
    <xf numFmtId="0" fontId="108" fillId="0" borderId="0" xfId="0" applyFont="1"/>
    <xf numFmtId="0" fontId="127" fillId="0" borderId="0" xfId="36" applyFont="1">
      <alignment vertical="top"/>
    </xf>
    <xf numFmtId="0" fontId="128" fillId="0" borderId="0" xfId="36" applyFont="1">
      <alignment vertical="top"/>
    </xf>
    <xf numFmtId="0" fontId="110" fillId="0" borderId="0" xfId="36" applyFont="1" applyAlignment="1">
      <alignment horizontal="center"/>
    </xf>
    <xf numFmtId="0" fontId="110" fillId="0" borderId="0" xfId="0" applyFont="1" applyAlignment="1">
      <alignment horizontal="center"/>
    </xf>
    <xf numFmtId="0" fontId="110" fillId="0" borderId="0" xfId="36" applyFont="1" applyAlignment="1">
      <alignment horizontal="center" vertical="top"/>
    </xf>
    <xf numFmtId="2" fontId="128" fillId="0" borderId="0" xfId="36" applyNumberFormat="1" applyFont="1" applyAlignment="1">
      <alignment horizontal="center" vertical="top"/>
    </xf>
    <xf numFmtId="2" fontId="129" fillId="0" borderId="0" xfId="36" applyNumberFormat="1" applyFont="1" applyFill="1" applyAlignment="1">
      <alignment horizontal="center" vertical="top"/>
    </xf>
    <xf numFmtId="0" fontId="111" fillId="0" borderId="0" xfId="39" applyFont="1" applyFill="1"/>
    <xf numFmtId="0" fontId="123" fillId="0" borderId="0" xfId="35" applyFont="1" applyFill="1" applyAlignment="1">
      <alignment horizontal="center" vertical="center"/>
    </xf>
    <xf numFmtId="0" fontId="108" fillId="0" borderId="0" xfId="36" applyFont="1">
      <alignment vertical="top"/>
    </xf>
    <xf numFmtId="4" fontId="130" fillId="27" borderId="16" xfId="0" applyNumberFormat="1" applyFont="1" applyFill="1" applyBorder="1" applyAlignment="1">
      <alignment horizontal="center" vertical="center" wrapText="1"/>
    </xf>
    <xf numFmtId="4" fontId="131" fillId="0" borderId="0" xfId="0" applyNumberFormat="1" applyFont="1" applyAlignment="1">
      <alignment horizontal="center" vertical="center" wrapText="1"/>
    </xf>
    <xf numFmtId="4" fontId="108" fillId="0" borderId="0" xfId="0" applyNumberFormat="1" applyFont="1" applyAlignment="1">
      <alignment horizontal="center" vertical="center" wrapText="1"/>
    </xf>
    <xf numFmtId="4" fontId="130" fillId="27" borderId="8" xfId="0" applyNumberFormat="1" applyFont="1" applyFill="1" applyBorder="1" applyAlignment="1">
      <alignment horizontal="center" vertical="center" wrapText="1"/>
    </xf>
    <xf numFmtId="0" fontId="132" fillId="0" borderId="0" xfId="0" applyFont="1" applyAlignment="1">
      <alignment horizontal="center" vertical="center"/>
    </xf>
    <xf numFmtId="4" fontId="112" fillId="26" borderId="0" xfId="0" applyNumberFormat="1" applyFont="1" applyFill="1" applyAlignment="1">
      <alignment horizontal="center" vertical="center" wrapText="1"/>
    </xf>
    <xf numFmtId="0" fontId="133" fillId="0" borderId="0" xfId="0" applyFont="1" applyAlignment="1">
      <alignment horizontal="center" vertical="center"/>
    </xf>
    <xf numFmtId="49" fontId="134" fillId="0" borderId="17" xfId="0" applyNumberFormat="1" applyFont="1" applyBorder="1" applyAlignment="1">
      <alignment horizontal="center" vertical="center" wrapText="1"/>
    </xf>
    <xf numFmtId="4" fontId="134" fillId="0" borderId="17" xfId="0" applyNumberFormat="1" applyFont="1" applyBorder="1" applyAlignment="1">
      <alignment horizontal="center" vertical="center" wrapText="1"/>
    </xf>
    <xf numFmtId="0" fontId="0" fillId="0" borderId="0" xfId="0"/>
    <xf numFmtId="0" fontId="104" fillId="0" borderId="0" xfId="0" applyFont="1"/>
    <xf numFmtId="4" fontId="135" fillId="27" borderId="16" xfId="0" applyNumberFormat="1" applyFont="1" applyFill="1" applyBorder="1" applyAlignment="1">
      <alignment horizontal="center" vertical="center" wrapText="1"/>
    </xf>
    <xf numFmtId="4" fontId="135" fillId="27" borderId="8" xfId="0" applyNumberFormat="1" applyFont="1" applyFill="1" applyBorder="1" applyAlignment="1">
      <alignment horizontal="center" vertical="center" wrapText="1"/>
    </xf>
    <xf numFmtId="0" fontId="136" fillId="0" borderId="0" xfId="0" applyFont="1" applyAlignment="1">
      <alignment horizontal="center" vertical="center"/>
    </xf>
    <xf numFmtId="0" fontId="11" fillId="0" borderId="0" xfId="35" applyFont="1"/>
    <xf numFmtId="4" fontId="66" fillId="0" borderId="0" xfId="0" applyNumberFormat="1" applyFont="1"/>
    <xf numFmtId="0" fontId="0" fillId="0" borderId="0" xfId="0"/>
    <xf numFmtId="4" fontId="43" fillId="0" borderId="0" xfId="0" applyNumberFormat="1" applyFont="1" applyAlignment="1">
      <alignment horizontal="left" vertical="center" wrapText="1"/>
    </xf>
    <xf numFmtId="0" fontId="0" fillId="0" borderId="0" xfId="0"/>
    <xf numFmtId="0" fontId="104" fillId="0" borderId="0" xfId="0" applyFont="1"/>
    <xf numFmtId="0" fontId="0" fillId="0" borderId="0" xfId="0"/>
    <xf numFmtId="0" fontId="104" fillId="0" borderId="0" xfId="0" applyFont="1"/>
    <xf numFmtId="0" fontId="11" fillId="28" borderId="0" xfId="35" applyFont="1" applyFill="1"/>
    <xf numFmtId="4" fontId="106" fillId="32" borderId="0" xfId="38" applyNumberFormat="1" applyFont="1" applyFill="1" applyBorder="1" applyAlignment="1" applyProtection="1">
      <alignment horizontal="center" vertical="center" wrapText="1"/>
      <protection locked="0"/>
    </xf>
    <xf numFmtId="0" fontId="42" fillId="0" borderId="17" xfId="0" applyFont="1" applyBorder="1" applyAlignment="1">
      <alignment horizontal="center" vertical="top" wrapText="1"/>
    </xf>
    <xf numFmtId="0" fontId="41" fillId="29" borderId="17" xfId="0" applyFont="1" applyFill="1" applyBorder="1" applyAlignment="1">
      <alignment horizontal="center" vertical="center"/>
    </xf>
    <xf numFmtId="0" fontId="41" fillId="29" borderId="17" xfId="0" applyFont="1" applyFill="1" applyBorder="1" applyAlignment="1">
      <alignment horizontal="left" vertical="center"/>
    </xf>
    <xf numFmtId="4" fontId="41" fillId="29" borderId="17" xfId="0" applyNumberFormat="1" applyFont="1" applyFill="1" applyBorder="1" applyAlignment="1">
      <alignment horizontal="center" vertical="center"/>
    </xf>
    <xf numFmtId="4" fontId="35" fillId="29" borderId="17" xfId="0" applyNumberFormat="1" applyFont="1" applyFill="1" applyBorder="1" applyAlignment="1">
      <alignment horizontal="center" vertical="center"/>
    </xf>
    <xf numFmtId="49" fontId="34" fillId="0" borderId="17" xfId="35" applyNumberFormat="1" applyFont="1" applyFill="1" applyBorder="1" applyAlignment="1">
      <alignment horizontal="center" vertical="center" wrapText="1"/>
    </xf>
    <xf numFmtId="0" fontId="34" fillId="0" borderId="17" xfId="35" applyFont="1" applyFill="1" applyBorder="1" applyAlignment="1">
      <alignment horizontal="center" vertical="center" wrapText="1"/>
    </xf>
    <xf numFmtId="4" fontId="34" fillId="0" borderId="17" xfId="35" applyNumberFormat="1" applyFont="1" applyFill="1" applyBorder="1" applyAlignment="1">
      <alignment horizontal="center" vertical="center"/>
    </xf>
    <xf numFmtId="0" fontId="35" fillId="29" borderId="17" xfId="0" applyFont="1" applyFill="1" applyBorder="1" applyAlignment="1">
      <alignment horizontal="center" vertical="center"/>
    </xf>
    <xf numFmtId="0" fontId="35" fillId="29" borderId="17" xfId="0" applyFont="1" applyFill="1" applyBorder="1" applyAlignment="1">
      <alignment horizontal="left" vertical="center"/>
    </xf>
    <xf numFmtId="0" fontId="0" fillId="0" borderId="0" xfId="0"/>
    <xf numFmtId="0" fontId="104" fillId="0" borderId="0" xfId="0" applyFont="1"/>
    <xf numFmtId="4" fontId="138" fillId="0" borderId="0" xfId="0" applyNumberFormat="1" applyFont="1" applyAlignment="1">
      <alignment horizontal="center" vertical="center" wrapText="1"/>
    </xf>
    <xf numFmtId="4" fontId="43" fillId="31" borderId="0" xfId="0" applyNumberFormat="1" applyFont="1" applyFill="1" applyAlignment="1">
      <alignment horizontal="center" vertical="center" wrapText="1"/>
    </xf>
    <xf numFmtId="4" fontId="35" fillId="29" borderId="17" xfId="0" applyNumberFormat="1" applyFont="1" applyFill="1" applyBorder="1" applyAlignment="1">
      <alignment horizontal="left" vertical="center"/>
    </xf>
    <xf numFmtId="0" fontId="54" fillId="0" borderId="0" xfId="35" applyFont="1" applyAlignment="1">
      <alignment horizontal="left" vertical="center"/>
    </xf>
    <xf numFmtId="0" fontId="137" fillId="0" borderId="0" xfId="0" applyFont="1"/>
    <xf numFmtId="4" fontId="16" fillId="25" borderId="10" xfId="0" applyNumberFormat="1" applyFont="1" applyFill="1" applyBorder="1" applyAlignment="1">
      <alignment horizontal="center" vertical="center"/>
    </xf>
    <xf numFmtId="2" fontId="17" fillId="0" borderId="0" xfId="36" applyNumberFormat="1" applyFont="1" applyAlignment="1">
      <alignment horizontal="center" vertical="top"/>
    </xf>
    <xf numFmtId="4" fontId="139" fillId="0" borderId="0" xfId="0" applyNumberFormat="1" applyFont="1" applyAlignment="1">
      <alignment vertical="center"/>
    </xf>
    <xf numFmtId="0" fontId="0" fillId="0" borderId="0" xfId="0"/>
    <xf numFmtId="0" fontId="42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78" fillId="0" borderId="0" xfId="0" applyFont="1" applyAlignment="1">
      <alignment horizontal="left" vertical="center"/>
    </xf>
    <xf numFmtId="0" fontId="0" fillId="0" borderId="0" xfId="0"/>
    <xf numFmtId="0" fontId="0" fillId="0" borderId="0" xfId="0" applyAlignment="1">
      <alignment horizontal="center"/>
    </xf>
    <xf numFmtId="0" fontId="78" fillId="0" borderId="0" xfId="0" applyFont="1" applyAlignment="1">
      <alignment horizontal="left" vertical="center"/>
    </xf>
    <xf numFmtId="0" fontId="8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2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92" fillId="0" borderId="0" xfId="0" applyFont="1" applyAlignment="1">
      <alignment horizontal="center" vertical="top"/>
    </xf>
    <xf numFmtId="4" fontId="42" fillId="0" borderId="17" xfId="0" applyNumberFormat="1" applyFont="1" applyBorder="1" applyAlignment="1">
      <alignment horizontal="center" vertical="center" wrapText="1"/>
    </xf>
    <xf numFmtId="4" fontId="41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91" fillId="0" borderId="0" xfId="0" applyFont="1" applyAlignment="1">
      <alignment vertical="center"/>
    </xf>
    <xf numFmtId="0" fontId="140" fillId="0" borderId="0" xfId="0" applyFont="1"/>
    <xf numFmtId="49" fontId="134" fillId="0" borderId="17" xfId="0" applyNumberFormat="1" applyFont="1" applyBorder="1" applyAlignment="1">
      <alignment horizontal="left" vertical="center" wrapText="1"/>
    </xf>
    <xf numFmtId="49" fontId="42" fillId="0" borderId="17" xfId="0" applyNumberFormat="1" applyFont="1" applyBorder="1" applyAlignment="1">
      <alignment horizontal="left" vertical="center" wrapText="1"/>
    </xf>
    <xf numFmtId="49" fontId="141" fillId="0" borderId="17" xfId="0" applyNumberFormat="1" applyFont="1" applyBorder="1" applyAlignment="1">
      <alignment horizontal="center" vertical="center" wrapText="1"/>
    </xf>
    <xf numFmtId="49" fontId="141" fillId="0" borderId="17" xfId="0" applyNumberFormat="1" applyFont="1" applyBorder="1" applyAlignment="1">
      <alignment horizontal="left" vertical="center" wrapText="1"/>
    </xf>
    <xf numFmtId="4" fontId="141" fillId="0" borderId="17" xfId="0" applyNumberFormat="1" applyFont="1" applyBorder="1" applyAlignment="1">
      <alignment horizontal="center" vertical="center" wrapText="1"/>
    </xf>
    <xf numFmtId="0" fontId="91" fillId="0" borderId="0" xfId="0" applyFont="1" applyAlignment="1">
      <alignment horizontal="center" vertical="center"/>
    </xf>
    <xf numFmtId="4" fontId="42" fillId="0" borderId="17" xfId="0" applyNumberFormat="1" applyFont="1" applyBorder="1" applyAlignment="1">
      <alignment horizontal="center" vertical="center" wrapText="1"/>
    </xf>
    <xf numFmtId="0" fontId="0" fillId="0" borderId="0" xfId="0"/>
    <xf numFmtId="0" fontId="104" fillId="0" borderId="0" xfId="0" applyFont="1"/>
    <xf numFmtId="0" fontId="142" fillId="0" borderId="0" xfId="0" applyFont="1" applyAlignment="1">
      <alignment vertical="center"/>
    </xf>
    <xf numFmtId="4" fontId="141" fillId="0" borderId="25" xfId="0" applyNumberFormat="1" applyFont="1" applyBorder="1" applyAlignment="1">
      <alignment horizontal="center" vertical="center" wrapText="1"/>
    </xf>
    <xf numFmtId="0" fontId="42" fillId="0" borderId="0" xfId="0" applyFont="1"/>
    <xf numFmtId="0" fontId="58" fillId="0" borderId="0" xfId="0" applyFont="1" applyAlignment="1">
      <alignment horizontal="center" vertical="center" wrapText="1"/>
    </xf>
    <xf numFmtId="0" fontId="144" fillId="0" borderId="0" xfId="0" applyFont="1" applyAlignment="1">
      <alignment vertical="center"/>
    </xf>
    <xf numFmtId="164" fontId="77" fillId="0" borderId="0" xfId="0" applyNumberFormat="1" applyFont="1" applyAlignment="1">
      <alignment horizontal="right" vertical="center" wrapText="1"/>
    </xf>
    <xf numFmtId="0" fontId="0" fillId="0" borderId="0" xfId="0"/>
    <xf numFmtId="4" fontId="43" fillId="0" borderId="17" xfId="0" applyNumberFormat="1" applyFont="1" applyFill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0" fontId="104" fillId="0" borderId="0" xfId="0" applyFont="1"/>
    <xf numFmtId="4" fontId="112" fillId="0" borderId="17" xfId="0" applyNumberFormat="1" applyFont="1" applyBorder="1" applyAlignment="1">
      <alignment horizontal="center" vertical="center" wrapText="1"/>
    </xf>
    <xf numFmtId="4" fontId="108" fillId="0" borderId="17" xfId="0" applyNumberFormat="1" applyFont="1" applyBorder="1" applyAlignment="1">
      <alignment horizontal="center" vertical="center" wrapText="1"/>
    </xf>
    <xf numFmtId="164" fontId="134" fillId="0" borderId="17" xfId="30" applyNumberFormat="1" applyFont="1" applyBorder="1" applyAlignment="1">
      <alignment horizontal="center" vertical="center" wrapText="1"/>
    </xf>
    <xf numFmtId="49" fontId="134" fillId="0" borderId="17" xfId="0" applyNumberFormat="1" applyFont="1" applyFill="1" applyBorder="1" applyAlignment="1">
      <alignment horizontal="center" vertical="center" wrapText="1"/>
    </xf>
    <xf numFmtId="4" fontId="138" fillId="0" borderId="17" xfId="0" applyNumberFormat="1" applyFont="1" applyFill="1" applyBorder="1" applyAlignment="1">
      <alignment horizontal="center" vertical="center" wrapText="1"/>
    </xf>
    <xf numFmtId="4" fontId="145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145" fillId="0" borderId="17" xfId="0" applyNumberFormat="1" applyFont="1" applyFill="1" applyBorder="1" applyAlignment="1">
      <alignment horizontal="center" vertical="center" wrapText="1"/>
    </xf>
    <xf numFmtId="4" fontId="134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134" fillId="0" borderId="18" xfId="38" applyFont="1" applyFill="1" applyBorder="1" applyAlignment="1" applyProtection="1">
      <alignment horizontal="center" wrapText="1"/>
      <protection locked="0"/>
    </xf>
    <xf numFmtId="0" fontId="134" fillId="0" borderId="0" xfId="38" applyFont="1" applyFill="1" applyBorder="1" applyAlignment="1" applyProtection="1">
      <alignment horizontal="center" vertical="top" wrapText="1"/>
      <protection locked="0"/>
    </xf>
    <xf numFmtId="4" fontId="44" fillId="0" borderId="17" xfId="0" applyNumberFormat="1" applyFont="1" applyFill="1" applyBorder="1" applyAlignment="1">
      <alignment horizontal="center" vertical="center" wrapText="1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49" fontId="134" fillId="0" borderId="17" xfId="0" applyNumberFormat="1" applyFont="1" applyFill="1" applyBorder="1" applyAlignment="1">
      <alignment horizontal="center" vertical="center" wrapText="1"/>
    </xf>
    <xf numFmtId="4" fontId="138" fillId="0" borderId="17" xfId="0" applyNumberFormat="1" applyFont="1" applyFill="1" applyBorder="1" applyAlignment="1">
      <alignment horizontal="center" vertical="center" wrapText="1"/>
    </xf>
    <xf numFmtId="0" fontId="104" fillId="0" borderId="0" xfId="0" applyFont="1"/>
    <xf numFmtId="0" fontId="0" fillId="0" borderId="0" xfId="0"/>
    <xf numFmtId="49" fontId="134" fillId="0" borderId="17" xfId="0" applyNumberFormat="1" applyFont="1" applyFill="1" applyBorder="1" applyAlignment="1">
      <alignment horizontal="center" vertical="center" wrapText="1"/>
    </xf>
    <xf numFmtId="0" fontId="104" fillId="0" borderId="0" xfId="0" applyFont="1"/>
    <xf numFmtId="4" fontId="43" fillId="0" borderId="17" xfId="0" applyNumberFormat="1" applyFont="1" applyBorder="1" applyAlignment="1">
      <alignment horizontal="center" vertical="center" wrapText="1"/>
    </xf>
    <xf numFmtId="4" fontId="44" fillId="0" borderId="17" xfId="0" applyNumberFormat="1" applyFont="1" applyBorder="1" applyAlignment="1">
      <alignment horizontal="center" vertical="center" wrapText="1"/>
    </xf>
    <xf numFmtId="4" fontId="43" fillId="0" borderId="17" xfId="38" applyNumberFormat="1" applyFont="1" applyFill="1" applyBorder="1" applyAlignment="1" applyProtection="1">
      <alignment horizontal="center" vertical="center" wrapText="1"/>
      <protection locked="0"/>
    </xf>
    <xf numFmtId="49" fontId="42" fillId="0" borderId="17" xfId="0" applyNumberFormat="1" applyFont="1" applyFill="1" applyBorder="1" applyAlignment="1">
      <alignment horizontal="center" vertical="center" wrapText="1"/>
    </xf>
    <xf numFmtId="0" fontId="42" fillId="0" borderId="0" xfId="38" applyFont="1" applyFill="1" applyBorder="1" applyAlignment="1" applyProtection="1">
      <alignment horizontal="center" wrapText="1"/>
      <protection locked="0"/>
    </xf>
    <xf numFmtId="4" fontId="43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0" fontId="42" fillId="0" borderId="19" xfId="38" applyFont="1" applyFill="1" applyBorder="1" applyAlignment="1" applyProtection="1">
      <alignment horizontal="center" vertical="top" wrapText="1"/>
      <protection locked="0"/>
    </xf>
    <xf numFmtId="4" fontId="42" fillId="0" borderId="17" xfId="38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164" fontId="42" fillId="0" borderId="17" xfId="30" applyNumberFormat="1" applyFont="1" applyFill="1" applyBorder="1" applyAlignment="1">
      <alignment horizontal="center" vertical="center" wrapText="1"/>
    </xf>
    <xf numFmtId="4" fontId="135" fillId="27" borderId="0" xfId="0" applyNumberFormat="1" applyFont="1" applyFill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 wrapText="1"/>
    </xf>
    <xf numFmtId="0" fontId="42" fillId="0" borderId="17" xfId="38" applyFont="1" applyFill="1" applyBorder="1" applyAlignment="1" applyProtection="1">
      <alignment horizontal="center" vertical="center" wrapText="1"/>
      <protection locked="0"/>
    </xf>
    <xf numFmtId="4" fontId="43" fillId="0" borderId="18" xfId="0" applyNumberFormat="1" applyFont="1" applyBorder="1" applyAlignment="1">
      <alignment horizontal="center" vertical="center" wrapText="1"/>
    </xf>
    <xf numFmtId="0" fontId="42" fillId="0" borderId="17" xfId="0" applyFont="1" applyFill="1" applyBorder="1" applyAlignment="1">
      <alignment horizontal="center" vertical="center" wrapText="1"/>
    </xf>
    <xf numFmtId="4" fontId="43" fillId="29" borderId="17" xfId="0" applyNumberFormat="1" applyFont="1" applyFill="1" applyBorder="1" applyAlignment="1">
      <alignment horizontal="center" vertical="center"/>
    </xf>
    <xf numFmtId="0" fontId="0" fillId="0" borderId="0" xfId="0"/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 wrapText="1"/>
    </xf>
    <xf numFmtId="0" fontId="104" fillId="0" borderId="0" xfId="0" applyFont="1"/>
    <xf numFmtId="0" fontId="0" fillId="0" borderId="0" xfId="0"/>
    <xf numFmtId="4" fontId="43" fillId="0" borderId="17" xfId="0" applyNumberFormat="1" applyFont="1" applyFill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Border="1" applyAlignment="1">
      <alignment horizontal="center" vertical="center" wrapText="1"/>
    </xf>
    <xf numFmtId="0" fontId="104" fillId="0" borderId="0" xfId="0" applyFont="1"/>
    <xf numFmtId="49" fontId="34" fillId="0" borderId="17" xfId="0" applyNumberFormat="1" applyFont="1" applyFill="1" applyBorder="1" applyAlignment="1">
      <alignment horizontal="center" vertical="center" wrapText="1"/>
    </xf>
    <xf numFmtId="0" fontId="34" fillId="0" borderId="17" xfId="18" applyFont="1" applyBorder="1" applyAlignment="1">
      <alignment horizontal="center" vertical="center" wrapText="1"/>
    </xf>
    <xf numFmtId="4" fontId="34" fillId="0" borderId="17" xfId="0" applyNumberFormat="1" applyFont="1" applyBorder="1" applyAlignment="1">
      <alignment horizontal="center" vertical="center" wrapText="1"/>
    </xf>
    <xf numFmtId="49" fontId="34" fillId="0" borderId="17" xfId="0" applyNumberFormat="1" applyFont="1" applyBorder="1" applyAlignment="1">
      <alignment horizontal="center" vertical="center" wrapText="1"/>
    </xf>
    <xf numFmtId="164" fontId="34" fillId="0" borderId="17" xfId="30" applyNumberFormat="1" applyFont="1" applyBorder="1" applyAlignment="1">
      <alignment horizontal="center" vertical="center"/>
    </xf>
    <xf numFmtId="4" fontId="34" fillId="0" borderId="17" xfId="30" applyNumberFormat="1" applyFont="1" applyBorder="1" applyAlignment="1">
      <alignment horizontal="center" vertical="center"/>
    </xf>
    <xf numFmtId="0" fontId="34" fillId="0" borderId="17" xfId="18" applyFont="1" applyFill="1" applyBorder="1" applyAlignment="1">
      <alignment horizontal="center" vertical="center" wrapText="1"/>
    </xf>
    <xf numFmtId="164" fontId="34" fillId="0" borderId="17" xfId="30" applyNumberFormat="1" applyFont="1" applyFill="1" applyBorder="1" applyAlignment="1">
      <alignment horizontal="center" vertical="center"/>
    </xf>
    <xf numFmtId="4" fontId="34" fillId="0" borderId="17" xfId="30" applyNumberFormat="1" applyFont="1" applyFill="1" applyBorder="1" applyAlignment="1">
      <alignment horizontal="center" vertical="center"/>
    </xf>
    <xf numFmtId="9" fontId="34" fillId="0" borderId="17" xfId="0" applyNumberFormat="1" applyFont="1" applyFill="1" applyBorder="1" applyAlignment="1">
      <alignment horizontal="center" vertical="center" wrapText="1"/>
    </xf>
    <xf numFmtId="4" fontId="34" fillId="0" borderId="17" xfId="0" applyNumberFormat="1" applyFont="1" applyFill="1" applyBorder="1" applyAlignment="1">
      <alignment horizontal="center" vertical="center" wrapText="1"/>
    </xf>
    <xf numFmtId="164" fontId="34" fillId="0" borderId="17" xfId="30" applyNumberFormat="1" applyFont="1" applyFill="1" applyBorder="1" applyAlignment="1">
      <alignment horizontal="center" vertical="center" wrapText="1"/>
    </xf>
    <xf numFmtId="9" fontId="34" fillId="0" borderId="17" xfId="0" applyNumberFormat="1" applyFont="1" applyBorder="1" applyAlignment="1">
      <alignment horizontal="center" vertical="center" wrapText="1"/>
    </xf>
    <xf numFmtId="49" fontId="150" fillId="0" borderId="17" xfId="0" applyNumberFormat="1" applyFont="1" applyFill="1" applyBorder="1" applyAlignment="1">
      <alignment horizontal="center" vertical="center" wrapText="1"/>
    </xf>
    <xf numFmtId="4" fontId="135" fillId="0" borderId="17" xfId="0" applyNumberFormat="1" applyFont="1" applyFill="1" applyBorder="1" applyAlignment="1">
      <alignment horizontal="center" vertical="center" wrapText="1"/>
    </xf>
    <xf numFmtId="4" fontId="151" fillId="0" borderId="17" xfId="0" applyNumberFormat="1" applyFont="1" applyFill="1" applyBorder="1" applyAlignment="1">
      <alignment horizontal="center" vertical="center" wrapText="1"/>
    </xf>
    <xf numFmtId="4" fontId="113" fillId="0" borderId="0" xfId="0" applyNumberFormat="1" applyFont="1" applyAlignment="1">
      <alignment horizontal="left" vertical="center"/>
    </xf>
    <xf numFmtId="4" fontId="43" fillId="0" borderId="17" xfId="0" applyNumberFormat="1" applyFont="1" applyFill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center" vertical="center" wrapText="1"/>
    </xf>
    <xf numFmtId="0" fontId="0" fillId="0" borderId="0" xfId="0"/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0" fontId="104" fillId="0" borderId="0" xfId="0" applyFont="1"/>
    <xf numFmtId="164" fontId="34" fillId="0" borderId="17" xfId="30" applyNumberFormat="1" applyFont="1" applyBorder="1" applyAlignment="1">
      <alignment horizontal="center" vertical="center" wrapText="1"/>
    </xf>
    <xf numFmtId="0" fontId="0" fillId="0" borderId="0" xfId="0"/>
    <xf numFmtId="49" fontId="42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center" vertical="center" wrapText="1"/>
    </xf>
    <xf numFmtId="0" fontId="104" fillId="0" borderId="0" xfId="0" applyFont="1"/>
    <xf numFmtId="164" fontId="42" fillId="0" borderId="0" xfId="30" applyNumberFormat="1" applyFont="1" applyBorder="1" applyAlignment="1">
      <alignment horizontal="center" vertical="center" wrapText="1"/>
    </xf>
    <xf numFmtId="0" fontId="0" fillId="0" borderId="0" xfId="0"/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0" fontId="104" fillId="0" borderId="0" xfId="0" applyFont="1"/>
    <xf numFmtId="0" fontId="0" fillId="0" borderId="0" xfId="0"/>
    <xf numFmtId="4" fontId="43" fillId="0" borderId="17" xfId="0" applyNumberFormat="1" applyFont="1" applyFill="1" applyBorder="1" applyAlignment="1">
      <alignment horizontal="center" vertical="center" wrapText="1"/>
    </xf>
    <xf numFmtId="4" fontId="138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0" fontId="104" fillId="0" borderId="0" xfId="0" applyFont="1"/>
    <xf numFmtId="4" fontId="43" fillId="27" borderId="16" xfId="0" applyNumberFormat="1" applyFont="1" applyFill="1" applyBorder="1" applyAlignment="1">
      <alignment horizontal="center" vertical="center" wrapText="1"/>
    </xf>
    <xf numFmtId="4" fontId="43" fillId="27" borderId="8" xfId="0" applyNumberFormat="1" applyFont="1" applyFill="1" applyBorder="1" applyAlignment="1">
      <alignment horizontal="center" vertical="center" wrapText="1"/>
    </xf>
    <xf numFmtId="49" fontId="42" fillId="0" borderId="17" xfId="0" applyNumberFormat="1" applyFont="1" applyBorder="1" applyAlignment="1">
      <alignment horizontal="center" vertical="center"/>
    </xf>
    <xf numFmtId="4" fontId="42" fillId="0" borderId="22" xfId="38" applyNumberFormat="1" applyFont="1" applyFill="1" applyBorder="1" applyAlignment="1" applyProtection="1">
      <alignment horizontal="center" vertical="center" wrapText="1"/>
      <protection locked="0"/>
    </xf>
    <xf numFmtId="4" fontId="42" fillId="0" borderId="25" xfId="38" applyNumberFormat="1" applyFont="1" applyFill="1" applyBorder="1" applyAlignment="1" applyProtection="1">
      <alignment horizontal="center" vertical="center" wrapText="1"/>
      <protection locked="0"/>
    </xf>
    <xf numFmtId="0" fontId="42" fillId="0" borderId="22" xfId="0" applyFont="1" applyFill="1" applyBorder="1" applyAlignment="1">
      <alignment horizontal="center" vertical="center" wrapText="1"/>
    </xf>
    <xf numFmtId="0" fontId="42" fillId="0" borderId="18" xfId="38" applyFont="1" applyFill="1" applyBorder="1" applyAlignment="1" applyProtection="1">
      <alignment horizontal="center" wrapText="1"/>
      <protection locked="0"/>
    </xf>
    <xf numFmtId="0" fontId="42" fillId="0" borderId="0" xfId="38" applyFont="1" applyFill="1" applyBorder="1" applyAlignment="1" applyProtection="1">
      <alignment horizontal="center" vertical="top" wrapText="1"/>
      <protection locked="0"/>
    </xf>
    <xf numFmtId="0" fontId="153" fillId="0" borderId="0" xfId="0" applyFont="1"/>
    <xf numFmtId="49" fontId="154" fillId="0" borderId="17" xfId="0" applyNumberFormat="1" applyFont="1" applyFill="1" applyBorder="1" applyAlignment="1">
      <alignment horizontal="center" vertical="center" wrapText="1"/>
    </xf>
    <xf numFmtId="49" fontId="113" fillId="0" borderId="17" xfId="0" applyNumberFormat="1" applyFont="1" applyFill="1" applyBorder="1" applyAlignment="1">
      <alignment horizontal="center" vertical="center" wrapText="1"/>
    </xf>
    <xf numFmtId="49" fontId="146" fillId="0" borderId="17" xfId="0" applyNumberFormat="1" applyFont="1" applyFill="1" applyBorder="1" applyAlignment="1">
      <alignment horizontal="center" vertical="center" wrapText="1"/>
    </xf>
    <xf numFmtId="49" fontId="154" fillId="0" borderId="18" xfId="0" applyNumberFormat="1" applyFont="1" applyFill="1" applyBorder="1" applyAlignment="1">
      <alignment horizontal="center" vertical="center" wrapText="1"/>
    </xf>
    <xf numFmtId="0" fontId="155" fillId="0" borderId="0" xfId="0" applyFont="1"/>
    <xf numFmtId="0" fontId="123" fillId="0" borderId="0" xfId="0" applyFont="1"/>
    <xf numFmtId="4" fontId="107" fillId="0" borderId="0" xfId="0" applyNumberFormat="1" applyFont="1" applyAlignment="1">
      <alignment horizontal="left" vertical="center"/>
    </xf>
    <xf numFmtId="4" fontId="156" fillId="0" borderId="0" xfId="0" applyNumberFormat="1" applyFont="1" applyAlignment="1">
      <alignment horizontal="left" vertical="center"/>
    </xf>
    <xf numFmtId="0" fontId="34" fillId="0" borderId="17" xfId="100" applyFont="1" applyBorder="1" applyAlignment="1">
      <alignment horizontal="center" vertical="center" wrapText="1"/>
    </xf>
    <xf numFmtId="0" fontId="34" fillId="0" borderId="17" xfId="100" applyFont="1" applyFill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4" fontId="52" fillId="0" borderId="17" xfId="0" applyNumberFormat="1" applyFont="1" applyBorder="1" applyAlignment="1">
      <alignment horizontal="center" vertical="center" wrapText="1"/>
    </xf>
    <xf numFmtId="0" fontId="52" fillId="0" borderId="17" xfId="0" applyFont="1" applyBorder="1" applyAlignment="1">
      <alignment horizontal="center" vertical="center" wrapText="1"/>
    </xf>
    <xf numFmtId="0" fontId="34" fillId="0" borderId="17" xfId="38" applyFont="1" applyFill="1" applyBorder="1" applyAlignment="1" applyProtection="1">
      <alignment horizontal="center" vertical="center" wrapText="1"/>
      <protection locked="0"/>
    </xf>
    <xf numFmtId="164" fontId="34" fillId="0" borderId="17" xfId="0" applyNumberFormat="1" applyFont="1" applyBorder="1" applyAlignment="1">
      <alignment horizontal="center" vertical="center" wrapText="1"/>
    </xf>
    <xf numFmtId="9" fontId="34" fillId="0" borderId="17" xfId="30" applyNumberFormat="1" applyFont="1" applyBorder="1" applyAlignment="1">
      <alignment horizontal="center" vertical="center"/>
    </xf>
    <xf numFmtId="49" fontId="34" fillId="0" borderId="17" xfId="0" applyNumberFormat="1" applyFont="1" applyFill="1" applyBorder="1" applyAlignment="1">
      <alignment horizontal="center" vertical="center"/>
    </xf>
    <xf numFmtId="49" fontId="152" fillId="0" borderId="17" xfId="0" applyNumberFormat="1" applyFont="1" applyBorder="1" applyAlignment="1">
      <alignment horizontal="center" vertical="center" wrapText="1"/>
    </xf>
    <xf numFmtId="0" fontId="152" fillId="0" borderId="17" xfId="0" applyFont="1" applyBorder="1" applyAlignment="1">
      <alignment horizontal="center" vertical="center" wrapText="1"/>
    </xf>
    <xf numFmtId="0" fontId="152" fillId="0" borderId="17" xfId="45" applyFont="1" applyBorder="1" applyAlignment="1">
      <alignment horizontal="center" vertical="center" wrapText="1"/>
    </xf>
    <xf numFmtId="49" fontId="35" fillId="0" borderId="17" xfId="0" applyNumberFormat="1" applyFont="1" applyBorder="1" applyAlignment="1">
      <alignment horizontal="center" vertical="center" wrapText="1"/>
    </xf>
    <xf numFmtId="4" fontId="152" fillId="0" borderId="17" xfId="30" applyNumberFormat="1" applyFont="1" applyBorder="1" applyAlignment="1">
      <alignment horizontal="center" vertical="center"/>
    </xf>
    <xf numFmtId="4" fontId="34" fillId="0" borderId="23" xfId="30" applyNumberFormat="1" applyFont="1" applyBorder="1" applyAlignment="1">
      <alignment horizontal="center" vertical="center"/>
    </xf>
    <xf numFmtId="4" fontId="34" fillId="0" borderId="19" xfId="30" applyNumberFormat="1" applyFont="1" applyBorder="1" applyAlignment="1">
      <alignment horizontal="center" vertical="center"/>
    </xf>
    <xf numFmtId="164" fontId="152" fillId="0" borderId="17" xfId="30" applyNumberFormat="1" applyFont="1" applyBorder="1" applyAlignment="1">
      <alignment horizontal="center" vertical="center"/>
    </xf>
    <xf numFmtId="0" fontId="152" fillId="0" borderId="17" xfId="100" applyFont="1" applyBorder="1" applyAlignment="1">
      <alignment horizontal="center" vertical="center" wrapText="1"/>
    </xf>
    <xf numFmtId="49" fontId="34" fillId="0" borderId="17" xfId="18" applyNumberFormat="1" applyFont="1" applyBorder="1" applyAlignment="1">
      <alignment horizontal="center" vertical="center" wrapText="1"/>
    </xf>
    <xf numFmtId="0" fontId="34" fillId="0" borderId="17" xfId="40" applyFont="1" applyBorder="1" applyAlignment="1">
      <alignment horizontal="center" vertical="center" wrapText="1"/>
    </xf>
    <xf numFmtId="0" fontId="34" fillId="0" borderId="17" xfId="84" applyFont="1" applyFill="1" applyBorder="1" applyAlignment="1">
      <alignment horizontal="center" vertical="center" wrapText="1"/>
    </xf>
    <xf numFmtId="49" fontId="34" fillId="0" borderId="17" xfId="18" applyNumberFormat="1" applyFont="1" applyFill="1" applyBorder="1" applyAlignment="1">
      <alignment horizontal="center" vertical="center" wrapText="1"/>
    </xf>
    <xf numFmtId="9" fontId="34" fillId="0" borderId="17" xfId="30" applyNumberFormat="1" applyFont="1" applyFill="1" applyBorder="1" applyAlignment="1">
      <alignment horizontal="center" vertical="center"/>
    </xf>
    <xf numFmtId="0" fontId="35" fillId="0" borderId="17" xfId="35" applyFont="1" applyBorder="1" applyAlignment="1">
      <alignment horizontal="center" vertical="center" wrapText="1"/>
    </xf>
    <xf numFmtId="4" fontId="35" fillId="0" borderId="17" xfId="35" applyNumberFormat="1" applyFont="1" applyBorder="1" applyAlignment="1">
      <alignment horizontal="center" vertical="center" wrapText="1"/>
    </xf>
    <xf numFmtId="0" fontId="0" fillId="0" borderId="0" xfId="0"/>
    <xf numFmtId="49" fontId="42" fillId="0" borderId="17" xfId="0" applyNumberFormat="1" applyFont="1" applyBorder="1" applyAlignment="1">
      <alignment horizontal="center" vertical="center" wrapText="1"/>
    </xf>
    <xf numFmtId="4" fontId="43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 wrapText="1"/>
    </xf>
    <xf numFmtId="0" fontId="59" fillId="0" borderId="0" xfId="35" applyFont="1"/>
    <xf numFmtId="0" fontId="104" fillId="0" borderId="0" xfId="0" applyFont="1"/>
    <xf numFmtId="4" fontId="44" fillId="0" borderId="0" xfId="0" applyNumberFormat="1" applyFont="1" applyAlignment="1">
      <alignment horizontal="left" vertical="center" wrapText="1"/>
    </xf>
    <xf numFmtId="4" fontId="44" fillId="0" borderId="0" xfId="0" applyNumberFormat="1" applyFont="1" applyAlignment="1">
      <alignment horizontal="center" vertical="center" wrapText="1"/>
    </xf>
    <xf numFmtId="49" fontId="150" fillId="0" borderId="17" xfId="0" applyNumberFormat="1" applyFont="1" applyBorder="1" applyAlignment="1">
      <alignment horizontal="center" vertical="center" wrapText="1"/>
    </xf>
    <xf numFmtId="4" fontId="151" fillId="0" borderId="17" xfId="0" applyNumberFormat="1" applyFont="1" applyBorder="1" applyAlignment="1">
      <alignment horizontal="center" vertical="center" wrapText="1"/>
    </xf>
    <xf numFmtId="4" fontId="130" fillId="0" borderId="0" xfId="0" applyNumberFormat="1" applyFont="1" applyAlignment="1">
      <alignment horizontal="left" vertical="center" wrapText="1"/>
    </xf>
    <xf numFmtId="4" fontId="135" fillId="0" borderId="17" xfId="0" applyNumberFormat="1" applyFont="1" applyBorder="1" applyAlignment="1">
      <alignment horizontal="center" vertical="center" wrapText="1"/>
    </xf>
    <xf numFmtId="0" fontId="41" fillId="0" borderId="17" xfId="38" applyFont="1" applyFill="1" applyBorder="1" applyAlignment="1" applyProtection="1">
      <alignment horizontal="center" vertical="center" wrapText="1"/>
      <protection locked="0"/>
    </xf>
    <xf numFmtId="49" fontId="113" fillId="0" borderId="17" xfId="0" applyNumberFormat="1" applyFont="1" applyBorder="1" applyAlignment="1">
      <alignment horizontal="center" vertical="center" wrapText="1"/>
    </xf>
    <xf numFmtId="0" fontId="150" fillId="0" borderId="17" xfId="38" applyFont="1" applyFill="1" applyBorder="1" applyAlignment="1" applyProtection="1">
      <alignment horizontal="center" vertical="center" wrapText="1"/>
      <protection locked="0"/>
    </xf>
    <xf numFmtId="4" fontId="135" fillId="0" borderId="0" xfId="0" applyNumberFormat="1" applyFont="1" applyAlignment="1">
      <alignment horizontal="left" vertical="center" wrapText="1"/>
    </xf>
    <xf numFmtId="4" fontId="151" fillId="0" borderId="0" xfId="0" applyNumberFormat="1" applyFont="1" applyAlignment="1">
      <alignment horizontal="left" vertical="center" wrapText="1"/>
    </xf>
    <xf numFmtId="49" fontId="122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159" fillId="0" borderId="0" xfId="0" applyFont="1"/>
    <xf numFmtId="4" fontId="106" fillId="0" borderId="0" xfId="0" applyNumberFormat="1" applyFont="1" applyAlignment="1">
      <alignment horizontal="left" vertical="center"/>
    </xf>
    <xf numFmtId="0" fontId="124" fillId="0" borderId="0" xfId="0" applyFont="1"/>
    <xf numFmtId="4" fontId="158" fillId="0" borderId="0" xfId="0" applyNumberFormat="1" applyFont="1" applyAlignment="1">
      <alignment horizontal="left" vertical="center"/>
    </xf>
    <xf numFmtId="4" fontId="134" fillId="0" borderId="0" xfId="0" applyNumberFormat="1" applyFont="1" applyAlignment="1">
      <alignment horizontal="left" vertical="center"/>
    </xf>
    <xf numFmtId="4" fontId="151" fillId="0" borderId="0" xfId="0" applyNumberFormat="1" applyFont="1" applyAlignment="1">
      <alignment horizontal="center" vertical="center" wrapText="1"/>
    </xf>
    <xf numFmtId="4" fontId="150" fillId="33" borderId="17" xfId="38" applyNumberFormat="1" applyFont="1" applyFill="1" applyBorder="1" applyAlignment="1" applyProtection="1">
      <alignment horizontal="center" vertical="center" wrapText="1"/>
      <protection locked="0"/>
    </xf>
    <xf numFmtId="4" fontId="135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15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34" borderId="17" xfId="38" applyNumberFormat="1" applyFont="1" applyFill="1" applyBorder="1" applyAlignment="1" applyProtection="1">
      <alignment horizontal="center" vertical="center" wrapText="1"/>
      <protection locked="0"/>
    </xf>
    <xf numFmtId="49" fontId="150" fillId="0" borderId="17" xfId="0" applyNumberFormat="1" applyFont="1" applyFill="1" applyBorder="1" applyAlignment="1">
      <alignment horizontal="center" vertical="center"/>
    </xf>
    <xf numFmtId="4" fontId="160" fillId="0" borderId="17" xfId="0" applyNumberFormat="1" applyFont="1" applyFill="1" applyBorder="1" applyAlignment="1">
      <alignment horizontal="center" vertical="center" wrapText="1"/>
    </xf>
    <xf numFmtId="0" fontId="41" fillId="0" borderId="19" xfId="38" applyFont="1" applyFill="1" applyBorder="1" applyAlignment="1" applyProtection="1">
      <alignment horizontal="center" vertical="top" wrapText="1"/>
      <protection locked="0"/>
    </xf>
    <xf numFmtId="0" fontId="113" fillId="0" borderId="19" xfId="38" applyFont="1" applyFill="1" applyBorder="1" applyAlignment="1" applyProtection="1">
      <alignment horizontal="center" vertical="top" wrapText="1"/>
      <protection locked="0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113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113" fillId="0" borderId="17" xfId="0" applyFont="1" applyFill="1" applyBorder="1" applyAlignment="1">
      <alignment horizontal="center" vertical="center" wrapText="1"/>
    </xf>
    <xf numFmtId="0" fontId="48" fillId="0" borderId="17" xfId="38" applyFont="1" applyFill="1" applyBorder="1" applyAlignment="1" applyProtection="1">
      <alignment horizontal="center" vertical="center" wrapText="1"/>
      <protection locked="0"/>
    </xf>
    <xf numFmtId="0" fontId="152" fillId="0" borderId="17" xfId="38" applyFont="1" applyFill="1" applyBorder="1" applyAlignment="1" applyProtection="1">
      <alignment horizontal="center" vertical="center" wrapText="1"/>
      <protection locked="0"/>
    </xf>
    <xf numFmtId="49" fontId="152" fillId="0" borderId="17" xfId="0" applyNumberFormat="1" applyFont="1" applyFill="1" applyBorder="1" applyAlignment="1">
      <alignment horizontal="center" vertical="center" wrapText="1"/>
    </xf>
    <xf numFmtId="4" fontId="35" fillId="0" borderId="17" xfId="0" applyNumberFormat="1" applyFont="1" applyFill="1" applyBorder="1" applyAlignment="1">
      <alignment horizontal="center" vertical="center" wrapText="1"/>
    </xf>
    <xf numFmtId="4" fontId="152" fillId="0" borderId="17" xfId="0" applyNumberFormat="1" applyFont="1" applyFill="1" applyBorder="1" applyAlignment="1">
      <alignment horizontal="center" vertical="center" wrapText="1"/>
    </xf>
    <xf numFmtId="49" fontId="35" fillId="0" borderId="17" xfId="0" applyNumberFormat="1" applyFont="1" applyFill="1" applyBorder="1" applyAlignment="1">
      <alignment horizontal="center" vertical="center" wrapText="1"/>
    </xf>
    <xf numFmtId="0" fontId="35" fillId="0" borderId="17" xfId="38" applyFont="1" applyFill="1" applyBorder="1" applyAlignment="1" applyProtection="1">
      <alignment horizontal="center" vertical="center" wrapText="1"/>
      <protection locked="0"/>
    </xf>
    <xf numFmtId="49" fontId="48" fillId="0" borderId="17" xfId="0" applyNumberFormat="1" applyFont="1" applyFill="1" applyBorder="1" applyAlignment="1">
      <alignment horizontal="center" vertical="center" wrapText="1"/>
    </xf>
    <xf numFmtId="4" fontId="48" fillId="0" borderId="17" xfId="0" applyNumberFormat="1" applyFont="1" applyFill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4" fontId="15" fillId="0" borderId="17" xfId="94" applyNumberFormat="1" applyFont="1" applyBorder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center" vertical="center" wrapText="1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4" fontId="42" fillId="0" borderId="17" xfId="0" applyNumberFormat="1" applyFont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2" fillId="0" borderId="17" xfId="38" applyNumberFormat="1" applyFont="1" applyFill="1" applyBorder="1" applyAlignment="1">
      <alignment horizontal="center" vertical="center" wrapText="1"/>
    </xf>
    <xf numFmtId="0" fontId="104" fillId="0" borderId="0" xfId="0" applyFont="1"/>
    <xf numFmtId="164" fontId="134" fillId="0" borderId="17" xfId="30" applyNumberFormat="1" applyFont="1" applyFill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center" vertical="center" wrapText="1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49" fontId="42" fillId="0" borderId="17" xfId="0" applyNumberFormat="1" applyFont="1" applyFill="1" applyBorder="1" applyAlignment="1">
      <alignment horizontal="center" vertical="center" wrapText="1"/>
    </xf>
    <xf numFmtId="49" fontId="42" fillId="0" borderId="17" xfId="0" applyNumberFormat="1" applyFont="1" applyBorder="1" applyAlignment="1">
      <alignment horizontal="center" vertical="center" wrapText="1"/>
    </xf>
    <xf numFmtId="4" fontId="43" fillId="0" borderId="17" xfId="0" applyNumberFormat="1" applyFont="1" applyBorder="1" applyAlignment="1">
      <alignment horizontal="center" vertical="center" wrapText="1"/>
    </xf>
    <xf numFmtId="0" fontId="104" fillId="25" borderId="0" xfId="0" applyFont="1" applyFill="1"/>
    <xf numFmtId="4" fontId="112" fillId="25" borderId="0" xfId="0" applyNumberFormat="1" applyFont="1" applyFill="1" applyAlignment="1">
      <alignment horizontal="left" vertical="center" wrapText="1"/>
    </xf>
    <xf numFmtId="0" fontId="0" fillId="25" borderId="0" xfId="0" applyFill="1"/>
    <xf numFmtId="4" fontId="43" fillId="25" borderId="0" xfId="0" applyNumberFormat="1" applyFont="1" applyFill="1" applyAlignment="1">
      <alignment horizontal="left" vertical="center" wrapText="1"/>
    </xf>
    <xf numFmtId="0" fontId="104" fillId="0" borderId="0" xfId="0" applyFont="1" applyFill="1"/>
    <xf numFmtId="4" fontId="43" fillId="0" borderId="0" xfId="0" applyNumberFormat="1" applyFont="1" applyFill="1" applyAlignment="1">
      <alignment horizontal="left" vertical="center" wrapText="1"/>
    </xf>
    <xf numFmtId="0" fontId="0" fillId="0" borderId="0" xfId="0" applyFill="1"/>
    <xf numFmtId="0" fontId="0" fillId="0" borderId="0" xfId="0"/>
    <xf numFmtId="4" fontId="43" fillId="0" borderId="17" xfId="0" applyNumberFormat="1" applyFont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Border="1" applyAlignment="1">
      <alignment horizontal="center" vertical="center" wrapText="1"/>
    </xf>
    <xf numFmtId="0" fontId="104" fillId="0" borderId="0" xfId="0" applyFont="1"/>
    <xf numFmtId="49" fontId="42" fillId="31" borderId="17" xfId="0" applyNumberFormat="1" applyFont="1" applyFill="1" applyBorder="1" applyAlignment="1">
      <alignment horizontal="center" vertical="center" wrapText="1"/>
    </xf>
    <xf numFmtId="0" fontId="0" fillId="0" borderId="0" xfId="0"/>
    <xf numFmtId="0" fontId="16" fillId="0" borderId="0" xfId="0" applyFont="1" applyAlignment="1"/>
    <xf numFmtId="4" fontId="43" fillId="0" borderId="17" xfId="0" applyNumberFormat="1" applyFont="1" applyFill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/>
    </xf>
    <xf numFmtId="4" fontId="43" fillId="31" borderId="17" xfId="38" applyNumberFormat="1" applyFont="1" applyFill="1" applyBorder="1" applyAlignment="1" applyProtection="1">
      <alignment horizontal="center" vertical="center" wrapText="1"/>
      <protection locked="0"/>
    </xf>
    <xf numFmtId="4" fontId="44" fillId="31" borderId="17" xfId="38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4" fontId="43" fillId="0" borderId="17" xfId="0" applyNumberFormat="1" applyFont="1" applyFill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center" vertical="center" wrapText="1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104" fillId="0" borderId="0" xfId="0" applyFont="1"/>
    <xf numFmtId="0" fontId="0" fillId="0" borderId="0" xfId="0"/>
    <xf numFmtId="4" fontId="42" fillId="0" borderId="17" xfId="0" applyNumberFormat="1" applyFont="1" applyBorder="1" applyAlignment="1">
      <alignment horizontal="center" vertical="center" wrapText="1"/>
    </xf>
    <xf numFmtId="4" fontId="41" fillId="0" borderId="17" xfId="0" applyNumberFormat="1" applyFont="1" applyBorder="1" applyAlignment="1">
      <alignment horizontal="center" vertical="center" wrapText="1"/>
    </xf>
    <xf numFmtId="49" fontId="134" fillId="0" borderId="17" xfId="0" applyNumberFormat="1" applyFont="1" applyFill="1" applyBorder="1" applyAlignment="1">
      <alignment horizontal="center" vertical="center" wrapText="1"/>
    </xf>
    <xf numFmtId="0" fontId="38" fillId="0" borderId="0" xfId="35" applyFont="1" applyAlignment="1">
      <alignment vertical="center"/>
    </xf>
    <xf numFmtId="49" fontId="141" fillId="0" borderId="17" xfId="0" applyNumberFormat="1" applyFont="1" applyFill="1" applyBorder="1" applyAlignment="1">
      <alignment horizontal="center" vertical="center" wrapText="1"/>
    </xf>
    <xf numFmtId="49" fontId="141" fillId="0" borderId="17" xfId="0" applyNumberFormat="1" applyFont="1" applyFill="1" applyBorder="1" applyAlignment="1">
      <alignment horizontal="left" vertical="center" wrapText="1"/>
    </xf>
    <xf numFmtId="4" fontId="141" fillId="0" borderId="17" xfId="0" applyNumberFormat="1" applyFont="1" applyFill="1" applyBorder="1" applyAlignment="1">
      <alignment horizontal="center" vertical="center" wrapText="1"/>
    </xf>
    <xf numFmtId="49" fontId="134" fillId="0" borderId="17" xfId="0" applyNumberFormat="1" applyFont="1" applyFill="1" applyBorder="1" applyAlignment="1">
      <alignment horizontal="left" vertical="center" wrapText="1"/>
    </xf>
    <xf numFmtId="4" fontId="134" fillId="0" borderId="17" xfId="0" applyNumberFormat="1" applyFont="1" applyFill="1" applyBorder="1" applyAlignment="1">
      <alignment horizontal="center" vertical="center" wrapText="1"/>
    </xf>
    <xf numFmtId="0" fontId="34" fillId="0" borderId="17" xfId="92" applyFont="1" applyFill="1" applyBorder="1" applyAlignment="1">
      <alignment horizontal="center" vertical="center" wrapText="1"/>
    </xf>
    <xf numFmtId="0" fontId="0" fillId="0" borderId="0" xfId="0"/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 wrapText="1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2" fillId="0" borderId="17" xfId="38" applyNumberFormat="1" applyFont="1" applyFill="1" applyBorder="1" applyAlignment="1">
      <alignment horizontal="center" vertical="center" wrapText="1"/>
    </xf>
    <xf numFmtId="0" fontId="104" fillId="0" borderId="0" xfId="0" applyFont="1"/>
    <xf numFmtId="4" fontId="42" fillId="0" borderId="17" xfId="38" applyNumberFormat="1" applyFont="1" applyFill="1" applyBorder="1" applyAlignment="1">
      <alignment horizontal="center" vertical="center" wrapText="1"/>
    </xf>
    <xf numFmtId="0" fontId="34" fillId="0" borderId="7" xfId="40" applyFont="1" applyBorder="1" applyAlignment="1">
      <alignment horizontal="center" vertical="center" wrapText="1"/>
    </xf>
    <xf numFmtId="4" fontId="34" fillId="0" borderId="7" xfId="0" applyNumberFormat="1" applyFont="1" applyBorder="1" applyAlignment="1">
      <alignment horizontal="center" vertical="center" wrapText="1"/>
    </xf>
    <xf numFmtId="0" fontId="0" fillId="0" borderId="0" xfId="0"/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4" fontId="138" fillId="0" borderId="17" xfId="0" applyNumberFormat="1" applyFont="1" applyFill="1" applyBorder="1" applyAlignment="1">
      <alignment horizontal="center" vertical="center" wrapText="1"/>
    </xf>
    <xf numFmtId="0" fontId="104" fillId="0" borderId="0" xfId="0" applyFont="1"/>
    <xf numFmtId="0" fontId="0" fillId="0" borderId="0" xfId="0"/>
    <xf numFmtId="4" fontId="43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Border="1" applyAlignment="1">
      <alignment horizontal="center" vertical="center" wrapText="1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2" fillId="0" borderId="17" xfId="38" applyNumberFormat="1" applyFont="1" applyFill="1" applyBorder="1" applyAlignment="1">
      <alignment horizontal="center" vertical="center" wrapText="1"/>
    </xf>
    <xf numFmtId="0" fontId="104" fillId="0" borderId="0" xfId="0" applyFont="1"/>
    <xf numFmtId="4" fontId="42" fillId="0" borderId="17" xfId="0" applyNumberFormat="1" applyFont="1" applyBorder="1" applyAlignment="1">
      <alignment horizontal="center" vertical="center" wrapText="1"/>
    </xf>
    <xf numFmtId="4" fontId="162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152" fillId="0" borderId="17" xfId="45" applyFont="1" applyFill="1" applyBorder="1" applyAlignment="1">
      <alignment horizontal="center" vertical="center" wrapText="1"/>
    </xf>
    <xf numFmtId="0" fontId="0" fillId="0" borderId="0" xfId="0"/>
    <xf numFmtId="49" fontId="42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Border="1" applyAlignment="1">
      <alignment horizontal="center" vertical="center" wrapText="1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2" fillId="0" borderId="17" xfId="38" applyNumberFormat="1" applyFont="1" applyFill="1" applyBorder="1" applyAlignment="1">
      <alignment horizontal="center" vertical="center" wrapText="1"/>
    </xf>
    <xf numFmtId="0" fontId="104" fillId="0" borderId="0" xfId="0" applyFont="1"/>
    <xf numFmtId="4" fontId="163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Border="1" applyAlignment="1">
      <alignment horizontal="center" vertical="center" wrapText="1"/>
    </xf>
    <xf numFmtId="4" fontId="43" fillId="0" borderId="17" xfId="0" applyNumberFormat="1" applyFont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 wrapText="1"/>
    </xf>
    <xf numFmtId="49" fontId="134" fillId="0" borderId="17" xfId="0" applyNumberFormat="1" applyFont="1" applyFill="1" applyBorder="1" applyAlignment="1">
      <alignment horizontal="center" vertical="center" wrapText="1"/>
    </xf>
    <xf numFmtId="0" fontId="104" fillId="0" borderId="0" xfId="0" applyFont="1"/>
    <xf numFmtId="49" fontId="152" fillId="33" borderId="17" xfId="0" applyNumberFormat="1" applyFont="1" applyFill="1" applyBorder="1" applyAlignment="1">
      <alignment horizontal="center" vertical="center" wrapText="1"/>
    </xf>
    <xf numFmtId="0" fontId="152" fillId="33" borderId="17" xfId="45" applyFont="1" applyFill="1" applyBorder="1" applyAlignment="1">
      <alignment horizontal="center" vertical="center" wrapText="1"/>
    </xf>
    <xf numFmtId="164" fontId="34" fillId="33" borderId="17" xfId="30" applyNumberFormat="1" applyFont="1" applyFill="1" applyBorder="1" applyAlignment="1">
      <alignment horizontal="center" vertical="center"/>
    </xf>
    <xf numFmtId="4" fontId="34" fillId="33" borderId="17" xfId="30" applyNumberFormat="1" applyFont="1" applyFill="1" applyBorder="1" applyAlignment="1">
      <alignment horizontal="center" vertical="center"/>
    </xf>
    <xf numFmtId="9" fontId="34" fillId="33" borderId="17" xfId="30" applyNumberFormat="1" applyFont="1" applyFill="1" applyBorder="1" applyAlignment="1">
      <alignment horizontal="center" vertical="center"/>
    </xf>
    <xf numFmtId="4" fontId="152" fillId="33" borderId="17" xfId="30" applyNumberFormat="1" applyFont="1" applyFill="1" applyBorder="1" applyAlignment="1">
      <alignment horizontal="center" vertical="center"/>
    </xf>
    <xf numFmtId="0" fontId="0" fillId="0" borderId="0" xfId="0"/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Border="1" applyAlignment="1">
      <alignment horizontal="center" vertical="center" wrapText="1"/>
    </xf>
    <xf numFmtId="4" fontId="43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 wrapText="1"/>
    </xf>
    <xf numFmtId="49" fontId="134" fillId="0" borderId="17" xfId="0" applyNumberFormat="1" applyFont="1" applyFill="1" applyBorder="1" applyAlignment="1">
      <alignment horizontal="center" vertical="center" wrapText="1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2" fillId="0" borderId="17" xfId="38" applyNumberFormat="1" applyFont="1" applyFill="1" applyBorder="1" applyAlignment="1">
      <alignment horizontal="center" vertical="center" wrapText="1"/>
    </xf>
    <xf numFmtId="4" fontId="42" fillId="0" borderId="18" xfId="0" applyNumberFormat="1" applyFont="1" applyBorder="1" applyAlignment="1">
      <alignment horizontal="center" vertical="center" wrapText="1"/>
    </xf>
    <xf numFmtId="0" fontId="104" fillId="0" borderId="0" xfId="0" applyFont="1"/>
    <xf numFmtId="49" fontId="150" fillId="0" borderId="0" xfId="0" applyNumberFormat="1" applyFont="1" applyFill="1" applyBorder="1" applyAlignment="1">
      <alignment horizontal="center" wrapText="1"/>
    </xf>
    <xf numFmtId="49" fontId="150" fillId="0" borderId="19" xfId="0" applyNumberFormat="1" applyFont="1" applyFill="1" applyBorder="1" applyAlignment="1">
      <alignment horizontal="center" vertical="top" wrapText="1"/>
    </xf>
    <xf numFmtId="4" fontId="42" fillId="0" borderId="0" xfId="30" applyNumberFormat="1" applyFont="1" applyBorder="1" applyAlignment="1">
      <alignment horizontal="center" vertical="center" wrapText="1"/>
    </xf>
    <xf numFmtId="0" fontId="0" fillId="0" borderId="0" xfId="0"/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Border="1" applyAlignment="1">
      <alignment horizontal="center" vertical="center" wrapText="1"/>
    </xf>
    <xf numFmtId="4" fontId="41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49" fontId="134" fillId="0" borderId="17" xfId="0" applyNumberFormat="1" applyFont="1" applyBorder="1" applyAlignment="1">
      <alignment horizontal="center" vertical="center" wrapText="1"/>
    </xf>
    <xf numFmtId="0" fontId="104" fillId="0" borderId="0" xfId="0" applyFont="1"/>
    <xf numFmtId="4" fontId="34" fillId="0" borderId="0" xfId="0" applyNumberFormat="1" applyFont="1" applyBorder="1" applyAlignment="1">
      <alignment horizontal="center" vertical="center" wrapText="1"/>
    </xf>
    <xf numFmtId="0" fontId="0" fillId="0" borderId="0" xfId="0"/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Border="1" applyAlignment="1">
      <alignment horizontal="center" vertical="center" wrapText="1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104" fillId="0" borderId="0" xfId="0" applyFont="1"/>
    <xf numFmtId="0" fontId="11" fillId="0" borderId="0" xfId="35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6" borderId="0" xfId="35" applyFont="1" applyFill="1"/>
    <xf numFmtId="4" fontId="11" fillId="0" borderId="0" xfId="35" applyNumberFormat="1" applyFont="1"/>
    <xf numFmtId="0" fontId="11" fillId="0" borderId="0" xfId="35" applyFont="1" applyAlignment="1">
      <alignment horizontal="left" vertical="center"/>
    </xf>
    <xf numFmtId="4" fontId="11" fillId="0" borderId="0" xfId="35" applyNumberFormat="1" applyFont="1" applyAlignment="1">
      <alignment horizontal="left" vertical="center"/>
    </xf>
    <xf numFmtId="164" fontId="34" fillId="0" borderId="0" xfId="30" applyNumberFormat="1" applyFont="1" applyAlignment="1">
      <alignment horizontal="center" vertical="center" wrapText="1"/>
    </xf>
    <xf numFmtId="4" fontId="86" fillId="0" borderId="0" xfId="35" applyNumberFormat="1" applyFont="1"/>
    <xf numFmtId="0" fontId="165" fillId="0" borderId="0" xfId="35" applyFont="1" applyAlignment="1">
      <alignment vertical="center"/>
    </xf>
    <xf numFmtId="4" fontId="15" fillId="0" borderId="0" xfId="35" applyNumberFormat="1" applyFont="1" applyAlignment="1">
      <alignment horizontal="center" vertical="center"/>
    </xf>
    <xf numFmtId="0" fontId="11" fillId="27" borderId="0" xfId="35" applyFont="1" applyFill="1"/>
    <xf numFmtId="0" fontId="11" fillId="0" borderId="0" xfId="35" applyFont="1" applyFill="1" applyAlignment="1">
      <alignment horizontal="center" vertical="center"/>
    </xf>
    <xf numFmtId="0" fontId="11" fillId="31" borderId="0" xfId="35" applyFont="1" applyFill="1" applyAlignment="1">
      <alignment horizontal="center" vertical="center"/>
    </xf>
    <xf numFmtId="0" fontId="63" fillId="0" borderId="0" xfId="39" applyFont="1" applyAlignment="1">
      <alignment vertical="center"/>
    </xf>
    <xf numFmtId="0" fontId="63" fillId="0" borderId="0" xfId="39" applyFont="1" applyFill="1" applyAlignment="1">
      <alignment vertical="center"/>
    </xf>
    <xf numFmtId="0" fontId="63" fillId="0" borderId="0" xfId="0" applyFont="1" applyFill="1" applyAlignment="1">
      <alignment vertical="center"/>
    </xf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Border="1" applyAlignment="1">
      <alignment horizontal="center" vertical="center" wrapText="1"/>
    </xf>
    <xf numFmtId="0" fontId="104" fillId="0" borderId="0" xfId="0" applyFont="1"/>
    <xf numFmtId="0" fontId="0" fillId="0" borderId="0" xfId="0"/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 wrapText="1"/>
    </xf>
    <xf numFmtId="49" fontId="134" fillId="0" borderId="17" xfId="0" applyNumberFormat="1" applyFont="1" applyBorder="1" applyAlignment="1">
      <alignment horizontal="center" vertical="center" wrapText="1"/>
    </xf>
    <xf numFmtId="0" fontId="104" fillId="0" borderId="0" xfId="0" applyFont="1"/>
    <xf numFmtId="0" fontId="152" fillId="0" borderId="17" xfId="100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9" fontId="134" fillId="0" borderId="17" xfId="0" applyNumberFormat="1" applyFont="1" applyBorder="1" applyAlignment="1">
      <alignment horizontal="center" vertical="center" wrapText="1"/>
    </xf>
    <xf numFmtId="0" fontId="19" fillId="0" borderId="27" xfId="39" applyFont="1" applyBorder="1" applyAlignment="1">
      <alignment horizontal="center" vertical="center" wrapText="1"/>
    </xf>
    <xf numFmtId="0" fontId="56" fillId="0" borderId="27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top" wrapText="1"/>
    </xf>
    <xf numFmtId="4" fontId="19" fillId="0" borderId="27" xfId="0" applyNumberFormat="1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left" vertical="center" wrapText="1"/>
    </xf>
    <xf numFmtId="0" fontId="19" fillId="0" borderId="27" xfId="0" applyFont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9" fontId="42" fillId="0" borderId="17" xfId="0" applyNumberFormat="1" applyFont="1" applyBorder="1" applyAlignment="1">
      <alignment horizontal="center" vertical="center" wrapText="1"/>
    </xf>
    <xf numFmtId="0" fontId="104" fillId="0" borderId="0" xfId="0" applyFont="1"/>
    <xf numFmtId="0" fontId="34" fillId="31" borderId="17" xfId="92" applyFont="1" applyFill="1" applyBorder="1" applyAlignment="1">
      <alignment horizontal="center" vertical="center" wrapText="1"/>
    </xf>
    <xf numFmtId="0" fontId="34" fillId="0" borderId="17" xfId="40" applyFont="1" applyFill="1" applyBorder="1" applyAlignment="1">
      <alignment horizontal="center" vertical="center" wrapText="1"/>
    </xf>
    <xf numFmtId="0" fontId="166" fillId="0" borderId="0" xfId="0" applyFont="1" applyAlignment="1">
      <alignment horizontal="left" vertical="center"/>
    </xf>
    <xf numFmtId="0" fontId="167" fillId="0" borderId="0" xfId="0" applyFont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0" fontId="80" fillId="0" borderId="0" xfId="0" applyFont="1" applyFill="1" applyAlignment="1">
      <alignment horizontal="left" vertical="center"/>
    </xf>
    <xf numFmtId="4" fontId="41" fillId="0" borderId="0" xfId="36" applyNumberFormat="1" applyFont="1" applyFill="1" applyBorder="1" applyAlignment="1">
      <alignment horizontal="center" vertical="center" wrapText="1"/>
    </xf>
    <xf numFmtId="4" fontId="77" fillId="0" borderId="0" xfId="0" applyNumberFormat="1" applyFont="1" applyFill="1" applyAlignment="1">
      <alignment vertical="center"/>
    </xf>
    <xf numFmtId="4" fontId="107" fillId="0" borderId="0" xfId="0" applyNumberFormat="1" applyFont="1" applyFill="1" applyAlignment="1">
      <alignment horizontal="center" vertical="center"/>
    </xf>
    <xf numFmtId="0" fontId="34" fillId="0" borderId="0" xfId="0" applyFont="1" applyFill="1"/>
    <xf numFmtId="4" fontId="41" fillId="0" borderId="0" xfId="0" applyNumberFormat="1" applyFont="1" applyAlignment="1">
      <alignment vertical="center"/>
    </xf>
    <xf numFmtId="4" fontId="42" fillId="0" borderId="0" xfId="0" applyNumberFormat="1" applyFont="1" applyAlignment="1">
      <alignment vertical="center"/>
    </xf>
    <xf numFmtId="0" fontId="41" fillId="0" borderId="0" xfId="35" applyFont="1" applyAlignment="1">
      <alignment vertical="center"/>
    </xf>
    <xf numFmtId="0" fontId="168" fillId="0" borderId="0" xfId="35" applyFont="1" applyAlignment="1">
      <alignment horizontal="left" vertical="center"/>
    </xf>
    <xf numFmtId="0" fontId="41" fillId="0" borderId="0" xfId="35" applyFont="1" applyAlignment="1">
      <alignment horizontal="left" vertical="center"/>
    </xf>
    <xf numFmtId="0" fontId="169" fillId="0" borderId="0" xfId="35" applyFont="1" applyAlignment="1">
      <alignment vertical="center"/>
    </xf>
    <xf numFmtId="0" fontId="169" fillId="0" borderId="0" xfId="35" applyFont="1" applyAlignment="1">
      <alignment horizontal="left" vertical="center"/>
    </xf>
    <xf numFmtId="4" fontId="169" fillId="0" borderId="0" xfId="35" applyNumberFormat="1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17" fillId="0" borderId="0" xfId="35" applyFont="1" applyAlignment="1">
      <alignment horizontal="center" vertical="center" wrapText="1"/>
    </xf>
    <xf numFmtId="0" fontId="34" fillId="0" borderId="0" xfId="35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46" fillId="0" borderId="0" xfId="35" applyFont="1" applyAlignment="1">
      <alignment horizontal="center" vertical="center" wrapText="1"/>
    </xf>
    <xf numFmtId="0" fontId="19" fillId="0" borderId="27" xfId="0" applyFont="1" applyBorder="1" applyAlignment="1">
      <alignment horizontal="left" vertical="center" wrapText="1"/>
    </xf>
    <xf numFmtId="4" fontId="11" fillId="0" borderId="27" xfId="0" applyNumberFormat="1" applyFont="1" applyFill="1" applyBorder="1" applyAlignment="1">
      <alignment horizontal="center" vertical="center" wrapText="1"/>
    </xf>
    <xf numFmtId="4" fontId="19" fillId="0" borderId="27" xfId="0" applyNumberFormat="1" applyFont="1" applyFill="1" applyBorder="1" applyAlignment="1">
      <alignment horizontal="center" vertical="center" wrapText="1"/>
    </xf>
    <xf numFmtId="0" fontId="86" fillId="0" borderId="27" xfId="0" applyFont="1" applyBorder="1" applyAlignment="1">
      <alignment horizontal="center" vertical="center" wrapText="1"/>
    </xf>
    <xf numFmtId="0" fontId="38" fillId="0" borderId="27" xfId="0" applyFont="1" applyBorder="1" applyAlignment="1">
      <alignment horizontal="center" vertical="center" wrapText="1"/>
    </xf>
    <xf numFmtId="4" fontId="38" fillId="0" borderId="27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/>
    </xf>
    <xf numFmtId="0" fontId="38" fillId="0" borderId="27" xfId="0" applyFont="1" applyBorder="1" applyAlignment="1">
      <alignment horizontal="left" vertical="center" wrapText="1"/>
    </xf>
    <xf numFmtId="0" fontId="19" fillId="36" borderId="27" xfId="0" applyFont="1" applyFill="1" applyBorder="1" applyAlignment="1">
      <alignment horizontal="center" vertical="center" wrapText="1"/>
    </xf>
    <xf numFmtId="4" fontId="19" fillId="36" borderId="27" xfId="0" applyNumberFormat="1" applyFont="1" applyFill="1" applyBorder="1" applyAlignment="1">
      <alignment horizontal="center" vertical="center" wrapText="1"/>
    </xf>
    <xf numFmtId="4" fontId="86" fillId="0" borderId="27" xfId="0" applyNumberFormat="1" applyFont="1" applyFill="1" applyBorder="1" applyAlignment="1">
      <alignment horizontal="center" vertical="center" wrapText="1"/>
    </xf>
    <xf numFmtId="0" fontId="38" fillId="0" borderId="27" xfId="0" applyFont="1" applyFill="1" applyBorder="1" applyAlignment="1">
      <alignment horizontal="center" vertical="center" wrapText="1"/>
    </xf>
    <xf numFmtId="0" fontId="86" fillId="0" borderId="27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4" fontId="19" fillId="0" borderId="27" xfId="0" applyNumberFormat="1" applyFont="1" applyBorder="1" applyAlignment="1">
      <alignment horizontal="left" vertical="center" wrapText="1"/>
    </xf>
    <xf numFmtId="4" fontId="38" fillId="0" borderId="27" xfId="0" applyNumberFormat="1" applyFont="1" applyBorder="1" applyAlignment="1">
      <alignment horizontal="left" vertical="center" wrapText="1"/>
    </xf>
    <xf numFmtId="0" fontId="38" fillId="0" borderId="27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19" fillId="36" borderId="27" xfId="0" applyFont="1" applyFill="1" applyBorder="1" applyAlignment="1">
      <alignment horizontal="left" vertical="center" wrapText="1"/>
    </xf>
    <xf numFmtId="0" fontId="86" fillId="0" borderId="27" xfId="0" applyFont="1" applyBorder="1" applyAlignment="1">
      <alignment horizontal="left" vertical="center" wrapText="1"/>
    </xf>
    <xf numFmtId="0" fontId="86" fillId="0" borderId="27" xfId="0" applyFont="1" applyFill="1" applyBorder="1" applyAlignment="1">
      <alignment horizontal="left" vertical="center" wrapText="1"/>
    </xf>
    <xf numFmtId="0" fontId="170" fillId="0" borderId="0" xfId="0" applyFont="1" applyAlignment="1">
      <alignment horizontal="left" vertical="center"/>
    </xf>
    <xf numFmtId="0" fontId="35" fillId="0" borderId="0" xfId="0" applyFont="1" applyFill="1" applyBorder="1" applyAlignment="1">
      <alignment horizontal="left" vertical="center"/>
    </xf>
    <xf numFmtId="0" fontId="137" fillId="0" borderId="0" xfId="35" applyFont="1" applyAlignment="1">
      <alignment horizontal="left" vertical="center"/>
    </xf>
    <xf numFmtId="0" fontId="0" fillId="0" borderId="0" xfId="0"/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 wrapText="1"/>
    </xf>
    <xf numFmtId="49" fontId="134" fillId="0" borderId="17" xfId="0" applyNumberFormat="1" applyFont="1" applyFill="1" applyBorder="1" applyAlignment="1">
      <alignment horizontal="center" vertical="center" wrapText="1"/>
    </xf>
    <xf numFmtId="4" fontId="138" fillId="0" borderId="17" xfId="0" applyNumberFormat="1" applyFont="1" applyFill="1" applyBorder="1" applyAlignment="1">
      <alignment horizontal="center" vertical="center" wrapText="1"/>
    </xf>
    <xf numFmtId="0" fontId="104" fillId="0" borderId="0" xfId="0" applyFont="1"/>
    <xf numFmtId="0" fontId="34" fillId="0" borderId="29" xfId="40" applyFont="1" applyBorder="1" applyAlignment="1">
      <alignment horizontal="center" vertical="center" wrapText="1"/>
    </xf>
    <xf numFmtId="0" fontId="0" fillId="0" borderId="0" xfId="0"/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 wrapText="1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2" fillId="0" borderId="17" xfId="38" applyNumberFormat="1" applyFont="1" applyFill="1" applyBorder="1" applyAlignment="1">
      <alignment horizontal="center" vertical="center" wrapText="1"/>
    </xf>
    <xf numFmtId="2" fontId="63" fillId="0" borderId="17" xfId="36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/>
    </xf>
    <xf numFmtId="0" fontId="104" fillId="0" borderId="0" xfId="0" applyFont="1"/>
    <xf numFmtId="2" fontId="15" fillId="0" borderId="17" xfId="36" applyNumberFormat="1" applyFont="1" applyFill="1" applyBorder="1" applyAlignment="1">
      <alignment horizontal="center" vertical="center" wrapText="1"/>
    </xf>
    <xf numFmtId="0" fontId="0" fillId="0" borderId="0" xfId="0"/>
    <xf numFmtId="0" fontId="54" fillId="0" borderId="0" xfId="39" applyFont="1" applyAlignment="1">
      <alignment horizontal="center" vertical="center"/>
    </xf>
    <xf numFmtId="4" fontId="43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Border="1" applyAlignment="1">
      <alignment horizontal="center" vertical="center" wrapText="1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2" fillId="0" borderId="17" xfId="38" applyNumberFormat="1" applyFont="1" applyFill="1" applyBorder="1" applyAlignment="1">
      <alignment horizontal="center" vertical="center" wrapText="1"/>
    </xf>
    <xf numFmtId="0" fontId="104" fillId="0" borderId="0" xfId="0" applyFont="1"/>
    <xf numFmtId="2" fontId="15" fillId="0" borderId="17" xfId="36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166" fillId="0" borderId="0" xfId="0" applyFont="1" applyAlignment="1">
      <alignment horizontal="justify" vertical="center"/>
    </xf>
    <xf numFmtId="4" fontId="34" fillId="37" borderId="17" xfId="0" applyNumberFormat="1" applyFont="1" applyFill="1" applyBorder="1" applyAlignment="1">
      <alignment horizontal="center" vertical="center" wrapText="1"/>
    </xf>
    <xf numFmtId="164" fontId="34" fillId="37" borderId="17" xfId="30" applyNumberFormat="1" applyFont="1" applyFill="1" applyBorder="1" applyAlignment="1">
      <alignment horizontal="center" vertical="center"/>
    </xf>
    <xf numFmtId="9" fontId="34" fillId="37" borderId="17" xfId="0" applyNumberFormat="1" applyFont="1" applyFill="1" applyBorder="1" applyAlignment="1">
      <alignment horizontal="center" vertical="center" wrapText="1"/>
    </xf>
    <xf numFmtId="4" fontId="152" fillId="37" borderId="17" xfId="30" applyNumberFormat="1" applyFont="1" applyFill="1" applyBorder="1" applyAlignment="1">
      <alignment horizontal="center" vertical="center"/>
    </xf>
    <xf numFmtId="4" fontId="152" fillId="0" borderId="17" xfId="30" applyNumberFormat="1" applyFont="1" applyFill="1" applyBorder="1" applyAlignment="1">
      <alignment horizontal="center" vertical="center"/>
    </xf>
    <xf numFmtId="164" fontId="152" fillId="0" borderId="17" xfId="30" applyNumberFormat="1" applyFont="1" applyFill="1" applyBorder="1" applyAlignment="1">
      <alignment horizontal="center" vertical="center"/>
    </xf>
    <xf numFmtId="0" fontId="152" fillId="0" borderId="17" xfId="0" applyFont="1" applyFill="1" applyBorder="1" applyAlignment="1">
      <alignment horizontal="center" vertical="center" wrapText="1"/>
    </xf>
    <xf numFmtId="9" fontId="152" fillId="0" borderId="17" xfId="0" applyNumberFormat="1" applyFont="1" applyFill="1" applyBorder="1" applyAlignment="1">
      <alignment horizontal="center" vertical="center" wrapText="1"/>
    </xf>
    <xf numFmtId="9" fontId="152" fillId="0" borderId="17" xfId="0" applyNumberFormat="1" applyFont="1" applyBorder="1" applyAlignment="1">
      <alignment horizontal="center" vertical="center" wrapText="1"/>
    </xf>
    <xf numFmtId="4" fontId="152" fillId="0" borderId="23" xfId="30" applyNumberFormat="1" applyFont="1" applyBorder="1" applyAlignment="1">
      <alignment horizontal="center" vertical="center"/>
    </xf>
    <xf numFmtId="9" fontId="152" fillId="0" borderId="17" xfId="30" applyNumberFormat="1" applyFont="1" applyFill="1" applyBorder="1" applyAlignment="1">
      <alignment horizontal="center" vertical="center"/>
    </xf>
    <xf numFmtId="9" fontId="152" fillId="0" borderId="17" xfId="30" applyNumberFormat="1" applyFont="1" applyBorder="1" applyAlignment="1">
      <alignment horizontal="center" vertical="center"/>
    </xf>
    <xf numFmtId="164" fontId="152" fillId="33" borderId="17" xfId="30" applyNumberFormat="1" applyFont="1" applyFill="1" applyBorder="1" applyAlignment="1">
      <alignment horizontal="center" vertical="center"/>
    </xf>
    <xf numFmtId="9" fontId="152" fillId="33" borderId="17" xfId="30" applyNumberFormat="1" applyFont="1" applyFill="1" applyBorder="1" applyAlignment="1">
      <alignment horizontal="center" vertical="center"/>
    </xf>
    <xf numFmtId="164" fontId="36" fillId="0" borderId="17" xfId="30" applyNumberFormat="1" applyFont="1" applyBorder="1" applyAlignment="1">
      <alignment horizontal="center" vertical="center"/>
    </xf>
    <xf numFmtId="4" fontId="36" fillId="0" borderId="17" xfId="30" applyNumberFormat="1" applyFont="1" applyBorder="1" applyAlignment="1">
      <alignment horizontal="center" vertical="center"/>
    </xf>
    <xf numFmtId="0" fontId="20" fillId="0" borderId="0" xfId="39" applyFont="1" applyAlignment="1">
      <alignment vertical="center"/>
    </xf>
    <xf numFmtId="0" fontId="15" fillId="0" borderId="0" xfId="0" applyFont="1" applyAlignment="1">
      <alignment horizontal="justify" vertical="center"/>
    </xf>
    <xf numFmtId="164" fontId="163" fillId="0" borderId="17" xfId="30" applyNumberFormat="1" applyFont="1" applyBorder="1" applyAlignment="1">
      <alignment horizontal="center" vertical="center" wrapText="1"/>
    </xf>
    <xf numFmtId="49" fontId="175" fillId="0" borderId="17" xfId="0" applyNumberFormat="1" applyFont="1" applyBorder="1" applyAlignment="1">
      <alignment horizontal="center" vertical="center" wrapText="1"/>
    </xf>
    <xf numFmtId="4" fontId="175" fillId="0" borderId="25" xfId="0" applyNumberFormat="1" applyFont="1" applyBorder="1" applyAlignment="1">
      <alignment horizontal="center" vertical="center" wrapText="1"/>
    </xf>
    <xf numFmtId="0" fontId="34" fillId="0" borderId="17" xfId="84" applyFont="1" applyBorder="1" applyAlignment="1">
      <alignment horizontal="center" vertical="center" wrapText="1"/>
    </xf>
    <xf numFmtId="0" fontId="0" fillId="0" borderId="0" xfId="0"/>
    <xf numFmtId="0" fontId="42" fillId="0" borderId="0" xfId="0" applyFont="1"/>
    <xf numFmtId="0" fontId="34" fillId="0" borderId="0" xfId="0" applyFont="1"/>
    <xf numFmtId="0" fontId="167" fillId="0" borderId="0" xfId="0" applyFont="1" applyAlignment="1">
      <alignment horizontal="justify" vertical="center"/>
    </xf>
    <xf numFmtId="0" fontId="82" fillId="0" borderId="0" xfId="0" applyFont="1" applyAlignment="1">
      <alignment horizontal="right" vertical="center"/>
    </xf>
    <xf numFmtId="0" fontId="166" fillId="0" borderId="0" xfId="0" applyFont="1" applyAlignment="1">
      <alignment horizontal="justify" vertical="center"/>
    </xf>
    <xf numFmtId="0" fontId="63" fillId="0" borderId="0" xfId="0" applyFont="1"/>
    <xf numFmtId="0" fontId="0" fillId="0" borderId="0" xfId="0"/>
    <xf numFmtId="4" fontId="43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center" vertical="center" wrapText="1"/>
    </xf>
    <xf numFmtId="4" fontId="41" fillId="0" borderId="17" xfId="0" applyNumberFormat="1" applyFont="1" applyBorder="1" applyAlignment="1">
      <alignment horizontal="center" vertical="center" wrapText="1"/>
    </xf>
    <xf numFmtId="0" fontId="104" fillId="0" borderId="0" xfId="0" applyFont="1"/>
    <xf numFmtId="4" fontId="42" fillId="0" borderId="17" xfId="0" applyNumberFormat="1" applyFont="1" applyFill="1" applyBorder="1" applyAlignment="1">
      <alignment horizontal="center" vertical="center" wrapText="1"/>
    </xf>
    <xf numFmtId="4" fontId="11" fillId="0" borderId="0" xfId="39" applyNumberFormat="1"/>
    <xf numFmtId="4" fontId="16" fillId="0" borderId="0" xfId="39" applyNumberFormat="1" applyFont="1"/>
    <xf numFmtId="0" fontId="19" fillId="38" borderId="27" xfId="39" applyFont="1" applyFill="1" applyBorder="1" applyAlignment="1">
      <alignment horizontal="center" vertical="center" wrapText="1"/>
    </xf>
    <xf numFmtId="4" fontId="21" fillId="38" borderId="27" xfId="39" applyNumberFormat="1" applyFont="1" applyFill="1" applyBorder="1" applyAlignment="1">
      <alignment horizontal="center" vertical="center" wrapText="1"/>
    </xf>
    <xf numFmtId="0" fontId="19" fillId="0" borderId="27" xfId="39" applyFont="1" applyFill="1" applyBorder="1" applyAlignment="1">
      <alignment horizontal="center" vertical="center" wrapText="1"/>
    </xf>
    <xf numFmtId="0" fontId="19" fillId="0" borderId="27" xfId="39" applyFont="1" applyFill="1" applyBorder="1" applyAlignment="1">
      <alignment vertical="center" wrapText="1"/>
    </xf>
    <xf numFmtId="4" fontId="21" fillId="0" borderId="27" xfId="39" applyNumberFormat="1" applyFont="1" applyFill="1" applyBorder="1" applyAlignment="1">
      <alignment horizontal="center" vertical="center" wrapText="1"/>
    </xf>
    <xf numFmtId="0" fontId="38" fillId="0" borderId="27" xfId="39" applyFont="1" applyFill="1" applyBorder="1" applyAlignment="1">
      <alignment horizontal="center" vertical="center" wrapText="1"/>
    </xf>
    <xf numFmtId="0" fontId="38" fillId="0" borderId="27" xfId="39" applyFont="1" applyFill="1" applyBorder="1" applyAlignment="1">
      <alignment vertical="center" wrapText="1"/>
    </xf>
    <xf numFmtId="0" fontId="11" fillId="0" borderId="27" xfId="39" applyFont="1" applyFill="1" applyBorder="1" applyAlignment="1">
      <alignment horizontal="center" vertical="center" wrapText="1"/>
    </xf>
    <xf numFmtId="0" fontId="11" fillId="0" borderId="27" xfId="39" applyFont="1" applyFill="1" applyBorder="1" applyAlignment="1">
      <alignment vertical="center" wrapText="1"/>
    </xf>
    <xf numFmtId="4" fontId="39" fillId="0" borderId="27" xfId="39" applyNumberFormat="1" applyFont="1" applyFill="1" applyBorder="1" applyAlignment="1">
      <alignment horizontal="center" vertical="center" wrapText="1"/>
    </xf>
    <xf numFmtId="4" fontId="40" fillId="0" borderId="27" xfId="39" applyNumberFormat="1" applyFont="1" applyFill="1" applyBorder="1" applyAlignment="1">
      <alignment horizontal="center" vertical="center" wrapText="1"/>
    </xf>
    <xf numFmtId="4" fontId="38" fillId="0" borderId="27" xfId="39" applyNumberFormat="1" applyFont="1" applyFill="1" applyBorder="1" applyAlignment="1">
      <alignment horizontal="center" vertical="center" wrapText="1"/>
    </xf>
    <xf numFmtId="4" fontId="11" fillId="0" borderId="27" xfId="39" applyNumberFormat="1" applyFont="1" applyFill="1" applyBorder="1" applyAlignment="1">
      <alignment horizontal="center" vertical="center" wrapText="1"/>
    </xf>
    <xf numFmtId="0" fontId="11" fillId="0" borderId="27" xfId="37" applyFont="1" applyFill="1" applyBorder="1" applyAlignment="1">
      <alignment horizontal="left" vertical="center" wrapText="1"/>
    </xf>
    <xf numFmtId="0" fontId="38" fillId="0" borderId="27" xfId="37" applyFont="1" applyFill="1" applyBorder="1" applyAlignment="1">
      <alignment horizontal="left" vertical="center" wrapText="1"/>
    </xf>
    <xf numFmtId="0" fontId="11" fillId="0" borderId="27" xfId="37" applyFont="1" applyFill="1" applyBorder="1" applyAlignment="1">
      <alignment horizontal="justify" vertical="center" wrapText="1"/>
    </xf>
    <xf numFmtId="0" fontId="19" fillId="0" borderId="27" xfId="37" applyFont="1" applyFill="1" applyBorder="1" applyAlignment="1">
      <alignment horizontal="justify" vertical="center" wrapText="1"/>
    </xf>
    <xf numFmtId="0" fontId="38" fillId="0" borderId="27" xfId="37" applyFont="1" applyFill="1" applyBorder="1" applyAlignment="1">
      <alignment horizontal="justify" vertical="center" wrapText="1"/>
    </xf>
    <xf numFmtId="0" fontId="11" fillId="0" borderId="0" xfId="39" applyAlignment="1">
      <alignment vertical="center"/>
    </xf>
    <xf numFmtId="4" fontId="19" fillId="0" borderId="27" xfId="39" applyNumberFormat="1" applyFont="1" applyFill="1" applyBorder="1" applyAlignment="1">
      <alignment horizontal="center" vertical="center" wrapText="1"/>
    </xf>
    <xf numFmtId="4" fontId="177" fillId="0" borderId="27" xfId="39" applyNumberFormat="1" applyFont="1" applyFill="1" applyBorder="1" applyAlignment="1">
      <alignment horizontal="center" vertical="center" wrapText="1"/>
    </xf>
    <xf numFmtId="0" fontId="19" fillId="0" borderId="27" xfId="37" applyFont="1" applyFill="1" applyBorder="1" applyAlignment="1">
      <alignment horizontal="center" vertical="center" wrapText="1"/>
    </xf>
    <xf numFmtId="0" fontId="39" fillId="0" borderId="27" xfId="37" applyFont="1" applyFill="1" applyBorder="1" applyAlignment="1">
      <alignment horizontal="justify" vertical="center" wrapText="1"/>
    </xf>
    <xf numFmtId="0" fontId="40" fillId="0" borderId="27" xfId="37" applyFont="1" applyFill="1" applyBorder="1" applyAlignment="1">
      <alignment horizontal="justify" vertical="center" wrapText="1"/>
    </xf>
    <xf numFmtId="0" fontId="21" fillId="0" borderId="27" xfId="37" applyFont="1" applyFill="1" applyBorder="1" applyAlignment="1">
      <alignment horizontal="justify" vertical="center" wrapText="1"/>
    </xf>
    <xf numFmtId="0" fontId="40" fillId="0" borderId="27" xfId="37" applyFont="1" applyFill="1" applyBorder="1" applyAlignment="1">
      <alignment vertical="center" wrapText="1"/>
    </xf>
    <xf numFmtId="4" fontId="86" fillId="0" borderId="27" xfId="39" applyNumberFormat="1" applyFont="1" applyFill="1" applyBorder="1" applyAlignment="1">
      <alignment horizontal="center" vertical="center" wrapText="1"/>
    </xf>
    <xf numFmtId="0" fontId="86" fillId="0" borderId="27" xfId="39" applyFont="1" applyFill="1" applyBorder="1" applyAlignment="1">
      <alignment vertical="center" wrapText="1"/>
    </xf>
    <xf numFmtId="0" fontId="39" fillId="0" borderId="27" xfId="37" applyFont="1" applyFill="1" applyBorder="1" applyAlignment="1">
      <alignment vertical="center" wrapText="1"/>
    </xf>
    <xf numFmtId="0" fontId="21" fillId="0" borderId="27" xfId="37" applyFont="1" applyFill="1" applyBorder="1" applyAlignment="1">
      <alignment vertical="center" wrapText="1"/>
    </xf>
    <xf numFmtId="0" fontId="11" fillId="0" borderId="27" xfId="0" applyFont="1" applyFill="1" applyBorder="1" applyAlignment="1">
      <alignment horizontal="justify" vertical="center"/>
    </xf>
    <xf numFmtId="0" fontId="19" fillId="36" borderId="27" xfId="39" applyFont="1" applyFill="1" applyBorder="1" applyAlignment="1">
      <alignment horizontal="center" vertical="center" wrapText="1"/>
    </xf>
    <xf numFmtId="4" fontId="21" fillId="36" borderId="27" xfId="39" applyNumberFormat="1" applyFont="1" applyFill="1" applyBorder="1" applyAlignment="1">
      <alignment horizontal="center" vertical="center" wrapText="1"/>
    </xf>
    <xf numFmtId="4" fontId="19" fillId="36" borderId="27" xfId="39" applyNumberFormat="1" applyFont="1" applyFill="1" applyBorder="1" applyAlignment="1">
      <alignment horizontal="center" vertical="center" wrapText="1"/>
    </xf>
    <xf numFmtId="0" fontId="19" fillId="36" borderId="27" xfId="37" applyFont="1" applyFill="1" applyBorder="1" applyAlignment="1">
      <alignment horizontal="center" vertical="center" wrapText="1"/>
    </xf>
    <xf numFmtId="4" fontId="44" fillId="39" borderId="17" xfId="0" applyNumberFormat="1" applyFont="1" applyFill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2" fillId="0" borderId="17" xfId="38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" fontId="43" fillId="0" borderId="17" xfId="0" applyNumberFormat="1" applyFont="1" applyFill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center" vertical="center" wrapText="1"/>
    </xf>
    <xf numFmtId="0" fontId="104" fillId="0" borderId="0" xfId="0" applyFont="1"/>
    <xf numFmtId="0" fontId="0" fillId="0" borderId="0" xfId="0"/>
    <xf numFmtId="49" fontId="42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Border="1" applyAlignment="1">
      <alignment horizontal="center" vertical="center" wrapText="1"/>
    </xf>
    <xf numFmtId="4" fontId="138" fillId="0" borderId="17" xfId="0" applyNumberFormat="1" applyFont="1" applyFill="1" applyBorder="1" applyAlignment="1">
      <alignment horizontal="center" vertical="center" wrapText="1"/>
    </xf>
    <xf numFmtId="4" fontId="42" fillId="0" borderId="18" xfId="0" applyNumberFormat="1" applyFont="1" applyBorder="1" applyAlignment="1">
      <alignment horizontal="center" vertical="center" wrapText="1"/>
    </xf>
    <xf numFmtId="0" fontId="104" fillId="0" borderId="0" xfId="0" applyFont="1"/>
    <xf numFmtId="0" fontId="11" fillId="37" borderId="27" xfId="39" applyFont="1" applyFill="1" applyBorder="1" applyAlignment="1">
      <alignment horizontal="center" vertical="center" wrapText="1"/>
    </xf>
    <xf numFmtId="0" fontId="11" fillId="37" borderId="27" xfId="39" applyFont="1" applyFill="1" applyBorder="1" applyAlignment="1">
      <alignment vertical="center" wrapText="1"/>
    </xf>
    <xf numFmtId="4" fontId="21" fillId="37" borderId="27" xfId="39" applyNumberFormat="1" applyFont="1" applyFill="1" applyBorder="1" applyAlignment="1">
      <alignment horizontal="center" vertical="center" wrapText="1"/>
    </xf>
    <xf numFmtId="4" fontId="11" fillId="37" borderId="27" xfId="39" applyNumberFormat="1" applyFont="1" applyFill="1" applyBorder="1" applyAlignment="1">
      <alignment horizontal="center" vertical="center" wrapText="1"/>
    </xf>
    <xf numFmtId="4" fontId="19" fillId="37" borderId="27" xfId="39" applyNumberFormat="1" applyFont="1" applyFill="1" applyBorder="1" applyAlignment="1">
      <alignment horizontal="center" vertical="center" wrapText="1"/>
    </xf>
    <xf numFmtId="4" fontId="40" fillId="37" borderId="27" xfId="39" applyNumberFormat="1" applyFont="1" applyFill="1" applyBorder="1" applyAlignment="1">
      <alignment horizontal="center" vertical="center" wrapText="1"/>
    </xf>
    <xf numFmtId="4" fontId="43" fillId="39" borderId="17" xfId="0" applyNumberFormat="1" applyFont="1" applyFill="1" applyBorder="1" applyAlignment="1">
      <alignment horizontal="center" vertical="center" wrapText="1"/>
    </xf>
    <xf numFmtId="4" fontId="44" fillId="39" borderId="17" xfId="38" applyNumberFormat="1" applyFont="1" applyFill="1" applyBorder="1" applyAlignment="1" applyProtection="1">
      <alignment horizontal="center" vertical="center" wrapText="1"/>
      <protection locked="0"/>
    </xf>
    <xf numFmtId="4" fontId="44" fillId="39" borderId="17" xfId="0" applyNumberFormat="1" applyFont="1" applyFill="1" applyBorder="1" applyAlignment="1">
      <alignment horizontal="center" vertical="center"/>
    </xf>
    <xf numFmtId="4" fontId="151" fillId="39" borderId="17" xfId="0" applyNumberFormat="1" applyFont="1" applyFill="1" applyBorder="1" applyAlignment="1">
      <alignment horizontal="center" vertical="center" wrapText="1"/>
    </xf>
    <xf numFmtId="4" fontId="112" fillId="39" borderId="17" xfId="0" applyNumberFormat="1" applyFont="1" applyFill="1" applyBorder="1" applyAlignment="1">
      <alignment horizontal="center" vertical="center" wrapText="1"/>
    </xf>
    <xf numFmtId="4" fontId="108" fillId="39" borderId="17" xfId="0" applyNumberFormat="1" applyFont="1" applyFill="1" applyBorder="1" applyAlignment="1">
      <alignment horizontal="center" vertical="center" wrapText="1"/>
    </xf>
    <xf numFmtId="4" fontId="108" fillId="39" borderId="17" xfId="0" applyNumberFormat="1" applyFont="1" applyFill="1" applyBorder="1" applyAlignment="1">
      <alignment horizontal="center" vertical="center"/>
    </xf>
    <xf numFmtId="0" fontId="0" fillId="0" borderId="0" xfId="0"/>
    <xf numFmtId="4" fontId="43" fillId="0" borderId="17" xfId="0" applyNumberFormat="1" applyFont="1" applyFill="1" applyBorder="1" applyAlignment="1">
      <alignment horizontal="center" vertical="center" wrapText="1"/>
    </xf>
    <xf numFmtId="4" fontId="138" fillId="0" borderId="17" xfId="0" applyNumberFormat="1" applyFont="1" applyFill="1" applyBorder="1" applyAlignment="1">
      <alignment horizontal="center" vertical="center" wrapText="1"/>
    </xf>
    <xf numFmtId="49" fontId="134" fillId="0" borderId="17" xfId="0" applyNumberFormat="1" applyFont="1" applyBorder="1" applyAlignment="1">
      <alignment horizontal="center" vertical="center" wrapText="1"/>
    </xf>
    <xf numFmtId="4" fontId="44" fillId="0" borderId="17" xfId="38" applyNumberFormat="1" applyFont="1" applyFill="1" applyBorder="1" applyAlignment="1">
      <alignment horizontal="center" vertical="center" wrapText="1"/>
    </xf>
    <xf numFmtId="4" fontId="43" fillId="0" borderId="17" xfId="38" applyNumberFormat="1" applyFont="1" applyFill="1" applyBorder="1" applyAlignment="1">
      <alignment horizontal="center" vertical="center" wrapText="1"/>
    </xf>
    <xf numFmtId="4" fontId="44" fillId="0" borderId="17" xfId="0" applyNumberFormat="1" applyFont="1" applyFill="1" applyBorder="1" applyAlignment="1">
      <alignment horizontal="center" vertical="center"/>
    </xf>
    <xf numFmtId="4" fontId="145" fillId="0" borderId="17" xfId="38" applyNumberFormat="1" applyFont="1" applyFill="1" applyBorder="1" applyAlignment="1">
      <alignment horizontal="center" vertical="center" wrapText="1"/>
    </xf>
    <xf numFmtId="4" fontId="138" fillId="0" borderId="17" xfId="38" applyNumberFormat="1" applyFont="1" applyFill="1" applyBorder="1" applyAlignment="1">
      <alignment horizontal="center" vertical="center" wrapText="1"/>
    </xf>
    <xf numFmtId="4" fontId="145" fillId="0" borderId="17" xfId="0" applyNumberFormat="1" applyFont="1" applyFill="1" applyBorder="1" applyAlignment="1">
      <alignment horizontal="center" vertical="center"/>
    </xf>
    <xf numFmtId="49" fontId="113" fillId="40" borderId="17" xfId="0" applyNumberFormat="1" applyFont="1" applyFill="1" applyBorder="1" applyAlignment="1">
      <alignment horizontal="center" vertical="center" wrapText="1"/>
    </xf>
    <xf numFmtId="0" fontId="113" fillId="40" borderId="17" xfId="38" applyFont="1" applyFill="1" applyBorder="1" applyAlignment="1" applyProtection="1">
      <alignment horizontal="center" vertical="center" wrapText="1"/>
      <protection locked="0"/>
    </xf>
    <xf numFmtId="4" fontId="113" fillId="40" borderId="17" xfId="38" applyNumberFormat="1" applyFont="1" applyFill="1" applyBorder="1" applyAlignment="1" applyProtection="1">
      <alignment horizontal="center" vertical="center" wrapText="1"/>
      <protection locked="0"/>
    </xf>
    <xf numFmtId="4" fontId="113" fillId="40" borderId="17" xfId="0" applyNumberFormat="1" applyFont="1" applyFill="1" applyBorder="1" applyAlignment="1">
      <alignment horizontal="center" vertical="center" wrapText="1"/>
    </xf>
    <xf numFmtId="49" fontId="41" fillId="41" borderId="17" xfId="0" applyNumberFormat="1" applyFont="1" applyFill="1" applyBorder="1" applyAlignment="1">
      <alignment horizontal="center" vertical="center" wrapText="1"/>
    </xf>
    <xf numFmtId="0" fontId="41" fillId="41" borderId="17" xfId="38" applyFont="1" applyFill="1" applyBorder="1" applyAlignment="1" applyProtection="1">
      <alignment horizontal="center" vertical="center" wrapText="1"/>
      <protection locked="0"/>
    </xf>
    <xf numFmtId="4" fontId="41" fillId="41" borderId="17" xfId="38" applyNumberFormat="1" applyFont="1" applyFill="1" applyBorder="1" applyAlignment="1" applyProtection="1">
      <alignment horizontal="center" vertical="center" wrapText="1"/>
      <protection locked="0"/>
    </xf>
    <xf numFmtId="4" fontId="42" fillId="0" borderId="20" xfId="0" applyNumberFormat="1" applyFont="1" applyBorder="1" applyAlignment="1">
      <alignment horizontal="center" vertical="center" wrapText="1"/>
    </xf>
    <xf numFmtId="49" fontId="42" fillId="0" borderId="0" xfId="0" applyNumberFormat="1" applyFont="1" applyBorder="1" applyAlignment="1">
      <alignment horizontal="center" vertical="center" wrapText="1"/>
    </xf>
    <xf numFmtId="49" fontId="42" fillId="0" borderId="18" xfId="0" applyNumberFormat="1" applyFont="1" applyBorder="1" applyAlignment="1">
      <alignment horizontal="center" wrapText="1"/>
    </xf>
    <xf numFmtId="49" fontId="42" fillId="0" borderId="19" xfId="0" applyNumberFormat="1" applyFont="1" applyBorder="1" applyAlignment="1">
      <alignment horizontal="center" vertical="top" wrapText="1"/>
    </xf>
    <xf numFmtId="49" fontId="34" fillId="0" borderId="18" xfId="0" applyNumberFormat="1" applyFont="1" applyBorder="1" applyAlignment="1">
      <alignment horizontal="center" wrapText="1"/>
    </xf>
    <xf numFmtId="49" fontId="34" fillId="0" borderId="0" xfId="0" applyNumberFormat="1" applyFont="1" applyBorder="1" applyAlignment="1">
      <alignment horizontal="center" vertical="center" wrapText="1"/>
    </xf>
    <xf numFmtId="49" fontId="34" fillId="0" borderId="19" xfId="0" applyNumberFormat="1" applyFont="1" applyBorder="1" applyAlignment="1">
      <alignment horizontal="center" vertical="top" wrapText="1"/>
    </xf>
    <xf numFmtId="49" fontId="48" fillId="40" borderId="17" xfId="0" applyNumberFormat="1" applyFont="1" applyFill="1" applyBorder="1" applyAlignment="1">
      <alignment horizontal="center" vertical="center" wrapText="1"/>
    </xf>
    <xf numFmtId="0" fontId="48" fillId="40" borderId="17" xfId="38" applyFont="1" applyFill="1" applyBorder="1" applyAlignment="1" applyProtection="1">
      <alignment horizontal="center" vertical="center" wrapText="1"/>
      <protection locked="0"/>
    </xf>
    <xf numFmtId="4" fontId="48" fillId="40" borderId="17" xfId="0" applyNumberFormat="1" applyFont="1" applyFill="1" applyBorder="1" applyAlignment="1">
      <alignment horizontal="center" vertical="center" wrapText="1"/>
    </xf>
    <xf numFmtId="49" fontId="35" fillId="42" borderId="17" xfId="0" applyNumberFormat="1" applyFont="1" applyFill="1" applyBorder="1" applyAlignment="1">
      <alignment horizontal="center" vertical="center" wrapText="1"/>
    </xf>
    <xf numFmtId="0" fontId="35" fillId="42" borderId="17" xfId="38" applyFont="1" applyFill="1" applyBorder="1" applyAlignment="1" applyProtection="1">
      <alignment horizontal="center" vertical="center" wrapText="1"/>
      <protection locked="0"/>
    </xf>
    <xf numFmtId="4" fontId="35" fillId="42" borderId="17" xfId="0" applyNumberFormat="1" applyFont="1" applyFill="1" applyBorder="1" applyAlignment="1">
      <alignment horizontal="center" vertical="center" wrapText="1"/>
    </xf>
    <xf numFmtId="49" fontId="42" fillId="42" borderId="22" xfId="0" applyNumberFormat="1" applyFont="1" applyFill="1" applyBorder="1" applyAlignment="1">
      <alignment horizontal="center" vertical="center" wrapText="1"/>
    </xf>
    <xf numFmtId="4" fontId="42" fillId="42" borderId="22" xfId="0" applyNumberFormat="1" applyFont="1" applyFill="1" applyBorder="1" applyAlignment="1">
      <alignment horizontal="center" vertical="center" wrapText="1"/>
    </xf>
    <xf numFmtId="49" fontId="42" fillId="42" borderId="22" xfId="0" applyNumberFormat="1" applyFont="1" applyFill="1" applyBorder="1" applyAlignment="1">
      <alignment horizontal="left" vertical="center" wrapText="1"/>
    </xf>
    <xf numFmtId="4" fontId="48" fillId="40" borderId="17" xfId="38" applyNumberFormat="1" applyFont="1" applyFill="1" applyBorder="1" applyAlignment="1" applyProtection="1">
      <alignment horizontal="center" vertical="center" wrapText="1"/>
      <protection locked="0"/>
    </xf>
    <xf numFmtId="4" fontId="35" fillId="42" borderId="17" xfId="38" applyNumberFormat="1" applyFont="1" applyFill="1" applyBorder="1" applyAlignment="1" applyProtection="1">
      <alignment horizontal="center" vertical="center" wrapText="1"/>
      <protection locked="0"/>
    </xf>
    <xf numFmtId="49" fontId="41" fillId="42" borderId="17" xfId="0" applyNumberFormat="1" applyFont="1" applyFill="1" applyBorder="1" applyAlignment="1">
      <alignment horizontal="center" vertical="center" wrapText="1"/>
    </xf>
    <xf numFmtId="0" fontId="41" fillId="42" borderId="17" xfId="38" applyFont="1" applyFill="1" applyBorder="1" applyAlignment="1" applyProtection="1">
      <alignment horizontal="center" vertical="center" wrapText="1"/>
      <protection locked="0"/>
    </xf>
    <xf numFmtId="4" fontId="41" fillId="42" borderId="17" xfId="38" applyNumberFormat="1" applyFont="1" applyFill="1" applyBorder="1" applyAlignment="1" applyProtection="1">
      <alignment horizontal="center" vertical="center" wrapText="1"/>
      <protection locked="0"/>
    </xf>
    <xf numFmtId="4" fontId="150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112" fillId="0" borderId="17" xfId="0" applyNumberFormat="1" applyFont="1" applyFill="1" applyBorder="1" applyAlignment="1">
      <alignment horizontal="center" vertical="center" wrapText="1"/>
    </xf>
    <xf numFmtId="4" fontId="108" fillId="0" borderId="17" xfId="0" applyNumberFormat="1" applyFont="1" applyFill="1" applyBorder="1" applyAlignment="1">
      <alignment horizontal="center" vertical="center" wrapText="1"/>
    </xf>
    <xf numFmtId="4" fontId="108" fillId="0" borderId="17" xfId="0" applyNumberFormat="1" applyFont="1" applyFill="1" applyBorder="1" applyAlignment="1">
      <alignment horizontal="center" vertical="center"/>
    </xf>
    <xf numFmtId="4" fontId="135" fillId="0" borderId="17" xfId="0" applyNumberFormat="1" applyFont="1" applyFill="1" applyBorder="1" applyAlignment="1">
      <alignment horizontal="center" vertical="center"/>
    </xf>
    <xf numFmtId="167" fontId="178" fillId="0" borderId="0" xfId="0" applyNumberFormat="1" applyFont="1" applyAlignment="1">
      <alignment vertical="center"/>
    </xf>
    <xf numFmtId="4" fontId="178" fillId="0" borderId="0" xfId="0" applyNumberFormat="1" applyFont="1" applyAlignment="1">
      <alignment vertical="center"/>
    </xf>
    <xf numFmtId="0" fontId="19" fillId="0" borderId="27" xfId="39" applyFont="1" applyBorder="1" applyAlignment="1">
      <alignment horizontal="center" vertical="center" wrapText="1"/>
    </xf>
    <xf numFmtId="0" fontId="0" fillId="0" borderId="0" xfId="0"/>
    <xf numFmtId="0" fontId="54" fillId="0" borderId="0" xfId="39" applyFont="1" applyAlignment="1">
      <alignment horizontal="center" vertical="center"/>
    </xf>
    <xf numFmtId="0" fontId="42" fillId="0" borderId="0" xfId="0" applyFont="1"/>
    <xf numFmtId="4" fontId="43" fillId="0" borderId="0" xfId="0" applyNumberFormat="1" applyFont="1" applyAlignment="1">
      <alignment horizontal="left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4" fillId="0" borderId="17" xfId="0" applyNumberFormat="1" applyFont="1" applyFill="1" applyBorder="1" applyAlignment="1">
      <alignment horizontal="center" vertical="center"/>
    </xf>
    <xf numFmtId="49" fontId="134" fillId="0" borderId="17" xfId="0" applyNumberFormat="1" applyFont="1" applyFill="1" applyBorder="1" applyAlignment="1">
      <alignment horizontal="center" vertical="center" wrapText="1"/>
    </xf>
    <xf numFmtId="49" fontId="42" fillId="0" borderId="17" xfId="0" applyNumberFormat="1" applyFont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center" vertical="center" wrapText="1"/>
    </xf>
    <xf numFmtId="4" fontId="43" fillId="0" borderId="17" xfId="0" applyNumberFormat="1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41" fillId="0" borderId="17" xfId="0" applyFont="1" applyBorder="1" applyAlignment="1">
      <alignment horizontal="center" vertical="top" wrapText="1"/>
    </xf>
    <xf numFmtId="0" fontId="78" fillId="0" borderId="0" xfId="0" applyFont="1" applyAlignment="1">
      <alignment horizontal="left" vertical="center"/>
    </xf>
    <xf numFmtId="0" fontId="80" fillId="0" borderId="0" xfId="0" applyFont="1" applyAlignment="1">
      <alignment horizontal="left" vertical="center"/>
    </xf>
    <xf numFmtId="4" fontId="138" fillId="0" borderId="17" xfId="0" applyNumberFormat="1" applyFont="1" applyFill="1" applyBorder="1" applyAlignment="1">
      <alignment horizontal="center" vertical="center" wrapText="1"/>
    </xf>
    <xf numFmtId="0" fontId="167" fillId="0" borderId="0" xfId="0" applyFont="1" applyAlignment="1">
      <alignment horizontal="justify" vertical="center"/>
    </xf>
    <xf numFmtId="49" fontId="134" fillId="0" borderId="17" xfId="0" applyNumberFormat="1" applyFont="1" applyBorder="1" applyAlignment="1">
      <alignment horizontal="center" vertical="center" wrapText="1"/>
    </xf>
    <xf numFmtId="0" fontId="104" fillId="0" borderId="0" xfId="0" applyFont="1"/>
    <xf numFmtId="0" fontId="166" fillId="0" borderId="0" xfId="0" applyFont="1" applyAlignment="1">
      <alignment horizontal="justify" vertical="center"/>
    </xf>
    <xf numFmtId="0" fontId="0" fillId="0" borderId="0" xfId="0"/>
    <xf numFmtId="0" fontId="54" fillId="0" borderId="0" xfId="39" applyFont="1" applyAlignment="1">
      <alignment horizontal="center" vertical="center"/>
    </xf>
    <xf numFmtId="0" fontId="19" fillId="0" borderId="27" xfId="39" applyFont="1" applyBorder="1" applyAlignment="1">
      <alignment horizontal="center" vertical="center" wrapText="1"/>
    </xf>
    <xf numFmtId="0" fontId="42" fillId="0" borderId="0" xfId="0" applyFont="1"/>
    <xf numFmtId="0" fontId="78" fillId="0" borderId="0" xfId="0" applyFont="1" applyAlignment="1">
      <alignment horizontal="left" vertical="center"/>
    </xf>
    <xf numFmtId="0" fontId="80" fillId="0" borderId="0" xfId="0" applyFont="1" applyAlignment="1">
      <alignment horizontal="left" vertical="center"/>
    </xf>
    <xf numFmtId="4" fontId="43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9" fontId="134" fillId="0" borderId="17" xfId="0" applyNumberFormat="1" applyFont="1" applyFill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41" fillId="0" borderId="17" xfId="0" applyFont="1" applyBorder="1" applyAlignment="1">
      <alignment horizontal="center" vertical="top" wrapText="1"/>
    </xf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Border="1" applyAlignment="1">
      <alignment horizontal="center" vertical="center" wrapText="1"/>
    </xf>
    <xf numFmtId="4" fontId="43" fillId="0" borderId="17" xfId="0" applyNumberFormat="1" applyFont="1" applyBorder="1" applyAlignment="1">
      <alignment horizontal="center" vertical="center" wrapText="1"/>
    </xf>
    <xf numFmtId="4" fontId="44" fillId="0" borderId="17" xfId="0" applyNumberFormat="1" applyFont="1" applyFill="1" applyBorder="1" applyAlignment="1">
      <alignment horizontal="center" vertical="center"/>
    </xf>
    <xf numFmtId="4" fontId="43" fillId="0" borderId="0" xfId="0" applyNumberFormat="1" applyFont="1" applyAlignment="1">
      <alignment horizontal="left" vertical="center" wrapText="1"/>
    </xf>
    <xf numFmtId="0" fontId="167" fillId="0" borderId="0" xfId="0" applyFont="1" applyAlignment="1">
      <alignment horizontal="justify" vertical="center"/>
    </xf>
    <xf numFmtId="49" fontId="134" fillId="0" borderId="17" xfId="0" applyNumberFormat="1" applyFont="1" applyBorder="1" applyAlignment="1">
      <alignment horizontal="center" vertical="center" wrapText="1"/>
    </xf>
    <xf numFmtId="4" fontId="42" fillId="0" borderId="17" xfId="38" applyNumberFormat="1" applyFont="1" applyFill="1" applyBorder="1" applyAlignment="1">
      <alignment horizontal="center" vertical="center" wrapText="1"/>
    </xf>
    <xf numFmtId="0" fontId="104" fillId="0" borderId="0" xfId="0" applyFont="1"/>
    <xf numFmtId="0" fontId="166" fillId="0" borderId="0" xfId="0" applyFont="1" applyAlignment="1">
      <alignment horizontal="justify" vertical="center"/>
    </xf>
    <xf numFmtId="164" fontId="34" fillId="37" borderId="17" xfId="30" applyNumberFormat="1" applyFont="1" applyFill="1" applyBorder="1" applyAlignment="1">
      <alignment horizontal="center" vertical="center" wrapText="1"/>
    </xf>
    <xf numFmtId="164" fontId="36" fillId="0" borderId="17" xfId="30" applyNumberFormat="1" applyFont="1" applyBorder="1" applyAlignment="1">
      <alignment horizontal="center" vertical="center" wrapText="1"/>
    </xf>
    <xf numFmtId="0" fontId="11" fillId="0" borderId="0" xfId="35" applyAlignment="1">
      <alignment horizontal="left" vertical="center"/>
    </xf>
    <xf numFmtId="4" fontId="130" fillId="27" borderId="0" xfId="0" applyNumberFormat="1" applyFont="1" applyFill="1" applyBorder="1" applyAlignment="1">
      <alignment horizontal="center" vertical="center" wrapText="1"/>
    </xf>
    <xf numFmtId="0" fontId="179" fillId="0" borderId="0" xfId="0" applyFont="1"/>
    <xf numFmtId="4" fontId="141" fillId="0" borderId="25" xfId="0" applyNumberFormat="1" applyFont="1" applyFill="1" applyBorder="1" applyAlignment="1">
      <alignment horizontal="center" vertical="center" wrapText="1"/>
    </xf>
    <xf numFmtId="4" fontId="21" fillId="0" borderId="27" xfId="39" applyNumberFormat="1" applyFont="1" applyBorder="1" applyAlignment="1">
      <alignment horizontal="center" vertical="center" wrapText="1"/>
    </xf>
    <xf numFmtId="0" fontId="38" fillId="0" borderId="27" xfId="39" applyFont="1" applyBorder="1" applyAlignment="1">
      <alignment horizontal="center" vertical="center" wrapText="1"/>
    </xf>
    <xf numFmtId="0" fontId="38" fillId="0" borderId="27" xfId="39" applyFont="1" applyBorder="1" applyAlignment="1">
      <alignment vertical="center" wrapText="1"/>
    </xf>
    <xf numFmtId="4" fontId="39" fillId="0" borderId="27" xfId="39" applyNumberFormat="1" applyFont="1" applyBorder="1" applyAlignment="1">
      <alignment horizontal="center" vertical="center" wrapText="1"/>
    </xf>
    <xf numFmtId="0" fontId="11" fillId="0" borderId="27" xfId="39" applyBorder="1" applyAlignment="1">
      <alignment horizontal="center" vertical="center" wrapText="1"/>
    </xf>
    <xf numFmtId="0" fontId="11" fillId="0" borderId="27" xfId="39" applyBorder="1" applyAlignment="1">
      <alignment vertical="center" wrapText="1"/>
    </xf>
    <xf numFmtId="4" fontId="40" fillId="0" borderId="27" xfId="39" applyNumberFormat="1" applyFont="1" applyBorder="1" applyAlignment="1">
      <alignment horizontal="center" vertical="center" wrapText="1"/>
    </xf>
    <xf numFmtId="4" fontId="38" fillId="0" borderId="27" xfId="39" applyNumberFormat="1" applyFont="1" applyBorder="1" applyAlignment="1">
      <alignment horizontal="center" vertical="center" wrapText="1"/>
    </xf>
    <xf numFmtId="0" fontId="11" fillId="0" borderId="27" xfId="37" applyFont="1" applyBorder="1" applyAlignment="1">
      <alignment horizontal="justify" vertical="center" wrapText="1"/>
    </xf>
    <xf numFmtId="4" fontId="11" fillId="0" borderId="27" xfId="39" applyNumberFormat="1" applyBorder="1" applyAlignment="1">
      <alignment horizontal="center" vertical="center" wrapText="1"/>
    </xf>
    <xf numFmtId="0" fontId="19" fillId="0" borderId="27" xfId="37" applyFont="1" applyBorder="1" applyAlignment="1">
      <alignment horizontal="center" vertical="center" wrapText="1"/>
    </xf>
    <xf numFmtId="0" fontId="38" fillId="0" borderId="27" xfId="37" applyFont="1" applyBorder="1" applyAlignment="1">
      <alignment horizontal="justify" vertical="center" wrapText="1"/>
    </xf>
    <xf numFmtId="0" fontId="11" fillId="0" borderId="27" xfId="37" applyFont="1" applyBorder="1" applyAlignment="1">
      <alignment horizontal="left" vertical="center" wrapText="1"/>
    </xf>
    <xf numFmtId="0" fontId="38" fillId="0" borderId="27" xfId="37" applyFont="1" applyBorder="1" applyAlignment="1">
      <alignment horizontal="left" vertical="center" wrapText="1"/>
    </xf>
    <xf numFmtId="4" fontId="19" fillId="0" borderId="27" xfId="39" applyNumberFormat="1" applyFont="1" applyBorder="1" applyAlignment="1">
      <alignment horizontal="center" vertical="center" wrapText="1"/>
    </xf>
    <xf numFmtId="4" fontId="177" fillId="0" borderId="27" xfId="39" applyNumberFormat="1" applyFont="1" applyBorder="1" applyAlignment="1">
      <alignment horizontal="center" vertical="center" wrapText="1"/>
    </xf>
    <xf numFmtId="0" fontId="39" fillId="0" borderId="27" xfId="37" applyFont="1" applyBorder="1" applyAlignment="1">
      <alignment horizontal="justify" vertical="center" wrapText="1"/>
    </xf>
    <xf numFmtId="0" fontId="40" fillId="0" borderId="27" xfId="37" applyFont="1" applyBorder="1" applyAlignment="1">
      <alignment horizontal="justify" vertical="center" wrapText="1"/>
    </xf>
    <xf numFmtId="0" fontId="21" fillId="0" borderId="27" xfId="37" applyFont="1" applyBorder="1" applyAlignment="1">
      <alignment horizontal="justify" vertical="center" wrapText="1"/>
    </xf>
    <xf numFmtId="0" fontId="40" fillId="0" borderId="27" xfId="37" applyFont="1" applyBorder="1" applyAlignment="1">
      <alignment vertical="center" wrapText="1"/>
    </xf>
    <xf numFmtId="0" fontId="39" fillId="0" borderId="27" xfId="37" applyFont="1" applyBorder="1" applyAlignment="1">
      <alignment vertical="center" wrapText="1"/>
    </xf>
    <xf numFmtId="0" fontId="21" fillId="0" borderId="27" xfId="37" applyFont="1" applyBorder="1" applyAlignment="1">
      <alignment vertical="center" wrapText="1"/>
    </xf>
    <xf numFmtId="0" fontId="11" fillId="0" borderId="27" xfId="0" applyFont="1" applyBorder="1" applyAlignment="1">
      <alignment horizontal="justify" vertical="center"/>
    </xf>
    <xf numFmtId="0" fontId="19" fillId="0" borderId="27" xfId="39" applyFont="1" applyBorder="1" applyAlignment="1">
      <alignment vertical="center" wrapText="1"/>
    </xf>
    <xf numFmtId="0" fontId="19" fillId="0" borderId="27" xfId="37" applyFont="1" applyBorder="1" applyAlignment="1">
      <alignment horizontal="justify" vertical="center" wrapText="1"/>
    </xf>
    <xf numFmtId="0" fontId="86" fillId="0" borderId="27" xfId="39" applyFont="1" applyBorder="1" applyAlignment="1">
      <alignment vertical="center" wrapText="1"/>
    </xf>
    <xf numFmtId="4" fontId="86" fillId="0" borderId="27" xfId="39" applyNumberFormat="1" applyFont="1" applyBorder="1" applyAlignment="1">
      <alignment horizontal="center" vertical="center" wrapText="1"/>
    </xf>
    <xf numFmtId="49" fontId="113" fillId="43" borderId="17" xfId="0" applyNumberFormat="1" applyFont="1" applyFill="1" applyBorder="1" applyAlignment="1">
      <alignment horizontal="center" vertical="center" wrapText="1"/>
    </xf>
    <xf numFmtId="0" fontId="113" fillId="43" borderId="17" xfId="38" applyFont="1" applyFill="1" applyBorder="1" applyAlignment="1" applyProtection="1">
      <alignment horizontal="center" vertical="center" wrapText="1"/>
      <protection locked="0"/>
    </xf>
    <xf numFmtId="4" fontId="113" fillId="43" borderId="17" xfId="38" applyNumberFormat="1" applyFont="1" applyFill="1" applyBorder="1" applyAlignment="1" applyProtection="1">
      <alignment horizontal="center" vertical="center" wrapText="1"/>
      <protection locked="0"/>
    </xf>
    <xf numFmtId="4" fontId="113" fillId="43" borderId="17" xfId="0" applyNumberFormat="1" applyFont="1" applyFill="1" applyBorder="1" applyAlignment="1">
      <alignment horizontal="center" vertical="center" wrapText="1"/>
    </xf>
    <xf numFmtId="49" fontId="41" fillId="38" borderId="17" xfId="0" applyNumberFormat="1" applyFont="1" applyFill="1" applyBorder="1" applyAlignment="1">
      <alignment horizontal="center" vertical="center" wrapText="1"/>
    </xf>
    <xf numFmtId="0" fontId="41" fillId="38" borderId="17" xfId="38" applyFont="1" applyFill="1" applyBorder="1" applyAlignment="1" applyProtection="1">
      <alignment horizontal="center" vertical="center" wrapText="1"/>
      <protection locked="0"/>
    </xf>
    <xf numFmtId="4" fontId="41" fillId="38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38" borderId="17" xfId="0" applyNumberFormat="1" applyFont="1" applyFill="1" applyBorder="1" applyAlignment="1">
      <alignment horizontal="center" vertical="center" wrapText="1"/>
    </xf>
    <xf numFmtId="4" fontId="44" fillId="0" borderId="17" xfId="0" applyNumberFormat="1" applyFont="1" applyBorder="1" applyAlignment="1">
      <alignment horizontal="center" vertical="center"/>
    </xf>
    <xf numFmtId="4" fontId="138" fillId="0" borderId="17" xfId="0" applyNumberFormat="1" applyFont="1" applyBorder="1" applyAlignment="1">
      <alignment horizontal="center" vertical="center" wrapText="1"/>
    </xf>
    <xf numFmtId="4" fontId="145" fillId="0" borderId="17" xfId="0" applyNumberFormat="1" applyFont="1" applyBorder="1" applyAlignment="1">
      <alignment horizontal="center" vertical="center"/>
    </xf>
    <xf numFmtId="4" fontId="145" fillId="0" borderId="17" xfId="0" applyNumberFormat="1" applyFont="1" applyBorder="1" applyAlignment="1">
      <alignment horizontal="center" vertical="center" wrapText="1"/>
    </xf>
    <xf numFmtId="49" fontId="122" fillId="0" borderId="17" xfId="0" applyNumberFormat="1" applyFont="1" applyBorder="1" applyAlignment="1">
      <alignment horizontal="center" vertical="center" wrapText="1"/>
    </xf>
    <xf numFmtId="49" fontId="146" fillId="0" borderId="17" xfId="0" applyNumberFormat="1" applyFont="1" applyBorder="1" applyAlignment="1">
      <alignment horizontal="center" vertical="center" wrapText="1"/>
    </xf>
    <xf numFmtId="49" fontId="154" fillId="0" borderId="17" xfId="0" applyNumberFormat="1" applyFont="1" applyBorder="1" applyAlignment="1">
      <alignment horizontal="center" vertical="center" wrapText="1"/>
    </xf>
    <xf numFmtId="49" fontId="154" fillId="0" borderId="18" xfId="0" applyNumberFormat="1" applyFont="1" applyBorder="1" applyAlignment="1">
      <alignment horizontal="center" vertical="center" wrapText="1"/>
    </xf>
    <xf numFmtId="49" fontId="150" fillId="0" borderId="0" xfId="0" applyNumberFormat="1" applyFont="1" applyAlignment="1">
      <alignment horizontal="center" wrapText="1"/>
    </xf>
    <xf numFmtId="49" fontId="150" fillId="0" borderId="19" xfId="0" applyNumberFormat="1" applyFont="1" applyBorder="1" applyAlignment="1">
      <alignment horizontal="center" vertical="top" wrapText="1"/>
    </xf>
    <xf numFmtId="4" fontId="108" fillId="25" borderId="17" xfId="0" applyNumberFormat="1" applyFont="1" applyFill="1" applyBorder="1" applyAlignment="1">
      <alignment horizontal="center" vertical="center"/>
    </xf>
    <xf numFmtId="49" fontId="150" fillId="0" borderId="17" xfId="0" applyNumberFormat="1" applyFont="1" applyBorder="1" applyAlignment="1">
      <alignment horizontal="center" vertical="center"/>
    </xf>
    <xf numFmtId="4" fontId="160" fillId="0" borderId="17" xfId="0" applyNumberFormat="1" applyFont="1" applyBorder="1" applyAlignment="1">
      <alignment horizontal="center" vertical="center" wrapText="1"/>
    </xf>
    <xf numFmtId="4" fontId="43" fillId="31" borderId="17" xfId="0" applyNumberFormat="1" applyFont="1" applyFill="1" applyBorder="1" applyAlignment="1">
      <alignment horizontal="center" vertical="center" wrapText="1"/>
    </xf>
    <xf numFmtId="4" fontId="44" fillId="31" borderId="17" xfId="0" applyNumberFormat="1" applyFont="1" applyFill="1" applyBorder="1" applyAlignment="1">
      <alignment horizontal="center" vertical="center" wrapText="1"/>
    </xf>
    <xf numFmtId="4" fontId="44" fillId="31" borderId="17" xfId="0" applyNumberFormat="1" applyFont="1" applyFill="1" applyBorder="1" applyAlignment="1">
      <alignment horizontal="center" vertical="center"/>
    </xf>
    <xf numFmtId="4" fontId="108" fillId="0" borderId="17" xfId="0" applyNumberFormat="1" applyFont="1" applyBorder="1" applyAlignment="1">
      <alignment horizontal="center" vertical="center"/>
    </xf>
    <xf numFmtId="0" fontId="113" fillId="0" borderId="17" xfId="0" applyFont="1" applyBorder="1" applyAlignment="1">
      <alignment horizontal="center" vertical="center" wrapText="1"/>
    </xf>
    <xf numFmtId="4" fontId="135" fillId="0" borderId="17" xfId="0" applyNumberFormat="1" applyFont="1" applyBorder="1" applyAlignment="1">
      <alignment horizontal="center" vertical="center"/>
    </xf>
    <xf numFmtId="167" fontId="85" fillId="0" borderId="0" xfId="0" applyNumberFormat="1" applyFont="1" applyAlignment="1">
      <alignment vertical="center"/>
    </xf>
    <xf numFmtId="4" fontId="36" fillId="0" borderId="17" xfId="30" applyNumberFormat="1" applyFont="1" applyFill="1" applyBorder="1" applyAlignment="1">
      <alignment horizontal="center" vertical="center"/>
    </xf>
    <xf numFmtId="0" fontId="19" fillId="0" borderId="27" xfId="39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54" fillId="0" borderId="0" xfId="39" applyFont="1" applyAlignment="1">
      <alignment horizontal="center" vertical="center"/>
    </xf>
    <xf numFmtId="0" fontId="0" fillId="0" borderId="0" xfId="0" applyAlignment="1">
      <alignment horizontal="center"/>
    </xf>
    <xf numFmtId="0" fontId="42" fillId="0" borderId="0" xfId="0" applyFont="1"/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58" fillId="0" borderId="0" xfId="0" applyFont="1" applyAlignment="1">
      <alignment horizontal="center" vertical="center" wrapText="1"/>
    </xf>
    <xf numFmtId="0" fontId="96" fillId="0" borderId="0" xfId="0" applyFont="1" applyAlignment="1">
      <alignment horizontal="center"/>
    </xf>
    <xf numFmtId="0" fontId="97" fillId="0" borderId="0" xfId="0" applyFont="1" applyAlignment="1">
      <alignment horizontal="center"/>
    </xf>
    <xf numFmtId="0" fontId="37" fillId="0" borderId="0" xfId="0" applyFont="1" applyAlignment="1">
      <alignment horizontal="center" vertical="top"/>
    </xf>
    <xf numFmtId="0" fontId="95" fillId="0" borderId="0" xfId="0" applyFont="1" applyAlignment="1">
      <alignment horizontal="center" vertical="top"/>
    </xf>
    <xf numFmtId="0" fontId="56" fillId="0" borderId="27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9" fillId="35" borderId="27" xfId="0" applyFont="1" applyFill="1" applyBorder="1" applyAlignment="1">
      <alignment horizontal="left" vertical="center" wrapText="1"/>
    </xf>
    <xf numFmtId="0" fontId="0" fillId="35" borderId="27" xfId="0" applyFill="1" applyBorder="1" applyAlignment="1">
      <alignment wrapText="1"/>
    </xf>
    <xf numFmtId="4" fontId="43" fillId="0" borderId="18" xfId="0" applyNumberFormat="1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4" fontId="44" fillId="0" borderId="18" xfId="0" applyNumberFormat="1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4" fontId="43" fillId="0" borderId="0" xfId="0" applyNumberFormat="1" applyFont="1" applyAlignment="1">
      <alignment horizontal="left" vertical="center" wrapText="1"/>
    </xf>
    <xf numFmtId="0" fontId="0" fillId="0" borderId="0" xfId="0" applyAlignment="1"/>
    <xf numFmtId="49" fontId="42" fillId="0" borderId="18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04" fillId="0" borderId="26" xfId="0" applyFont="1" applyBorder="1" applyAlignment="1"/>
    <xf numFmtId="0" fontId="0" fillId="0" borderId="26" xfId="0" applyBorder="1" applyAlignment="1"/>
    <xf numFmtId="4" fontId="41" fillId="0" borderId="17" xfId="0" applyNumberFormat="1" applyFont="1" applyFill="1" applyBorder="1" applyAlignment="1">
      <alignment horizontal="center" vertical="center" wrapText="1"/>
    </xf>
    <xf numFmtId="4" fontId="43" fillId="39" borderId="18" xfId="0" applyNumberFormat="1" applyFont="1" applyFill="1" applyBorder="1" applyAlignment="1">
      <alignment horizontal="center" vertical="center" wrapText="1"/>
    </xf>
    <xf numFmtId="0" fontId="0" fillId="39" borderId="19" xfId="0" applyFill="1" applyBorder="1" applyAlignment="1">
      <alignment horizontal="center" vertical="center" wrapText="1"/>
    </xf>
    <xf numFmtId="4" fontId="44" fillId="39" borderId="18" xfId="0" applyNumberFormat="1" applyFont="1" applyFill="1" applyBorder="1" applyAlignment="1">
      <alignment horizontal="center" vertical="center" wrapText="1"/>
    </xf>
    <xf numFmtId="0" fontId="0" fillId="39" borderId="19" xfId="0" applyFont="1" applyFill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151" fillId="0" borderId="18" xfId="0" applyNumberFormat="1" applyFont="1" applyFill="1" applyBorder="1" applyAlignment="1">
      <alignment horizontal="center" vertical="center" wrapText="1"/>
    </xf>
    <xf numFmtId="4" fontId="44" fillId="0" borderId="17" xfId="0" applyNumberFormat="1" applyFont="1" applyFill="1" applyBorder="1" applyAlignment="1">
      <alignment horizontal="center" vertical="center"/>
    </xf>
    <xf numFmtId="4" fontId="134" fillId="0" borderId="18" xfId="0" applyNumberFormat="1" applyFont="1" applyFill="1" applyBorder="1" applyAlignment="1">
      <alignment horizontal="center" vertical="center" wrapText="1"/>
    </xf>
    <xf numFmtId="4" fontId="134" fillId="0" borderId="19" xfId="0" applyNumberFormat="1" applyFont="1" applyFill="1" applyBorder="1" applyAlignment="1">
      <alignment horizontal="center" vertical="center" wrapText="1"/>
    </xf>
    <xf numFmtId="49" fontId="134" fillId="0" borderId="17" xfId="0" applyNumberFormat="1" applyFont="1" applyFill="1" applyBorder="1" applyAlignment="1">
      <alignment horizontal="center" vertical="center" wrapText="1"/>
    </xf>
    <xf numFmtId="0" fontId="148" fillId="0" borderId="17" xfId="0" applyFont="1" applyFill="1" applyBorder="1" applyAlignment="1">
      <alignment horizontal="center" vertical="center" wrapText="1"/>
    </xf>
    <xf numFmtId="0" fontId="147" fillId="0" borderId="17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49" fontId="42" fillId="0" borderId="17" xfId="0" applyNumberFormat="1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45" fillId="0" borderId="17" xfId="0" applyFont="1" applyBorder="1" applyAlignment="1">
      <alignment horizontal="center" vertical="center" wrapText="1"/>
    </xf>
    <xf numFmtId="49" fontId="42" fillId="0" borderId="18" xfId="0" applyNumberFormat="1" applyFont="1" applyFill="1" applyBorder="1" applyAlignment="1">
      <alignment horizontal="center" vertical="center" wrapText="1"/>
    </xf>
    <xf numFmtId="4" fontId="0" fillId="0" borderId="17" xfId="0" applyNumberFormat="1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/>
    </xf>
    <xf numFmtId="4" fontId="14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center" vertical="center" wrapText="1"/>
    </xf>
    <xf numFmtId="4" fontId="0" fillId="0" borderId="17" xfId="0" applyNumberFormat="1" applyFont="1" applyBorder="1" applyAlignment="1">
      <alignment horizontal="center" vertical="center" wrapText="1"/>
    </xf>
    <xf numFmtId="49" fontId="150" fillId="0" borderId="18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2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98" fillId="0" borderId="0" xfId="0" applyFont="1" applyAlignment="1">
      <alignment horizontal="center"/>
    </xf>
    <xf numFmtId="0" fontId="99" fillId="0" borderId="0" xfId="0" applyFont="1" applyAlignment="1">
      <alignment horizontal="center"/>
    </xf>
    <xf numFmtId="0" fontId="41" fillId="0" borderId="17" xfId="0" applyFont="1" applyBorder="1" applyAlignment="1">
      <alignment horizontal="center" vertical="top"/>
    </xf>
    <xf numFmtId="0" fontId="0" fillId="0" borderId="17" xfId="0" applyFont="1" applyBorder="1" applyAlignment="1">
      <alignment horizontal="center" vertical="top"/>
    </xf>
    <xf numFmtId="0" fontId="41" fillId="0" borderId="17" xfId="0" applyFont="1" applyBorder="1" applyAlignment="1">
      <alignment horizontal="center" vertical="top" wrapText="1"/>
    </xf>
    <xf numFmtId="0" fontId="92" fillId="0" borderId="0" xfId="0" applyFont="1" applyAlignment="1">
      <alignment horizontal="center" vertical="top"/>
    </xf>
    <xf numFmtId="0" fontId="45" fillId="0" borderId="0" xfId="0" applyFont="1" applyAlignment="1">
      <alignment horizontal="center" vertical="top"/>
    </xf>
    <xf numFmtId="0" fontId="14" fillId="0" borderId="17" xfId="0" applyFont="1" applyBorder="1" applyAlignment="1">
      <alignment horizontal="center" vertical="top"/>
    </xf>
    <xf numFmtId="0" fontId="78" fillId="0" borderId="0" xfId="0" applyFont="1" applyAlignment="1">
      <alignment horizontal="left" vertical="center"/>
    </xf>
    <xf numFmtId="0" fontId="80" fillId="0" borderId="0" xfId="0" applyFont="1" applyAlignment="1">
      <alignment horizontal="left" vertical="center"/>
    </xf>
    <xf numFmtId="4" fontId="145" fillId="0" borderId="18" xfId="0" applyNumberFormat="1" applyFont="1" applyFill="1" applyBorder="1" applyAlignment="1">
      <alignment horizontal="center" vertical="center"/>
    </xf>
    <xf numFmtId="4" fontId="145" fillId="0" borderId="19" xfId="0" applyNumberFormat="1" applyFont="1" applyFill="1" applyBorder="1" applyAlignment="1">
      <alignment horizontal="center" vertical="center"/>
    </xf>
    <xf numFmtId="4" fontId="122" fillId="0" borderId="18" xfId="0" applyNumberFormat="1" applyFont="1" applyFill="1" applyBorder="1" applyAlignment="1">
      <alignment horizontal="center" vertical="center" wrapText="1"/>
    </xf>
    <xf numFmtId="4" fontId="122" fillId="0" borderId="19" xfId="0" applyNumberFormat="1" applyFont="1" applyFill="1" applyBorder="1" applyAlignment="1">
      <alignment horizontal="center" vertical="center" wrapText="1"/>
    </xf>
    <xf numFmtId="4" fontId="138" fillId="0" borderId="17" xfId="0" applyNumberFormat="1" applyFont="1" applyFill="1" applyBorder="1" applyAlignment="1">
      <alignment horizontal="center" vertical="center" wrapText="1"/>
    </xf>
    <xf numFmtId="4" fontId="138" fillId="0" borderId="18" xfId="0" applyNumberFormat="1" applyFont="1" applyFill="1" applyBorder="1" applyAlignment="1">
      <alignment horizontal="center" vertical="center" wrapText="1"/>
    </xf>
    <xf numFmtId="4" fontId="138" fillId="0" borderId="19" xfId="0" applyNumberFormat="1" applyFont="1" applyFill="1" applyBorder="1" applyAlignment="1">
      <alignment horizontal="center" vertical="center" wrapText="1"/>
    </xf>
    <xf numFmtId="0" fontId="114" fillId="0" borderId="17" xfId="35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34" fillId="0" borderId="0" xfId="0" applyFont="1"/>
    <xf numFmtId="0" fontId="34" fillId="0" borderId="0" xfId="35" applyFont="1" applyAlignment="1">
      <alignment horizontal="center" vertical="center" wrapText="1"/>
    </xf>
    <xf numFmtId="0" fontId="17" fillId="0" borderId="0" xfId="35" applyFont="1" applyAlignment="1">
      <alignment horizontal="center" vertical="center" wrapText="1"/>
    </xf>
    <xf numFmtId="0" fontId="19" fillId="0" borderId="17" xfId="35" applyFont="1" applyBorder="1" applyAlignment="1">
      <alignment horizontal="center" vertical="top" wrapText="1"/>
    </xf>
    <xf numFmtId="0" fontId="170" fillId="0" borderId="0" xfId="0" applyFont="1" applyAlignment="1">
      <alignment horizontal="justify" vertical="center"/>
    </xf>
    <xf numFmtId="0" fontId="100" fillId="0" borderId="0" xfId="0" applyFont="1" applyBorder="1" applyAlignment="1">
      <alignment horizontal="center" vertical="center"/>
    </xf>
    <xf numFmtId="0" fontId="100" fillId="0" borderId="0" xfId="0" applyFont="1" applyBorder="1" applyAlignment="1">
      <alignment horizontal="center"/>
    </xf>
    <xf numFmtId="0" fontId="101" fillId="0" borderId="0" xfId="0" applyFont="1" applyBorder="1" applyAlignment="1">
      <alignment horizontal="center"/>
    </xf>
    <xf numFmtId="0" fontId="40" fillId="0" borderId="0" xfId="0" applyFont="1" applyBorder="1" applyAlignment="1">
      <alignment horizontal="center" vertical="top"/>
    </xf>
    <xf numFmtId="0" fontId="0" fillId="0" borderId="0" xfId="0" applyFont="1" applyBorder="1" applyAlignment="1">
      <alignment horizontal="center" vertical="top"/>
    </xf>
    <xf numFmtId="0" fontId="59" fillId="0" borderId="0" xfId="35" applyFont="1"/>
    <xf numFmtId="0" fontId="19" fillId="0" borderId="17" xfId="0" applyFont="1" applyBorder="1" applyAlignment="1">
      <alignment horizontal="center" vertical="top" wrapText="1"/>
    </xf>
    <xf numFmtId="0" fontId="19" fillId="0" borderId="17" xfId="0" applyFont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49" fontId="42" fillId="42" borderId="22" xfId="0" applyNumberFormat="1" applyFont="1" applyFill="1" applyBorder="1" applyAlignment="1">
      <alignment horizontal="center" vertical="center" wrapText="1"/>
    </xf>
    <xf numFmtId="0" fontId="0" fillId="42" borderId="24" xfId="0" applyFont="1" applyFill="1" applyBorder="1" applyAlignment="1">
      <alignment horizontal="center" vertical="center" wrapText="1"/>
    </xf>
    <xf numFmtId="0" fontId="0" fillId="42" borderId="25" xfId="0" applyFont="1" applyFill="1" applyBorder="1" applyAlignment="1">
      <alignment horizontal="center" vertical="center" wrapText="1"/>
    </xf>
    <xf numFmtId="49" fontId="175" fillId="0" borderId="22" xfId="0" applyNumberFormat="1" applyFont="1" applyBorder="1" applyAlignment="1">
      <alignment horizontal="left" vertical="center" wrapText="1"/>
    </xf>
    <xf numFmtId="0" fontId="176" fillId="0" borderId="25" xfId="0" applyFont="1" applyBorder="1" applyAlignment="1">
      <alignment horizontal="left" vertical="center" wrapText="1"/>
    </xf>
    <xf numFmtId="49" fontId="134" fillId="0" borderId="22" xfId="0" applyNumberFormat="1" applyFont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49" fontId="42" fillId="42" borderId="22" xfId="0" applyNumberFormat="1" applyFont="1" applyFill="1" applyBorder="1" applyAlignment="1">
      <alignment horizontal="left" vertical="center" wrapText="1"/>
    </xf>
    <xf numFmtId="49" fontId="42" fillId="42" borderId="25" xfId="0" applyNumberFormat="1" applyFont="1" applyFill="1" applyBorder="1" applyAlignment="1">
      <alignment horizontal="left" vertical="center" wrapText="1"/>
    </xf>
    <xf numFmtId="49" fontId="141" fillId="0" borderId="22" xfId="0" applyNumberFormat="1" applyFont="1" applyBorder="1" applyAlignment="1">
      <alignment horizontal="left" vertical="center" wrapText="1"/>
    </xf>
    <xf numFmtId="0" fontId="143" fillId="0" borderId="25" xfId="0" applyFont="1" applyBorder="1" applyAlignment="1">
      <alignment horizontal="left" vertical="center" wrapText="1"/>
    </xf>
    <xf numFmtId="0" fontId="167" fillId="0" borderId="0" xfId="0" applyFont="1" applyAlignment="1">
      <alignment horizontal="justify" vertical="center"/>
    </xf>
    <xf numFmtId="49" fontId="141" fillId="0" borderId="30" xfId="0" applyNumberFormat="1" applyFont="1" applyBorder="1" applyAlignment="1">
      <alignment horizontal="left" wrapText="1"/>
    </xf>
    <xf numFmtId="0" fontId="143" fillId="0" borderId="31" xfId="0" applyFont="1" applyBorder="1" applyAlignment="1">
      <alignment horizontal="left" wrapText="1"/>
    </xf>
    <xf numFmtId="49" fontId="141" fillId="0" borderId="0" xfId="0" applyNumberFormat="1" applyFont="1" applyBorder="1" applyAlignment="1">
      <alignment horizontal="left" vertical="top" wrapText="1"/>
    </xf>
    <xf numFmtId="0" fontId="143" fillId="0" borderId="0" xfId="0" applyFont="1" applyBorder="1" applyAlignment="1">
      <alignment horizontal="left" vertical="top" wrapText="1"/>
    </xf>
    <xf numFmtId="0" fontId="42" fillId="0" borderId="22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49" fontId="42" fillId="0" borderId="22" xfId="0" applyNumberFormat="1" applyFont="1" applyBorder="1" applyAlignment="1">
      <alignment horizontal="center" vertical="center" wrapText="1"/>
    </xf>
    <xf numFmtId="49" fontId="175" fillId="0" borderId="25" xfId="0" applyNumberFormat="1" applyFont="1" applyBorder="1" applyAlignment="1">
      <alignment horizontal="left" vertical="center" wrapText="1"/>
    </xf>
    <xf numFmtId="49" fontId="141" fillId="0" borderId="25" xfId="0" applyNumberFormat="1" applyFont="1" applyBorder="1" applyAlignment="1">
      <alignment horizontal="left" vertical="center" wrapText="1"/>
    </xf>
    <xf numFmtId="49" fontId="141" fillId="0" borderId="18" xfId="0" applyNumberFormat="1" applyFont="1" applyBorder="1" applyAlignment="1">
      <alignment horizontal="center" vertical="center" wrapText="1"/>
    </xf>
    <xf numFmtId="4" fontId="141" fillId="0" borderId="18" xfId="0" applyNumberFormat="1" applyFont="1" applyFill="1" applyBorder="1" applyAlignment="1">
      <alignment horizontal="center" vertical="center" wrapText="1"/>
    </xf>
    <xf numFmtId="4" fontId="34" fillId="0" borderId="18" xfId="0" applyNumberFormat="1" applyFont="1" applyBorder="1" applyAlignment="1">
      <alignment horizontal="center" vertical="center" wrapText="1"/>
    </xf>
    <xf numFmtId="49" fontId="34" fillId="0" borderId="18" xfId="0" applyNumberFormat="1" applyFont="1" applyBorder="1" applyAlignment="1">
      <alignment horizontal="center" vertical="center" wrapText="1"/>
    </xf>
    <xf numFmtId="0" fontId="52" fillId="0" borderId="20" xfId="0" applyFont="1" applyBorder="1" applyAlignment="1">
      <alignment horizontal="center" vertical="center" wrapText="1"/>
    </xf>
    <xf numFmtId="0" fontId="52" fillId="0" borderId="19" xfId="0" applyFont="1" applyBorder="1" applyAlignment="1">
      <alignment horizontal="center" vertical="center" wrapText="1"/>
    </xf>
    <xf numFmtId="0" fontId="34" fillId="0" borderId="18" xfId="100" applyFont="1" applyBorder="1" applyAlignment="1">
      <alignment horizontal="center" vertical="center" wrapText="1"/>
    </xf>
    <xf numFmtId="9" fontId="34" fillId="0" borderId="18" xfId="3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49" fontId="34" fillId="0" borderId="18" xfId="0" applyNumberFormat="1" applyFont="1" applyFill="1" applyBorder="1" applyAlignment="1">
      <alignment horizontal="center" vertical="center" wrapText="1"/>
    </xf>
    <xf numFmtId="0" fontId="15" fillId="0" borderId="0" xfId="35" applyFont="1" applyAlignment="1">
      <alignment horizontal="center" vertical="center"/>
    </xf>
    <xf numFmtId="0" fontId="46" fillId="0" borderId="0" xfId="35" applyFont="1" applyAlignment="1">
      <alignment horizontal="center" vertical="center" wrapText="1"/>
    </xf>
    <xf numFmtId="0" fontId="164" fillId="0" borderId="0" xfId="0" applyFont="1" applyAlignment="1">
      <alignment horizontal="center"/>
    </xf>
    <xf numFmtId="0" fontId="101" fillId="0" borderId="0" xfId="0" applyFont="1" applyAlignment="1">
      <alignment horizontal="center"/>
    </xf>
    <xf numFmtId="0" fontId="52" fillId="0" borderId="0" xfId="0" applyFont="1" applyAlignment="1">
      <alignment vertical="center"/>
    </xf>
    <xf numFmtId="164" fontId="34" fillId="0" borderId="18" xfId="30" applyNumberFormat="1" applyFont="1" applyFill="1" applyBorder="1" applyAlignment="1">
      <alignment horizontal="center" vertical="center"/>
    </xf>
    <xf numFmtId="0" fontId="8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34" fillId="0" borderId="18" xfId="18" applyFont="1" applyFill="1" applyBorder="1" applyAlignment="1">
      <alignment horizontal="center" vertical="center" wrapText="1"/>
    </xf>
    <xf numFmtId="164" fontId="34" fillId="0" borderId="18" xfId="30" applyNumberFormat="1" applyFont="1" applyBorder="1" applyAlignment="1">
      <alignment horizontal="center" vertical="center"/>
    </xf>
    <xf numFmtId="9" fontId="34" fillId="0" borderId="18" xfId="0" applyNumberFormat="1" applyFont="1" applyBorder="1" applyAlignment="1">
      <alignment horizontal="center" vertical="center" wrapText="1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2" fillId="0" borderId="17" xfId="38" applyNumberFormat="1" applyFont="1" applyFill="1" applyBorder="1" applyAlignment="1">
      <alignment horizontal="center" vertical="center" wrapText="1"/>
    </xf>
    <xf numFmtId="4" fontId="45" fillId="0" borderId="17" xfId="0" applyNumberFormat="1" applyFont="1" applyBorder="1" applyAlignment="1">
      <alignment horizontal="center" vertical="center" wrapText="1"/>
    </xf>
    <xf numFmtId="49" fontId="42" fillId="0" borderId="20" xfId="0" applyNumberFormat="1" applyFont="1" applyBorder="1" applyAlignment="1">
      <alignment horizontal="center" vertical="center" wrapText="1"/>
    </xf>
    <xf numFmtId="49" fontId="42" fillId="0" borderId="19" xfId="0" applyNumberFormat="1" applyFont="1" applyBorder="1" applyAlignment="1">
      <alignment horizontal="center" vertical="center" wrapText="1"/>
    </xf>
    <xf numFmtId="4" fontId="135" fillId="27" borderId="26" xfId="0" applyNumberFormat="1" applyFont="1" applyFill="1" applyBorder="1" applyAlignment="1">
      <alignment horizontal="center" vertical="center" wrapText="1"/>
    </xf>
    <xf numFmtId="4" fontId="42" fillId="0" borderId="18" xfId="0" applyNumberFormat="1" applyFont="1" applyBorder="1" applyAlignment="1">
      <alignment horizontal="center" vertical="center" wrapText="1"/>
    </xf>
    <xf numFmtId="0" fontId="45" fillId="0" borderId="19" xfId="0" applyFont="1" applyBorder="1" applyAlignment="1">
      <alignment horizontal="center" vertical="center" wrapText="1"/>
    </xf>
    <xf numFmtId="49" fontId="134" fillId="0" borderId="17" xfId="0" applyNumberFormat="1" applyFont="1" applyBorder="1" applyAlignment="1">
      <alignment horizontal="center" vertical="center" wrapText="1"/>
    </xf>
    <xf numFmtId="0" fontId="148" fillId="0" borderId="17" xfId="0" applyFont="1" applyBorder="1" applyAlignment="1">
      <alignment horizontal="center" vertical="center" wrapText="1"/>
    </xf>
    <xf numFmtId="4" fontId="134" fillId="0" borderId="18" xfId="0" applyNumberFormat="1" applyFont="1" applyBorder="1" applyAlignment="1">
      <alignment horizontal="center" vertical="center" wrapText="1"/>
    </xf>
    <xf numFmtId="0" fontId="148" fillId="0" borderId="19" xfId="0" applyFont="1" applyBorder="1" applyAlignment="1">
      <alignment horizontal="center" vertical="center" wrapText="1"/>
    </xf>
    <xf numFmtId="0" fontId="0" fillId="0" borderId="19" xfId="0" applyFont="1" applyBorder="1" applyAlignment="1"/>
    <xf numFmtId="0" fontId="42" fillId="0" borderId="19" xfId="0" applyFont="1" applyBorder="1" applyAlignment="1">
      <alignment horizontal="center" vertical="center" wrapText="1"/>
    </xf>
    <xf numFmtId="4" fontId="42" fillId="0" borderId="19" xfId="0" applyNumberFormat="1" applyFont="1" applyBorder="1" applyAlignment="1">
      <alignment horizontal="center" vertical="center" wrapText="1"/>
    </xf>
    <xf numFmtId="4" fontId="42" fillId="0" borderId="18" xfId="38" applyNumberFormat="1" applyFont="1" applyFill="1" applyBorder="1" applyAlignment="1" applyProtection="1">
      <alignment horizontal="center" vertical="center" wrapText="1"/>
      <protection locked="0"/>
    </xf>
    <xf numFmtId="4" fontId="42" fillId="0" borderId="18" xfId="38" applyNumberFormat="1" applyFont="1" applyFill="1" applyBorder="1" applyAlignment="1">
      <alignment horizontal="center" vertical="center" wrapText="1"/>
    </xf>
    <xf numFmtId="0" fontId="62" fillId="0" borderId="0" xfId="0" applyFont="1" applyAlignment="1">
      <alignment horizontal="center" vertical="center"/>
    </xf>
    <xf numFmtId="2" fontId="63" fillId="0" borderId="17" xfId="36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/>
    </xf>
    <xf numFmtId="2" fontId="16" fillId="0" borderId="17" xfId="36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2" fontId="61" fillId="0" borderId="17" xfId="36" applyNumberFormat="1" applyFont="1" applyBorder="1" applyAlignment="1">
      <alignment horizontal="center" vertical="center"/>
    </xf>
    <xf numFmtId="2" fontId="61" fillId="29" borderId="17" xfId="36" applyNumberFormat="1" applyFont="1" applyFill="1" applyBorder="1" applyAlignment="1">
      <alignment horizontal="left" vertical="center" wrapText="1"/>
    </xf>
    <xf numFmtId="0" fontId="0" fillId="29" borderId="17" xfId="0" applyFill="1" applyBorder="1" applyAlignment="1">
      <alignment horizontal="left"/>
    </xf>
    <xf numFmtId="0" fontId="15" fillId="0" borderId="0" xfId="0" applyFont="1" applyAlignment="1">
      <alignment horizontal="left" vertical="center"/>
    </xf>
    <xf numFmtId="0" fontId="62" fillId="0" borderId="0" xfId="0" applyFont="1" applyAlignment="1">
      <alignment horizontal="left" vertical="center"/>
    </xf>
    <xf numFmtId="0" fontId="61" fillId="0" borderId="0" xfId="36" applyFont="1" applyAlignment="1">
      <alignment horizontal="center"/>
    </xf>
    <xf numFmtId="0" fontId="61" fillId="0" borderId="0" xfId="0" applyFont="1" applyAlignment="1">
      <alignment horizontal="center"/>
    </xf>
    <xf numFmtId="0" fontId="61" fillId="0" borderId="0" xfId="36" applyFont="1" applyAlignment="1">
      <alignment horizontal="center" vertical="top"/>
    </xf>
    <xf numFmtId="0" fontId="0" fillId="0" borderId="0" xfId="0" applyAlignment="1">
      <alignment vertical="top"/>
    </xf>
    <xf numFmtId="0" fontId="0" fillId="0" borderId="17" xfId="0" applyFill="1" applyBorder="1" applyAlignment="1">
      <alignment horizontal="center"/>
    </xf>
    <xf numFmtId="0" fontId="61" fillId="0" borderId="0" xfId="36" applyFont="1" applyAlignment="1">
      <alignment horizontal="center" vertical="center"/>
    </xf>
    <xf numFmtId="0" fontId="128" fillId="0" borderId="0" xfId="36" applyFont="1">
      <alignment vertical="top"/>
    </xf>
    <xf numFmtId="0" fontId="104" fillId="0" borderId="0" xfId="0" applyFont="1"/>
    <xf numFmtId="0" fontId="15" fillId="0" borderId="0" xfId="36" applyFont="1" applyAlignment="1">
      <alignment horizontal="center" vertical="center" wrapText="1"/>
    </xf>
    <xf numFmtId="0" fontId="18" fillId="0" borderId="0" xfId="36" applyFont="1" applyAlignment="1">
      <alignment horizontal="left" vertical="top" wrapText="1"/>
    </xf>
    <xf numFmtId="2" fontId="61" fillId="0" borderId="17" xfId="36" applyNumberFormat="1" applyFont="1" applyFill="1" applyBorder="1" applyAlignment="1">
      <alignment horizontal="center" vertical="center" wrapText="1"/>
    </xf>
    <xf numFmtId="2" fontId="63" fillId="0" borderId="21" xfId="36" applyNumberFormat="1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vertical="top"/>
    </xf>
    <xf numFmtId="0" fontId="0" fillId="29" borderId="17" xfId="0" applyFont="1" applyFill="1" applyBorder="1" applyAlignment="1">
      <alignment horizontal="left"/>
    </xf>
    <xf numFmtId="2" fontId="63" fillId="0" borderId="0" xfId="36" applyNumberFormat="1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2" fontId="15" fillId="0" borderId="17" xfId="36" applyNumberFormat="1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4" fontId="15" fillId="0" borderId="17" xfId="36" applyNumberFormat="1" applyFont="1" applyFill="1" applyBorder="1" applyAlignment="1">
      <alignment horizontal="center" vertical="center" wrapText="1"/>
    </xf>
    <xf numFmtId="4" fontId="9" fillId="0" borderId="17" xfId="0" applyNumberFormat="1" applyFont="1" applyFill="1" applyBorder="1" applyAlignment="1">
      <alignment horizontal="center" vertical="center" wrapText="1"/>
    </xf>
    <xf numFmtId="0" fontId="171" fillId="0" borderId="0" xfId="0" applyFont="1" applyAlignment="1">
      <alignment horizontal="justify" vertical="center"/>
    </xf>
    <xf numFmtId="0" fontId="172" fillId="0" borderId="0" xfId="0" applyFont="1" applyAlignment="1">
      <alignment vertical="center"/>
    </xf>
    <xf numFmtId="0" fontId="61" fillId="0" borderId="0" xfId="0" applyFont="1" applyAlignment="1">
      <alignment horizontal="center" vertical="center"/>
    </xf>
    <xf numFmtId="0" fontId="82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0" xfId="36" applyFont="1" applyAlignment="1">
      <alignment horizontal="left" vertical="top" wrapText="1"/>
    </xf>
    <xf numFmtId="0" fontId="15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00" fillId="0" borderId="0" xfId="0" applyFont="1" applyAlignment="1">
      <alignment horizontal="center"/>
    </xf>
    <xf numFmtId="0" fontId="40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66" fillId="0" borderId="0" xfId="0" applyFont="1" applyAlignment="1">
      <alignment horizontal="justify" vertical="center"/>
    </xf>
    <xf numFmtId="0" fontId="62" fillId="0" borderId="0" xfId="0" applyFont="1" applyAlignment="1">
      <alignment vertical="center"/>
    </xf>
    <xf numFmtId="0" fontId="0" fillId="0" borderId="17" xfId="0" applyBorder="1" applyAlignment="1">
      <alignment horizontal="center" vertical="top"/>
    </xf>
    <xf numFmtId="4" fontId="122" fillId="0" borderId="18" xfId="0" applyNumberFormat="1" applyFont="1" applyBorder="1" applyAlignment="1">
      <alignment horizontal="center" vertical="center" wrapText="1"/>
    </xf>
    <xf numFmtId="4" fontId="122" fillId="0" borderId="19" xfId="0" applyNumberFormat="1" applyFont="1" applyBorder="1" applyAlignment="1">
      <alignment horizontal="center" vertical="center" wrapText="1"/>
    </xf>
    <xf numFmtId="0" fontId="147" fillId="0" borderId="17" xfId="0" applyFont="1" applyBorder="1" applyAlignment="1">
      <alignment horizontal="center" vertical="center" wrapText="1"/>
    </xf>
    <xf numFmtId="4" fontId="138" fillId="0" borderId="17" xfId="0" applyNumberFormat="1" applyFont="1" applyBorder="1" applyAlignment="1">
      <alignment horizontal="center" vertical="center" wrapText="1"/>
    </xf>
    <xf numFmtId="4" fontId="134" fillId="0" borderId="19" xfId="0" applyNumberFormat="1" applyFont="1" applyBorder="1" applyAlignment="1">
      <alignment horizontal="center" vertical="center" wrapText="1"/>
    </xf>
    <xf numFmtId="4" fontId="138" fillId="0" borderId="18" xfId="0" applyNumberFormat="1" applyFont="1" applyBorder="1" applyAlignment="1">
      <alignment horizontal="center" vertical="center" wrapText="1"/>
    </xf>
    <xf numFmtId="4" fontId="138" fillId="0" borderId="19" xfId="0" applyNumberFormat="1" applyFont="1" applyBorder="1" applyAlignment="1">
      <alignment horizontal="center" vertical="center" wrapText="1"/>
    </xf>
    <xf numFmtId="4" fontId="151" fillId="0" borderId="18" xfId="0" applyNumberFormat="1" applyFont="1" applyBorder="1" applyAlignment="1">
      <alignment horizontal="center" vertical="center" wrapText="1"/>
    </xf>
    <xf numFmtId="4" fontId="43" fillId="0" borderId="18" xfId="0" applyNumberFormat="1" applyFont="1" applyBorder="1" applyAlignment="1">
      <alignment horizontal="center" vertical="center" wrapText="1"/>
    </xf>
    <xf numFmtId="4" fontId="44" fillId="0" borderId="18" xfId="0" applyNumberFormat="1" applyFont="1" applyBorder="1" applyAlignment="1">
      <alignment horizontal="center" vertical="center" wrapText="1"/>
    </xf>
    <xf numFmtId="4" fontId="145" fillId="0" borderId="18" xfId="0" applyNumberFormat="1" applyFont="1" applyBorder="1" applyAlignment="1">
      <alignment horizontal="center" vertical="center"/>
    </xf>
    <xf numFmtId="4" fontId="145" fillId="0" borderId="19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4" fontId="0" fillId="0" borderId="17" xfId="0" applyNumberFormat="1" applyBorder="1" applyAlignment="1">
      <alignment horizontal="center" vertical="center" wrapText="1"/>
    </xf>
    <xf numFmtId="49" fontId="150" fillId="0" borderId="18" xfId="0" applyNumberFormat="1" applyFont="1" applyBorder="1" applyAlignment="1">
      <alignment horizontal="center" vertical="center" wrapText="1"/>
    </xf>
    <xf numFmtId="4" fontId="44" fillId="0" borderId="17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" fontId="41" fillId="0" borderId="17" xfId="0" applyNumberFormat="1" applyFont="1" applyBorder="1" applyAlignment="1">
      <alignment horizontal="center" vertical="center" wrapText="1"/>
    </xf>
    <xf numFmtId="4" fontId="14" fillId="0" borderId="17" xfId="0" applyNumberFormat="1" applyFont="1" applyBorder="1" applyAlignment="1">
      <alignment horizontal="center" vertical="center" wrapText="1"/>
    </xf>
    <xf numFmtId="4" fontId="43" fillId="0" borderId="18" xfId="38" applyNumberFormat="1" applyFont="1" applyFill="1" applyBorder="1" applyAlignment="1" applyProtection="1">
      <alignment horizontal="center" vertical="center" wrapText="1"/>
      <protection locked="0"/>
    </xf>
    <xf numFmtId="0" fontId="54" fillId="0" borderId="0" xfId="39" applyFont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90">
    <cellStyle name="20% - Акцент1" xfId="46"/>
    <cellStyle name="20% - Акцент2" xfId="47"/>
    <cellStyle name="20% - Акцент3" xfId="48"/>
    <cellStyle name="20% - Акцент4" xfId="49"/>
    <cellStyle name="20% - Акцент5" xfId="50"/>
    <cellStyle name="20% - Акцент6" xfId="51"/>
    <cellStyle name="40% - Акцент1" xfId="52"/>
    <cellStyle name="40% - Акцент2" xfId="53"/>
    <cellStyle name="40% - Акцент3" xfId="54"/>
    <cellStyle name="40% - Акцент4" xfId="55"/>
    <cellStyle name="40% - Акцент5" xfId="56"/>
    <cellStyle name="40% - Акцент6" xfId="57"/>
    <cellStyle name="60% - Акцент1" xfId="58"/>
    <cellStyle name="60% - Акцент2" xfId="59"/>
    <cellStyle name="60% - Акцент3" xfId="60"/>
    <cellStyle name="60% - Акцент4" xfId="61"/>
    <cellStyle name="60% - Акцент5" xfId="62"/>
    <cellStyle name="60% - Акцент6" xfId="63"/>
    <cellStyle name="Excel Built-in Normal" xfId="102"/>
    <cellStyle name="Excel Built-in Normal 2" xfId="118"/>
    <cellStyle name="Excel Built-in Обычный_УКБ до бюджету 2016р ост" xfId="84"/>
    <cellStyle name="Normal_meresha_07" xfId="1"/>
    <cellStyle name="TableStyleLight1" xfId="131"/>
    <cellStyle name="TableStyleLight1 2" xfId="173"/>
    <cellStyle name="Акцент1" xfId="64"/>
    <cellStyle name="Акцент2" xfId="65"/>
    <cellStyle name="Акцент3" xfId="66"/>
    <cellStyle name="Акцент4" xfId="67"/>
    <cellStyle name="Акцент5" xfId="68"/>
    <cellStyle name="Акцент6" xfId="69"/>
    <cellStyle name="Ввід" xfId="2"/>
    <cellStyle name="Ввід 2" xfId="180"/>
    <cellStyle name="Ввід 3" xfId="103"/>
    <cellStyle name="Ввод " xfId="70"/>
    <cellStyle name="Вывод" xfId="71"/>
    <cellStyle name="Вычисление" xfId="72"/>
    <cellStyle name="Гіперпосилання 2" xfId="73"/>
    <cellStyle name="Добре" xfId="3"/>
    <cellStyle name="Заголовок 1" xfId="4" builtinId="16" customBuiltin="1"/>
    <cellStyle name="Заголовок 1 2" xfId="104"/>
    <cellStyle name="Заголовок 2" xfId="5" builtinId="17" customBuiltin="1"/>
    <cellStyle name="Заголовок 2 2" xfId="105"/>
    <cellStyle name="Заголовок 3" xfId="6" builtinId="18" customBuiltin="1"/>
    <cellStyle name="Заголовок 3 2" xfId="106"/>
    <cellStyle name="Заголовок 4" xfId="7" builtinId="19" customBuiltin="1"/>
    <cellStyle name="Заголовок 4 2" xfId="107"/>
    <cellStyle name="Звичайний" xfId="0" builtinId="0"/>
    <cellStyle name="Звичайний 10" xfId="8"/>
    <cellStyle name="Звичайний 11" xfId="9"/>
    <cellStyle name="Звичайний 12" xfId="10"/>
    <cellStyle name="Звичайний 13" xfId="11"/>
    <cellStyle name="Звичайний 14" xfId="12"/>
    <cellStyle name="Звичайний 15" xfId="13"/>
    <cellStyle name="Звичайний 16" xfId="14"/>
    <cellStyle name="Звичайний 17" xfId="15"/>
    <cellStyle name="Звичайний 18" xfId="16"/>
    <cellStyle name="Звичайний 19" xfId="17"/>
    <cellStyle name="Звичайний 2" xfId="18"/>
    <cellStyle name="Звичайний 2 2" xfId="19"/>
    <cellStyle name="Звичайний 2 2 2" xfId="88"/>
    <cellStyle name="Звичайний 2 3" xfId="94"/>
    <cellStyle name="Звичайний 20" xfId="20"/>
    <cellStyle name="Звичайний 21" xfId="86"/>
    <cellStyle name="Звичайний 21 2" xfId="93"/>
    <cellStyle name="Звичайний 21 2 2" xfId="96"/>
    <cellStyle name="Звичайний 21 2 2 2" xfId="181"/>
    <cellStyle name="Звичайний 21 2 3" xfId="98"/>
    <cellStyle name="Звичайний 21 2 3 2" xfId="100"/>
    <cellStyle name="Звичайний 21 2 3 2 2" xfId="182"/>
    <cellStyle name="Звичайний 21 2 3 2 3" xfId="178"/>
    <cellStyle name="Звичайний 21 2 4" xfId="160"/>
    <cellStyle name="Звичайний 21 3" xfId="113"/>
    <cellStyle name="Звичайний 22" xfId="114"/>
    <cellStyle name="Звичайний 22 2" xfId="140"/>
    <cellStyle name="Звичайний 23" xfId="115"/>
    <cellStyle name="Звичайний 23 2" xfId="141"/>
    <cellStyle name="Звичайний 24" xfId="116"/>
    <cellStyle name="Звичайний 24 2" xfId="142"/>
    <cellStyle name="Звичайний 25" xfId="117"/>
    <cellStyle name="Звичайний 26" xfId="127"/>
    <cellStyle name="Звичайний 27" xfId="132"/>
    <cellStyle name="Звичайний 27 2" xfId="145"/>
    <cellStyle name="Звичайний 27 2 3" xfId="151"/>
    <cellStyle name="Звичайний 27 2 3 2" xfId="152"/>
    <cellStyle name="Звичайний 27 2 3 2 2" xfId="162"/>
    <cellStyle name="Звичайний 27 2 3 2 2 2" xfId="177"/>
    <cellStyle name="Звичайний 27 3" xfId="129"/>
    <cellStyle name="Звичайний 27 3 2" xfId="87"/>
    <cellStyle name="Звичайний 27 3 2 2" xfId="144"/>
    <cellStyle name="Звичайний 27 3 2 3" xfId="156"/>
    <cellStyle name="Звичайний 27 3 2 4" xfId="165"/>
    <cellStyle name="Звичайний 27 3 2 4 2" xfId="170"/>
    <cellStyle name="Звичайний 27 3 2 5" xfId="130"/>
    <cellStyle name="Звичайний 27 3 3" xfId="143"/>
    <cellStyle name="Звичайний 27 3 3 2" xfId="135"/>
    <cellStyle name="Звичайний 27 3 3 2 2" xfId="147"/>
    <cellStyle name="Звичайний 27 3 3 2 3" xfId="155"/>
    <cellStyle name="Звичайний 27 4 2" xfId="164"/>
    <cellStyle name="Звичайний 27 4 2 2" xfId="169"/>
    <cellStyle name="Звичайний 27 4 2 2 2" xfId="175"/>
    <cellStyle name="Звичайний 27 5" xfId="163"/>
    <cellStyle name="Звичайний 27 5 2" xfId="168"/>
    <cellStyle name="Звичайний 27 5 2 2" xfId="174"/>
    <cellStyle name="Звичайний 28" xfId="136"/>
    <cellStyle name="Звичайний 28 2" xfId="148"/>
    <cellStyle name="Звичайний 28 3" xfId="154"/>
    <cellStyle name="Звичайний 29" xfId="139"/>
    <cellStyle name="Звичайний 29 2" xfId="153"/>
    <cellStyle name="Звичайний 29 2 2" xfId="166"/>
    <cellStyle name="Звичайний 29 2 2 2" xfId="176"/>
    <cellStyle name="Звичайний 3" xfId="21"/>
    <cellStyle name="Звичайний 3 2" xfId="22"/>
    <cellStyle name="Звичайний 3 2 2" xfId="89"/>
    <cellStyle name="Звичайний 30" xfId="158"/>
    <cellStyle name="Звичайний 30 2" xfId="95"/>
    <cellStyle name="Звичайний 30 2 2" xfId="97"/>
    <cellStyle name="Звичайний 30 2 3" xfId="99"/>
    <cellStyle name="Звичайний 30 2 3 2" xfId="101"/>
    <cellStyle name="Звичайний 31" xfId="161"/>
    <cellStyle name="Звичайний 31 2" xfId="171"/>
    <cellStyle name="Звичайний 31 2 2" xfId="172"/>
    <cellStyle name="Звичайний 32" xfId="134"/>
    <cellStyle name="Звичайний 32 2" xfId="137"/>
    <cellStyle name="Звичайний 32 2 2" xfId="138"/>
    <cellStyle name="Звичайний 32 2 2 2" xfId="150"/>
    <cellStyle name="Звичайний 32 2 2 3" xfId="157"/>
    <cellStyle name="Звичайний 32 2 2 4" xfId="159"/>
    <cellStyle name="Звичайний 32 2 3" xfId="149"/>
    <cellStyle name="Звичайний 32 3" xfId="146"/>
    <cellStyle name="Звичайний 33" xfId="179"/>
    <cellStyle name="Звичайний 4" xfId="23"/>
    <cellStyle name="Звичайний 4 2" xfId="24"/>
    <cellStyle name="Звичайний 4 2 2" xfId="90"/>
    <cellStyle name="Звичайний 4 3" xfId="167"/>
    <cellStyle name="Звичайний 5" xfId="25"/>
    <cellStyle name="Звичайний 6" xfId="26"/>
    <cellStyle name="Звичайний 7" xfId="27"/>
    <cellStyle name="Звичайний 8" xfId="28"/>
    <cellStyle name="Звичайний 9" xfId="29"/>
    <cellStyle name="Звичайний_Додаток _ 3 зм_ни 4575" xfId="30"/>
    <cellStyle name="Зв'язана клітинка" xfId="41"/>
    <cellStyle name="Зв'язана клітинка 2" xfId="183"/>
    <cellStyle name="Зв'язана клітинка 3" xfId="108"/>
    <cellStyle name="Итог" xfId="74"/>
    <cellStyle name="Контрольна клітинка" xfId="31"/>
    <cellStyle name="Контрольна клітинка 2" xfId="184"/>
    <cellStyle name="Контрольная ячейка" xfId="75"/>
    <cellStyle name="Назва" xfId="32"/>
    <cellStyle name="Назва 2" xfId="185"/>
    <cellStyle name="Назва 3" xfId="109"/>
    <cellStyle name="Название" xfId="76"/>
    <cellStyle name="Нейтральный" xfId="77"/>
    <cellStyle name="Обычный 2" xfId="33"/>
    <cellStyle name="Обычный 2 2" xfId="34"/>
    <cellStyle name="Обычный 2 2 2" xfId="91"/>
    <cellStyle name="Обычный 2 2 2 2" xfId="120"/>
    <cellStyle name="Обычный 2 2 3" xfId="128"/>
    <cellStyle name="Обычный 2 3" xfId="110"/>
    <cellStyle name="Обычный 2 3 2" xfId="187"/>
    <cellStyle name="Обычный 2 4" xfId="119"/>
    <cellStyle name="Обычный 2 5" xfId="186"/>
    <cellStyle name="Обычный 3" xfId="35"/>
    <cellStyle name="Обычный 3 2" xfId="121"/>
    <cellStyle name="Обычный 3 3" xfId="188"/>
    <cellStyle name="Обычный 3 4" xfId="111"/>
    <cellStyle name="Обычный 4" xfId="112"/>
    <cellStyle name="Обычный 4 2" xfId="122"/>
    <cellStyle name="Обычный 4 3" xfId="85"/>
    <cellStyle name="Обычный 5" xfId="123"/>
    <cellStyle name="Обычный 6" xfId="124"/>
    <cellStyle name="Обычный 7" xfId="125"/>
    <cellStyle name="Обычный 8" xfId="126"/>
    <cellStyle name="Обычный_Plan_kapbud_2006 уточн." xfId="36"/>
    <cellStyle name="Обычный_дод.1" xfId="37"/>
    <cellStyle name="Обычный_Додаток 2 до бюджету 2000 року" xfId="38"/>
    <cellStyle name="Обычный_Додаток №1" xfId="39"/>
    <cellStyle name="Обычный_КАПІТАЛЬНІ  ВКЛАДЕННЯ 2015 2 2" xfId="45"/>
    <cellStyle name="Обычный_УЖКГ бюджет 2016 Після Ямчука 2" xfId="40"/>
    <cellStyle name="Обычный_УКБ до бюджету 2016р ост 2" xfId="92"/>
    <cellStyle name="Плохой" xfId="78"/>
    <cellStyle name="Пояснение" xfId="79"/>
    <cellStyle name="Примечание" xfId="80"/>
    <cellStyle name="Связанная ячейка" xfId="81"/>
    <cellStyle name="Середній" xfId="42"/>
    <cellStyle name="Стиль 1" xfId="43"/>
    <cellStyle name="Текст попередження" xfId="44"/>
    <cellStyle name="Текст попередження 2" xfId="189"/>
    <cellStyle name="Текст предупреждения" xfId="82"/>
    <cellStyle name="Фінансовий 2" xfId="133"/>
    <cellStyle name="Хороший" xfId="83"/>
  </cellStyles>
  <dxfs count="0"/>
  <tableStyles count="0" defaultTableStyle="TableStyleMedium2" defaultPivotStyle="PivotStyleLight16"/>
  <colors>
    <mruColors>
      <color rgb="FFCCCCFF"/>
      <color rgb="FF66FF99"/>
      <color rgb="FFCCECFF"/>
      <color rgb="FFA86ED4"/>
      <color rgb="FFCFAFE7"/>
      <color rgb="FFFFFF99"/>
      <color rgb="FFFFFFCC"/>
      <color rgb="FF99FF99"/>
      <color rgb="FF000099"/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JET/2021/&#1056;&#1110;&#1096;&#1077;&#1085;&#1085;&#1103;%20&#1073;&#1102;&#1076;&#1078;&#1077;&#1090;%20&#1074;&#1110;&#1076;%2014.07.2021%20&#1088;&#1086;&#1082;&#1091;%20&#8470;3/&#1056;&#1110;&#1096;&#1077;&#1085;&#1085;&#1103;%20&#1089;&#1077;&#1089;&#1110;&#1111;/&#1044;&#1086;&#1076;&#1072;&#1090;&#1082;&#1080;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d4"/>
      <sheetName val="d5"/>
      <sheetName val="d6"/>
      <sheetName val="d7"/>
      <sheetName val="d8"/>
      <sheetName val="d9"/>
      <sheetName val="d3-п"/>
      <sheetName val="Р-п"/>
      <sheetName val="d3+п"/>
      <sheetName val="d3-МВК"/>
      <sheetName val="Р-МВК"/>
      <sheetName val="d3-дС"/>
      <sheetName val="Р-дС"/>
    </sheetNames>
    <sheetDataSet>
      <sheetData sheetId="0"/>
      <sheetData sheetId="1">
        <row r="19">
          <cell r="E19">
            <v>-1111111</v>
          </cell>
        </row>
        <row r="28">
          <cell r="E28">
            <v>-2749028</v>
          </cell>
        </row>
      </sheetData>
      <sheetData sheetId="2"/>
      <sheetData sheetId="3">
        <row r="17">
          <cell r="F17">
            <v>200000</v>
          </cell>
        </row>
        <row r="20">
          <cell r="F20">
            <v>200000</v>
          </cell>
        </row>
      </sheetData>
      <sheetData sheetId="4"/>
      <sheetData sheetId="5">
        <row r="12">
          <cell r="J12">
            <v>5694500</v>
          </cell>
        </row>
        <row r="14">
          <cell r="J14">
            <v>2854500</v>
          </cell>
        </row>
        <row r="15">
          <cell r="J15">
            <v>1500000</v>
          </cell>
        </row>
        <row r="16">
          <cell r="J16">
            <v>1040000</v>
          </cell>
        </row>
        <row r="17">
          <cell r="J17">
            <v>300000</v>
          </cell>
        </row>
        <row r="19">
          <cell r="J19">
            <v>55803448.43</v>
          </cell>
        </row>
        <row r="20">
          <cell r="J20">
            <v>48000</v>
          </cell>
        </row>
        <row r="21">
          <cell r="J21">
            <v>859561.14</v>
          </cell>
        </row>
        <row r="22">
          <cell r="J22">
            <v>160000</v>
          </cell>
        </row>
        <row r="23">
          <cell r="J23">
            <v>4142134.23</v>
          </cell>
        </row>
        <row r="24">
          <cell r="J24">
            <v>440000</v>
          </cell>
        </row>
        <row r="25">
          <cell r="J25">
            <v>1500000</v>
          </cell>
        </row>
        <row r="27">
          <cell r="J27">
            <v>130000</v>
          </cell>
        </row>
        <row r="28">
          <cell r="J28">
            <v>700000</v>
          </cell>
        </row>
        <row r="29">
          <cell r="J29">
            <v>300000</v>
          </cell>
        </row>
        <row r="30">
          <cell r="J30">
            <v>49000</v>
          </cell>
        </row>
        <row r="31">
          <cell r="J31">
            <v>9149235</v>
          </cell>
        </row>
        <row r="32">
          <cell r="J32">
            <v>69862</v>
          </cell>
        </row>
        <row r="33">
          <cell r="J33">
            <v>200000</v>
          </cell>
        </row>
        <row r="34">
          <cell r="J34">
            <v>92850.01</v>
          </cell>
        </row>
        <row r="35">
          <cell r="J35">
            <v>500000</v>
          </cell>
        </row>
        <row r="36">
          <cell r="J36">
            <v>220000</v>
          </cell>
        </row>
        <row r="37">
          <cell r="J37">
            <v>250000</v>
          </cell>
        </row>
        <row r="38">
          <cell r="J38">
            <v>78000</v>
          </cell>
        </row>
        <row r="39">
          <cell r="J39">
            <v>1000000</v>
          </cell>
        </row>
        <row r="40">
          <cell r="J40">
            <v>292490.88</v>
          </cell>
        </row>
        <row r="41">
          <cell r="J41">
            <v>250000</v>
          </cell>
        </row>
        <row r="42">
          <cell r="J42">
            <v>110000</v>
          </cell>
        </row>
        <row r="43">
          <cell r="J43">
            <v>696945</v>
          </cell>
        </row>
        <row r="44">
          <cell r="J44">
            <v>300000</v>
          </cell>
        </row>
        <row r="45">
          <cell r="J45">
            <v>2186788</v>
          </cell>
        </row>
        <row r="46">
          <cell r="J46">
            <v>1330000</v>
          </cell>
        </row>
        <row r="47">
          <cell r="J47">
            <v>1559383</v>
          </cell>
        </row>
        <row r="48">
          <cell r="J48">
            <v>49000</v>
          </cell>
        </row>
        <row r="49">
          <cell r="J49">
            <v>500000</v>
          </cell>
        </row>
        <row r="50">
          <cell r="J50">
            <v>548818</v>
          </cell>
        </row>
        <row r="51">
          <cell r="J51">
            <v>49000</v>
          </cell>
        </row>
        <row r="52">
          <cell r="J52">
            <v>1257290</v>
          </cell>
        </row>
        <row r="53">
          <cell r="J53">
            <v>49000</v>
          </cell>
        </row>
        <row r="54">
          <cell r="J54">
            <v>750000</v>
          </cell>
        </row>
        <row r="55">
          <cell r="J55">
            <v>1261682</v>
          </cell>
        </row>
        <row r="56">
          <cell r="J56">
            <v>93500</v>
          </cell>
        </row>
        <row r="57">
          <cell r="J57">
            <v>87000</v>
          </cell>
        </row>
        <row r="58">
          <cell r="J58">
            <v>43500</v>
          </cell>
        </row>
        <row r="59">
          <cell r="J59">
            <v>143500</v>
          </cell>
        </row>
        <row r="60">
          <cell r="J60">
            <v>279953</v>
          </cell>
        </row>
        <row r="61">
          <cell r="J61">
            <v>614900</v>
          </cell>
        </row>
        <row r="62">
          <cell r="J62">
            <v>107149.99</v>
          </cell>
        </row>
        <row r="63">
          <cell r="J63">
            <v>500000</v>
          </cell>
        </row>
        <row r="64">
          <cell r="J64">
            <v>2000000</v>
          </cell>
        </row>
        <row r="65">
          <cell r="J65">
            <v>400000</v>
          </cell>
        </row>
        <row r="66">
          <cell r="J66">
            <v>700000</v>
          </cell>
        </row>
        <row r="67">
          <cell r="J67">
            <v>400000</v>
          </cell>
        </row>
        <row r="68">
          <cell r="J68">
            <v>700000</v>
          </cell>
        </row>
        <row r="69">
          <cell r="J69">
            <v>700000</v>
          </cell>
        </row>
        <row r="70">
          <cell r="J70">
            <v>690360</v>
          </cell>
        </row>
        <row r="71">
          <cell r="J71">
            <v>208100</v>
          </cell>
        </row>
        <row r="72">
          <cell r="J72">
            <v>2408595</v>
          </cell>
        </row>
        <row r="73">
          <cell r="J73">
            <v>315000</v>
          </cell>
        </row>
        <row r="74">
          <cell r="J74">
            <v>1170637</v>
          </cell>
        </row>
        <row r="75">
          <cell r="J75">
            <v>542580</v>
          </cell>
        </row>
        <row r="76">
          <cell r="J76">
            <v>50000</v>
          </cell>
        </row>
        <row r="77">
          <cell r="J77">
            <v>50000</v>
          </cell>
        </row>
        <row r="78">
          <cell r="J78">
            <v>2117071</v>
          </cell>
        </row>
        <row r="79">
          <cell r="J79">
            <v>1383129</v>
          </cell>
        </row>
        <row r="80">
          <cell r="J80">
            <v>0</v>
          </cell>
        </row>
        <row r="81">
          <cell r="J81">
            <v>0</v>
          </cell>
        </row>
        <row r="83">
          <cell r="J83">
            <v>2396198</v>
          </cell>
        </row>
        <row r="84">
          <cell r="J84">
            <v>576190</v>
          </cell>
        </row>
        <row r="85">
          <cell r="J85">
            <v>100000</v>
          </cell>
        </row>
        <row r="86">
          <cell r="J86">
            <v>1400000</v>
          </cell>
        </row>
        <row r="87">
          <cell r="J87">
            <v>4547046.18</v>
          </cell>
        </row>
        <row r="89">
          <cell r="J89">
            <v>21628518</v>
          </cell>
        </row>
        <row r="90">
          <cell r="J90">
            <v>5000000</v>
          </cell>
        </row>
        <row r="91">
          <cell r="J91">
            <v>268000</v>
          </cell>
        </row>
        <row r="92">
          <cell r="J92">
            <v>1457681</v>
          </cell>
        </row>
        <row r="93">
          <cell r="J93">
            <v>4929406</v>
          </cell>
        </row>
        <row r="94">
          <cell r="J94">
            <v>2245793</v>
          </cell>
        </row>
        <row r="95">
          <cell r="J95">
            <v>1500000</v>
          </cell>
        </row>
        <row r="96">
          <cell r="J96">
            <v>3019000</v>
          </cell>
        </row>
        <row r="97">
          <cell r="J97">
            <v>299806</v>
          </cell>
        </row>
        <row r="98">
          <cell r="J98">
            <v>305590</v>
          </cell>
        </row>
        <row r="99">
          <cell r="J99">
            <v>800000</v>
          </cell>
        </row>
        <row r="100">
          <cell r="J100">
            <v>843258</v>
          </cell>
        </row>
        <row r="101">
          <cell r="J101">
            <v>61272.21</v>
          </cell>
        </row>
        <row r="102">
          <cell r="J102">
            <v>88899.790000000008</v>
          </cell>
        </row>
        <row r="103">
          <cell r="J103">
            <v>50840</v>
          </cell>
        </row>
        <row r="104">
          <cell r="J104">
            <v>403924</v>
          </cell>
        </row>
        <row r="105">
          <cell r="J105">
            <v>355048</v>
          </cell>
        </row>
        <row r="106">
          <cell r="J106">
            <v>8740995</v>
          </cell>
        </row>
        <row r="108">
          <cell r="J108">
            <v>960000</v>
          </cell>
        </row>
        <row r="109">
          <cell r="J109">
            <v>250000</v>
          </cell>
        </row>
        <row r="110">
          <cell r="J110">
            <v>199000</v>
          </cell>
        </row>
        <row r="111">
          <cell r="J111">
            <v>128000</v>
          </cell>
        </row>
        <row r="112">
          <cell r="J112">
            <v>43440</v>
          </cell>
        </row>
        <row r="113">
          <cell r="J113">
            <v>1406110</v>
          </cell>
        </row>
        <row r="114">
          <cell r="J114">
            <v>898105</v>
          </cell>
        </row>
        <row r="115">
          <cell r="J115">
            <v>388340</v>
          </cell>
        </row>
        <row r="116">
          <cell r="J116">
            <v>98000</v>
          </cell>
        </row>
        <row r="117">
          <cell r="J117">
            <v>150000</v>
          </cell>
        </row>
        <row r="118">
          <cell r="J118">
            <v>4000000</v>
          </cell>
        </row>
        <row r="119">
          <cell r="J119">
            <v>220000</v>
          </cell>
        </row>
        <row r="120">
          <cell r="J120">
            <v>7646625</v>
          </cell>
        </row>
        <row r="122">
          <cell r="J122">
            <v>49000</v>
          </cell>
        </row>
        <row r="123">
          <cell r="J123">
            <v>1000000</v>
          </cell>
        </row>
        <row r="124">
          <cell r="J124">
            <v>804000</v>
          </cell>
        </row>
        <row r="125">
          <cell r="J125">
            <v>84000</v>
          </cell>
        </row>
        <row r="126">
          <cell r="J126">
            <v>67000</v>
          </cell>
        </row>
        <row r="127">
          <cell r="J127">
            <v>164900</v>
          </cell>
        </row>
        <row r="128">
          <cell r="J128">
            <v>5000000</v>
          </cell>
        </row>
        <row r="129">
          <cell r="J129">
            <v>146100</v>
          </cell>
        </row>
        <row r="130">
          <cell r="J130">
            <v>31625</v>
          </cell>
        </row>
        <row r="131">
          <cell r="J131">
            <v>200000</v>
          </cell>
        </row>
        <row r="132">
          <cell r="J132">
            <v>100000</v>
          </cell>
        </row>
        <row r="134">
          <cell r="J134">
            <v>5470186</v>
          </cell>
        </row>
        <row r="135">
          <cell r="J135">
            <v>733957</v>
          </cell>
        </row>
        <row r="136">
          <cell r="J136">
            <v>1449420</v>
          </cell>
        </row>
        <row r="138">
          <cell r="J138">
            <v>33250</v>
          </cell>
        </row>
        <row r="139">
          <cell r="J139">
            <v>48600</v>
          </cell>
        </row>
        <row r="140">
          <cell r="J140">
            <v>1456316</v>
          </cell>
        </row>
        <row r="141">
          <cell r="J141">
            <v>649999</v>
          </cell>
        </row>
        <row r="142">
          <cell r="J142">
            <v>31970</v>
          </cell>
        </row>
        <row r="144">
          <cell r="J144">
            <v>15200</v>
          </cell>
        </row>
        <row r="145">
          <cell r="J145">
            <v>30000</v>
          </cell>
        </row>
        <row r="146">
          <cell r="J146">
            <v>1021474</v>
          </cell>
        </row>
        <row r="148">
          <cell r="J148">
            <v>30575149</v>
          </cell>
        </row>
        <row r="149">
          <cell r="J149">
            <v>163248</v>
          </cell>
        </row>
        <row r="150">
          <cell r="J150">
            <v>8993440</v>
          </cell>
        </row>
        <row r="151">
          <cell r="J151">
            <v>8000000</v>
          </cell>
        </row>
        <row r="153">
          <cell r="J153">
            <v>1948000</v>
          </cell>
        </row>
        <row r="154">
          <cell r="J154">
            <v>10658900</v>
          </cell>
        </row>
        <row r="155">
          <cell r="J155">
            <v>461561</v>
          </cell>
        </row>
        <row r="157">
          <cell r="J157">
            <v>50000</v>
          </cell>
        </row>
        <row r="159">
          <cell r="J159">
            <v>300000</v>
          </cell>
        </row>
        <row r="162">
          <cell r="J162">
            <v>150622013.57999998</v>
          </cell>
        </row>
        <row r="163">
          <cell r="J163">
            <v>144000</v>
          </cell>
        </row>
        <row r="165">
          <cell r="J165">
            <v>1500000</v>
          </cell>
        </row>
        <row r="166">
          <cell r="J166">
            <v>878984</v>
          </cell>
        </row>
        <row r="167">
          <cell r="J167">
            <v>3341100</v>
          </cell>
        </row>
        <row r="168">
          <cell r="J168">
            <v>660000</v>
          </cell>
        </row>
        <row r="169">
          <cell r="J169">
            <v>1000000</v>
          </cell>
        </row>
        <row r="170">
          <cell r="J170">
            <v>3532023</v>
          </cell>
        </row>
        <row r="171">
          <cell r="J171">
            <v>2972064</v>
          </cell>
        </row>
        <row r="172">
          <cell r="J172">
            <v>326000</v>
          </cell>
        </row>
        <row r="173">
          <cell r="J173">
            <v>600000</v>
          </cell>
        </row>
        <row r="174">
          <cell r="J174">
            <v>400000</v>
          </cell>
        </row>
        <row r="176">
          <cell r="J176">
            <v>180000</v>
          </cell>
        </row>
        <row r="177">
          <cell r="J177">
            <v>150268</v>
          </cell>
        </row>
        <row r="178">
          <cell r="J178">
            <v>180000</v>
          </cell>
        </row>
        <row r="179">
          <cell r="J179">
            <v>180000</v>
          </cell>
        </row>
        <row r="180">
          <cell r="J180">
            <v>90000</v>
          </cell>
        </row>
        <row r="181">
          <cell r="J181">
            <v>500000</v>
          </cell>
        </row>
        <row r="183">
          <cell r="J183">
            <v>2000000</v>
          </cell>
        </row>
        <row r="184">
          <cell r="J184">
            <v>3000000</v>
          </cell>
        </row>
        <row r="186">
          <cell r="J186">
            <v>300000</v>
          </cell>
        </row>
        <row r="190">
          <cell r="J190">
            <v>64537213</v>
          </cell>
        </row>
        <row r="191">
          <cell r="J191">
            <v>20549522.579999998</v>
          </cell>
        </row>
        <row r="193">
          <cell r="J193">
            <v>1218000</v>
          </cell>
        </row>
        <row r="194">
          <cell r="J194">
            <v>540000</v>
          </cell>
        </row>
        <row r="195">
          <cell r="J195">
            <v>660000</v>
          </cell>
        </row>
        <row r="196">
          <cell r="J196">
            <v>2885097</v>
          </cell>
        </row>
        <row r="197">
          <cell r="J197">
            <v>445000</v>
          </cell>
        </row>
        <row r="198">
          <cell r="J198">
            <v>100000</v>
          </cell>
        </row>
        <row r="200">
          <cell r="J200">
            <v>850000</v>
          </cell>
        </row>
        <row r="201">
          <cell r="J201">
            <v>50000</v>
          </cell>
        </row>
        <row r="202">
          <cell r="J202">
            <v>200000</v>
          </cell>
        </row>
        <row r="203">
          <cell r="J203">
            <v>50000</v>
          </cell>
        </row>
        <row r="204">
          <cell r="J204">
            <v>1118922</v>
          </cell>
        </row>
        <row r="205">
          <cell r="J205">
            <v>2000000</v>
          </cell>
        </row>
        <row r="206">
          <cell r="J206">
            <v>145000</v>
          </cell>
        </row>
        <row r="207">
          <cell r="J207">
            <v>38000</v>
          </cell>
        </row>
        <row r="208">
          <cell r="J208">
            <v>790000</v>
          </cell>
        </row>
        <row r="209">
          <cell r="J209">
            <v>22200</v>
          </cell>
        </row>
        <row r="210">
          <cell r="J210">
            <v>6400</v>
          </cell>
        </row>
        <row r="211">
          <cell r="J211">
            <v>350000</v>
          </cell>
        </row>
        <row r="212">
          <cell r="J212">
            <v>48590</v>
          </cell>
        </row>
        <row r="213">
          <cell r="J213">
            <v>980185</v>
          </cell>
        </row>
        <row r="214">
          <cell r="J214">
            <v>622689</v>
          </cell>
        </row>
        <row r="215">
          <cell r="J215">
            <v>700000</v>
          </cell>
        </row>
        <row r="216">
          <cell r="J216">
            <v>490000</v>
          </cell>
        </row>
        <row r="217">
          <cell r="J217">
            <v>1078170</v>
          </cell>
        </row>
        <row r="218">
          <cell r="J218">
            <v>2100000</v>
          </cell>
        </row>
        <row r="221">
          <cell r="J221">
            <v>4673460</v>
          </cell>
        </row>
        <row r="222">
          <cell r="J222">
            <v>1000000</v>
          </cell>
        </row>
        <row r="223">
          <cell r="J223">
            <v>5940000</v>
          </cell>
        </row>
        <row r="224">
          <cell r="J224">
            <v>593921</v>
          </cell>
        </row>
        <row r="225">
          <cell r="J225">
            <v>891000</v>
          </cell>
        </row>
        <row r="226">
          <cell r="J226">
            <v>100000</v>
          </cell>
        </row>
        <row r="227">
          <cell r="J227">
            <v>495200</v>
          </cell>
        </row>
        <row r="228">
          <cell r="J228">
            <v>1000000</v>
          </cell>
        </row>
        <row r="229">
          <cell r="J229">
            <v>2000000</v>
          </cell>
        </row>
        <row r="230">
          <cell r="J230">
            <v>3304175</v>
          </cell>
        </row>
        <row r="231">
          <cell r="J231">
            <v>2115430</v>
          </cell>
        </row>
        <row r="232">
          <cell r="J232">
            <v>864238</v>
          </cell>
        </row>
        <row r="233">
          <cell r="J233">
            <v>2086056</v>
          </cell>
        </row>
        <row r="234">
          <cell r="J234">
            <v>1017106</v>
          </cell>
        </row>
        <row r="235">
          <cell r="J235">
            <v>32000</v>
          </cell>
        </row>
        <row r="237">
          <cell r="J237">
            <v>261650566.50999999</v>
          </cell>
        </row>
        <row r="238">
          <cell r="J238">
            <v>112000000</v>
          </cell>
        </row>
        <row r="240">
          <cell r="J240">
            <v>36872.51</v>
          </cell>
        </row>
        <row r="241">
          <cell r="J241">
            <v>15122869</v>
          </cell>
        </row>
        <row r="242">
          <cell r="J242">
            <v>700000</v>
          </cell>
        </row>
        <row r="243">
          <cell r="J243">
            <v>7348088</v>
          </cell>
        </row>
        <row r="244">
          <cell r="J244">
            <v>200000</v>
          </cell>
        </row>
        <row r="245">
          <cell r="J245">
            <v>200000</v>
          </cell>
        </row>
        <row r="246">
          <cell r="J246">
            <v>100000</v>
          </cell>
        </row>
        <row r="247">
          <cell r="J247">
            <v>625816</v>
          </cell>
        </row>
        <row r="248">
          <cell r="J248">
            <v>488629</v>
          </cell>
        </row>
        <row r="249">
          <cell r="J249">
            <v>200000</v>
          </cell>
        </row>
        <row r="250">
          <cell r="J250">
            <v>12700000</v>
          </cell>
        </row>
        <row r="251">
          <cell r="J251">
            <v>120000</v>
          </cell>
        </row>
        <row r="252">
          <cell r="J252">
            <v>50000</v>
          </cell>
        </row>
        <row r="253">
          <cell r="J253">
            <v>50000</v>
          </cell>
        </row>
        <row r="254">
          <cell r="J254">
            <v>100000</v>
          </cell>
        </row>
        <row r="255">
          <cell r="J255">
            <v>756990</v>
          </cell>
        </row>
        <row r="256">
          <cell r="J256">
            <v>400000</v>
          </cell>
        </row>
        <row r="257">
          <cell r="J257">
            <v>370000</v>
          </cell>
        </row>
        <row r="258">
          <cell r="J258">
            <v>110081302</v>
          </cell>
        </row>
        <row r="259">
          <cell r="J259">
            <v>787000</v>
          </cell>
        </row>
        <row r="261">
          <cell r="J261">
            <v>176000</v>
          </cell>
        </row>
        <row r="262">
          <cell r="J262">
            <v>198000</v>
          </cell>
        </row>
        <row r="263">
          <cell r="J263">
            <v>413000</v>
          </cell>
        </row>
        <row r="264">
          <cell r="J264">
            <v>0</v>
          </cell>
        </row>
        <row r="265">
          <cell r="J265">
            <v>36000</v>
          </cell>
        </row>
        <row r="267">
          <cell r="J267">
            <v>36000</v>
          </cell>
        </row>
        <row r="269">
          <cell r="J269">
            <v>1209885</v>
          </cell>
        </row>
        <row r="270">
          <cell r="J270">
            <v>209885</v>
          </cell>
        </row>
        <row r="271">
          <cell r="J271">
            <v>1000000</v>
          </cell>
        </row>
        <row r="272">
          <cell r="J272">
            <v>64000</v>
          </cell>
        </row>
        <row r="274">
          <cell r="J274">
            <v>64000</v>
          </cell>
        </row>
        <row r="275">
          <cell r="J275">
            <v>350000</v>
          </cell>
        </row>
        <row r="277">
          <cell r="J277">
            <v>100000</v>
          </cell>
        </row>
        <row r="278">
          <cell r="J278">
            <v>20000</v>
          </cell>
        </row>
        <row r="279">
          <cell r="J279">
            <v>180000</v>
          </cell>
        </row>
        <row r="280">
          <cell r="J280">
            <v>50000</v>
          </cell>
        </row>
        <row r="281">
          <cell r="J281">
            <v>40000</v>
          </cell>
        </row>
        <row r="283">
          <cell r="J283">
            <v>40000</v>
          </cell>
        </row>
        <row r="284">
          <cell r="J284">
            <v>550318886.51999998</v>
          </cell>
        </row>
      </sheetData>
      <sheetData sheetId="6"/>
      <sheetData sheetId="7"/>
      <sheetData sheetId="8">
        <row r="13">
          <cell r="F13">
            <v>150900</v>
          </cell>
        </row>
        <row r="14">
          <cell r="F14">
            <v>160000</v>
          </cell>
        </row>
        <row r="15">
          <cell r="F15">
            <v>48000</v>
          </cell>
        </row>
        <row r="16">
          <cell r="F16">
            <v>45000</v>
          </cell>
        </row>
        <row r="17">
          <cell r="F17">
            <v>311238.95999999996</v>
          </cell>
        </row>
        <row r="18">
          <cell r="F18">
            <v>50000</v>
          </cell>
        </row>
        <row r="19">
          <cell r="F19">
            <v>5000</v>
          </cell>
        </row>
        <row r="20">
          <cell r="F20">
            <v>120000</v>
          </cell>
        </row>
        <row r="21">
          <cell r="F21">
            <v>50000</v>
          </cell>
        </row>
        <row r="22">
          <cell r="F22">
            <v>92500</v>
          </cell>
        </row>
        <row r="23">
          <cell r="F23">
            <v>35000</v>
          </cell>
        </row>
        <row r="24">
          <cell r="F24">
            <v>19500</v>
          </cell>
        </row>
        <row r="25">
          <cell r="F25">
            <v>100000</v>
          </cell>
        </row>
        <row r="26">
          <cell r="F26">
            <v>48000</v>
          </cell>
        </row>
        <row r="27">
          <cell r="F27">
            <v>50000</v>
          </cell>
        </row>
        <row r="28">
          <cell r="F28">
            <v>200000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7"/>
  <sheetViews>
    <sheetView showZeros="0" view="pageBreakPreview" zoomScale="110" zoomScaleSheetLayoutView="110" workbookViewId="0">
      <selection activeCell="D2" sqref="D2:G2"/>
    </sheetView>
  </sheetViews>
  <sheetFormatPr defaultColWidth="6.85546875" defaultRowHeight="12.75" x14ac:dyDescent="0.2"/>
  <cols>
    <col min="1" max="1" width="10.140625" style="11" customWidth="1"/>
    <col min="2" max="2" width="40.42578125" style="11" customWidth="1"/>
    <col min="3" max="4" width="17.28515625" style="11" customWidth="1"/>
    <col min="5" max="5" width="15.7109375" style="11" customWidth="1"/>
    <col min="6" max="6" width="14.5703125" style="11" customWidth="1"/>
    <col min="7" max="7" width="17.28515625" style="11" bestFit="1" customWidth="1"/>
    <col min="8" max="252" width="7.85546875" style="11" customWidth="1"/>
    <col min="253" max="16384" width="6.85546875" style="11"/>
  </cols>
  <sheetData>
    <row r="1" spans="1:7" ht="15.75" x14ac:dyDescent="0.2">
      <c r="D1" s="999" t="s">
        <v>62</v>
      </c>
      <c r="E1" s="1000"/>
      <c r="F1" s="1000"/>
      <c r="G1" s="1000"/>
    </row>
    <row r="2" spans="1:7" ht="15.75" x14ac:dyDescent="0.2">
      <c r="C2" s="12"/>
      <c r="D2" s="999" t="s">
        <v>1513</v>
      </c>
      <c r="E2" s="1001"/>
      <c r="F2" s="1001"/>
      <c r="G2" s="1001"/>
    </row>
    <row r="3" spans="1:7" ht="6" customHeight="1" x14ac:dyDescent="0.2">
      <c r="C3" s="12"/>
      <c r="D3" s="999"/>
      <c r="E3" s="1001"/>
      <c r="F3" s="1001"/>
      <c r="G3" s="1001"/>
    </row>
    <row r="4" spans="1:7" ht="12.75" customHeight="1" x14ac:dyDescent="0.2">
      <c r="A4" s="1002"/>
      <c r="B4" s="1002"/>
      <c r="C4" s="1002"/>
      <c r="D4" s="1002"/>
      <c r="E4" s="1002"/>
    </row>
    <row r="5" spans="1:7" ht="20.25" x14ac:dyDescent="0.2">
      <c r="A5" s="1002" t="s">
        <v>614</v>
      </c>
      <c r="B5" s="1003"/>
      <c r="C5" s="1003"/>
      <c r="D5" s="1003"/>
      <c r="E5" s="1003"/>
      <c r="F5" s="1003"/>
    </row>
    <row r="6" spans="1:7" ht="20.25" x14ac:dyDescent="0.2">
      <c r="A6" s="722"/>
      <c r="B6" s="80" t="s">
        <v>631</v>
      </c>
      <c r="C6" s="722"/>
      <c r="D6" s="722"/>
      <c r="E6" s="722"/>
    </row>
    <row r="7" spans="1:7" ht="13.5" thickBot="1" x14ac:dyDescent="0.25">
      <c r="B7" s="751"/>
      <c r="C7" s="751"/>
      <c r="D7" s="751"/>
      <c r="E7" s="751"/>
      <c r="F7" s="751" t="s">
        <v>63</v>
      </c>
    </row>
    <row r="8" spans="1:7" ht="14.25" thickTop="1" thickBot="1" x14ac:dyDescent="0.25">
      <c r="A8" s="998" t="s">
        <v>64</v>
      </c>
      <c r="B8" s="998" t="s">
        <v>65</v>
      </c>
      <c r="C8" s="998" t="s">
        <v>410</v>
      </c>
      <c r="D8" s="998" t="s">
        <v>12</v>
      </c>
      <c r="E8" s="998" t="s">
        <v>57</v>
      </c>
      <c r="F8" s="998"/>
      <c r="G8" s="13"/>
    </row>
    <row r="9" spans="1:7" ht="39.75" thickTop="1" thickBot="1" x14ac:dyDescent="0.3">
      <c r="A9" s="998"/>
      <c r="B9" s="998"/>
      <c r="C9" s="998"/>
      <c r="D9" s="998"/>
      <c r="E9" s="644" t="s">
        <v>410</v>
      </c>
      <c r="F9" s="644" t="s">
        <v>454</v>
      </c>
      <c r="G9" s="14"/>
    </row>
    <row r="10" spans="1:7" ht="16.5" thickTop="1" thickBot="1" x14ac:dyDescent="0.3">
      <c r="A10" s="644">
        <v>1</v>
      </c>
      <c r="B10" s="644">
        <v>2</v>
      </c>
      <c r="C10" s="644">
        <v>3</v>
      </c>
      <c r="D10" s="644">
        <v>4</v>
      </c>
      <c r="E10" s="644">
        <v>5</v>
      </c>
      <c r="F10" s="644">
        <v>6</v>
      </c>
      <c r="G10" s="14"/>
    </row>
    <row r="11" spans="1:7" ht="25.5" customHeight="1" thickTop="1" thickBot="1" x14ac:dyDescent="0.25">
      <c r="A11" s="774">
        <v>10000000</v>
      </c>
      <c r="B11" s="774" t="s">
        <v>66</v>
      </c>
      <c r="C11" s="775">
        <f t="shared" ref="C11:C16" si="0">SUM(D11,E11)</f>
        <v>2296860678</v>
      </c>
      <c r="D11" s="775">
        <f>SUM(D12,D25,D31,D50,D20)</f>
        <v>2296229778</v>
      </c>
      <c r="E11" s="775">
        <f>SUM(E12,E25,E31,E50,E20)</f>
        <v>630900</v>
      </c>
      <c r="F11" s="775">
        <f>SUM(F12,F25,F31,F50,F20)</f>
        <v>0</v>
      </c>
      <c r="G11" s="15"/>
    </row>
    <row r="12" spans="1:7" ht="31.5" customHeight="1" thickTop="1" thickBot="1" x14ac:dyDescent="0.25">
      <c r="A12" s="776">
        <v>11000000</v>
      </c>
      <c r="B12" s="776" t="s">
        <v>67</v>
      </c>
      <c r="C12" s="778">
        <f>SUM(D12,E12)</f>
        <v>1539280028</v>
      </c>
      <c r="D12" s="778">
        <f>SUM(D13,D18)</f>
        <v>1539280028</v>
      </c>
      <c r="E12" s="778"/>
      <c r="F12" s="778"/>
      <c r="G12" s="16"/>
    </row>
    <row r="13" spans="1:7" ht="24.75" customHeight="1" thickTop="1" thickBot="1" x14ac:dyDescent="0.25">
      <c r="A13" s="779">
        <v>11010000</v>
      </c>
      <c r="B13" s="780" t="s">
        <v>68</v>
      </c>
      <c r="C13" s="783">
        <f t="shared" si="0"/>
        <v>1538280028</v>
      </c>
      <c r="D13" s="783">
        <f>SUM(D14:D17)</f>
        <v>1538280028</v>
      </c>
      <c r="E13" s="783"/>
      <c r="F13" s="783"/>
      <c r="G13" s="16"/>
    </row>
    <row r="14" spans="1:7" ht="39.75" thickTop="1" thickBot="1" x14ac:dyDescent="0.25">
      <c r="A14" s="781">
        <v>11010100</v>
      </c>
      <c r="B14" s="782" t="s">
        <v>69</v>
      </c>
      <c r="C14" s="778">
        <f t="shared" si="0"/>
        <v>1274804070</v>
      </c>
      <c r="D14" s="784">
        <v>1274804070</v>
      </c>
      <c r="E14" s="784"/>
      <c r="F14" s="784"/>
      <c r="G14" s="16"/>
    </row>
    <row r="15" spans="1:7" ht="65.25" thickTop="1" thickBot="1" x14ac:dyDescent="0.25">
      <c r="A15" s="781">
        <v>11010200</v>
      </c>
      <c r="B15" s="782" t="s">
        <v>70</v>
      </c>
      <c r="C15" s="778">
        <f t="shared" si="0"/>
        <v>202378000</v>
      </c>
      <c r="D15" s="784">
        <v>202378000</v>
      </c>
      <c r="E15" s="784"/>
      <c r="F15" s="784"/>
      <c r="G15" s="16"/>
    </row>
    <row r="16" spans="1:7" ht="39.75" thickTop="1" thickBot="1" x14ac:dyDescent="0.25">
      <c r="A16" s="781">
        <v>11010400</v>
      </c>
      <c r="B16" s="782" t="s">
        <v>71</v>
      </c>
      <c r="C16" s="778">
        <f t="shared" si="0"/>
        <v>36966300</v>
      </c>
      <c r="D16" s="784">
        <f>(33686300)+3280000</f>
        <v>36966300</v>
      </c>
      <c r="E16" s="784"/>
      <c r="F16" s="784"/>
      <c r="G16" s="16"/>
    </row>
    <row r="17" spans="1:7" ht="39.75" thickTop="1" thickBot="1" x14ac:dyDescent="0.3">
      <c r="A17" s="781">
        <v>11010500</v>
      </c>
      <c r="B17" s="782" t="s">
        <v>72</v>
      </c>
      <c r="C17" s="778">
        <f t="shared" ref="C17:C92" si="1">SUM(D17,E17)</f>
        <v>24131658</v>
      </c>
      <c r="D17" s="784">
        <f>(22131658)+2000000</f>
        <v>24131658</v>
      </c>
      <c r="E17" s="784"/>
      <c r="F17" s="784"/>
      <c r="G17" s="14"/>
    </row>
    <row r="18" spans="1:7" ht="28.5" customHeight="1" thickTop="1" thickBot="1" x14ac:dyDescent="0.25">
      <c r="A18" s="779">
        <v>11020000</v>
      </c>
      <c r="B18" s="780" t="s">
        <v>73</v>
      </c>
      <c r="C18" s="783">
        <f>SUM(D18,E18)</f>
        <v>1000000</v>
      </c>
      <c r="D18" s="785">
        <f>D19</f>
        <v>1000000</v>
      </c>
      <c r="E18" s="785"/>
      <c r="F18" s="785"/>
      <c r="G18" s="15"/>
    </row>
    <row r="19" spans="1:7" ht="27" thickTop="1" thickBot="1" x14ac:dyDescent="0.3">
      <c r="A19" s="781">
        <v>11020200</v>
      </c>
      <c r="B19" s="789" t="s">
        <v>74</v>
      </c>
      <c r="C19" s="778">
        <f>SUM(D19,E19)</f>
        <v>1000000</v>
      </c>
      <c r="D19" s="784">
        <v>1000000</v>
      </c>
      <c r="E19" s="786"/>
      <c r="F19" s="784"/>
      <c r="G19" s="14"/>
    </row>
    <row r="20" spans="1:7" ht="27" thickTop="1" thickBot="1" x14ac:dyDescent="0.3">
      <c r="A20" s="776">
        <v>13000000</v>
      </c>
      <c r="B20" s="795" t="s">
        <v>615</v>
      </c>
      <c r="C20" s="778">
        <f>D20+E20</f>
        <v>1053000</v>
      </c>
      <c r="D20" s="778">
        <f>SUM(D21,D23)</f>
        <v>1053000</v>
      </c>
      <c r="E20" s="786"/>
      <c r="F20" s="784"/>
      <c r="G20" s="14"/>
    </row>
    <row r="21" spans="1:7" ht="28.5" thickTop="1" thickBot="1" x14ac:dyDescent="0.3">
      <c r="A21" s="779">
        <v>13010000</v>
      </c>
      <c r="B21" s="791" t="s">
        <v>616</v>
      </c>
      <c r="C21" s="783">
        <f>D21+E21</f>
        <v>1052400</v>
      </c>
      <c r="D21" s="783">
        <f>SUM(D22)</f>
        <v>1052400</v>
      </c>
      <c r="E21" s="785"/>
      <c r="F21" s="783"/>
      <c r="G21" s="14"/>
    </row>
    <row r="22" spans="1:7" ht="65.25" thickTop="1" thickBot="1" x14ac:dyDescent="0.3">
      <c r="A22" s="781">
        <v>13010200</v>
      </c>
      <c r="B22" s="787" t="s">
        <v>617</v>
      </c>
      <c r="C22" s="778">
        <f t="shared" ref="C22:C25" si="2">D22+E22</f>
        <v>1052400</v>
      </c>
      <c r="D22" s="784">
        <f>1052400+150000-150000</f>
        <v>1052400</v>
      </c>
      <c r="E22" s="786"/>
      <c r="F22" s="784"/>
      <c r="G22" s="14"/>
    </row>
    <row r="23" spans="1:7" ht="16.5" thickTop="1" thickBot="1" x14ac:dyDescent="0.3">
      <c r="A23" s="779">
        <v>13030000</v>
      </c>
      <c r="B23" s="788" t="s">
        <v>618</v>
      </c>
      <c r="C23" s="783">
        <f>D23+E23</f>
        <v>600</v>
      </c>
      <c r="D23" s="783">
        <f>SUM(D24)</f>
        <v>600</v>
      </c>
      <c r="E23" s="785"/>
      <c r="F23" s="783"/>
      <c r="G23" s="14"/>
    </row>
    <row r="24" spans="1:7" ht="39.75" thickTop="1" thickBot="1" x14ac:dyDescent="0.3">
      <c r="A24" s="781">
        <v>13030100</v>
      </c>
      <c r="B24" s="787" t="s">
        <v>619</v>
      </c>
      <c r="C24" s="778">
        <f t="shared" si="2"/>
        <v>600</v>
      </c>
      <c r="D24" s="784">
        <v>600</v>
      </c>
      <c r="E24" s="786"/>
      <c r="F24" s="784"/>
      <c r="G24" s="14"/>
    </row>
    <row r="25" spans="1:7" ht="26.25" customHeight="1" thickTop="1" thickBot="1" x14ac:dyDescent="0.3">
      <c r="A25" s="776">
        <v>14000000</v>
      </c>
      <c r="B25" s="795" t="s">
        <v>622</v>
      </c>
      <c r="C25" s="778">
        <f t="shared" si="2"/>
        <v>167376900</v>
      </c>
      <c r="D25" s="778">
        <f>SUM(D26,D28,D30)</f>
        <v>167376900</v>
      </c>
      <c r="E25" s="793"/>
      <c r="F25" s="784"/>
      <c r="G25" s="14"/>
    </row>
    <row r="26" spans="1:7" ht="30" customHeight="1" thickTop="1" thickBot="1" x14ac:dyDescent="0.3">
      <c r="A26" s="779">
        <v>14020000</v>
      </c>
      <c r="B26" s="791" t="s">
        <v>775</v>
      </c>
      <c r="C26" s="783">
        <f>SUM(D26,E26)</f>
        <v>17500000</v>
      </c>
      <c r="D26" s="783">
        <f>SUM(D27,E27)</f>
        <v>17500000</v>
      </c>
      <c r="E26" s="785"/>
      <c r="F26" s="794"/>
      <c r="G26" s="14"/>
    </row>
    <row r="27" spans="1:7" ht="16.5" thickTop="1" thickBot="1" x14ac:dyDescent="0.3">
      <c r="A27" s="781">
        <v>14021900</v>
      </c>
      <c r="B27" s="789" t="s">
        <v>774</v>
      </c>
      <c r="C27" s="784">
        <f>SUM(D27,E27)</f>
        <v>17500000</v>
      </c>
      <c r="D27" s="784">
        <v>17500000</v>
      </c>
      <c r="E27" s="793"/>
      <c r="F27" s="784"/>
      <c r="G27" s="14"/>
    </row>
    <row r="28" spans="1:7" ht="42" thickTop="1" thickBot="1" x14ac:dyDescent="0.3">
      <c r="A28" s="779">
        <v>14030000</v>
      </c>
      <c r="B28" s="791" t="s">
        <v>776</v>
      </c>
      <c r="C28" s="783">
        <f>SUM(D28,E28)</f>
        <v>65500000</v>
      </c>
      <c r="D28" s="783">
        <f>SUM(D29,E29)</f>
        <v>65500000</v>
      </c>
      <c r="E28" s="785"/>
      <c r="F28" s="794"/>
      <c r="G28" s="14"/>
    </row>
    <row r="29" spans="1:7" ht="16.5" thickTop="1" thickBot="1" x14ac:dyDescent="0.3">
      <c r="A29" s="781">
        <v>14031900</v>
      </c>
      <c r="B29" s="789" t="s">
        <v>774</v>
      </c>
      <c r="C29" s="784">
        <f>SUM(D29,E29)</f>
        <v>65500000</v>
      </c>
      <c r="D29" s="784">
        <v>65500000</v>
      </c>
      <c r="E29" s="793"/>
      <c r="F29" s="784"/>
      <c r="G29" s="14"/>
    </row>
    <row r="30" spans="1:7" ht="42" thickTop="1" thickBot="1" x14ac:dyDescent="0.25">
      <c r="A30" s="779">
        <v>14040000</v>
      </c>
      <c r="B30" s="780" t="s">
        <v>1390</v>
      </c>
      <c r="C30" s="783">
        <f>SUM(D30,E30)</f>
        <v>84376900</v>
      </c>
      <c r="D30" s="783">
        <f>79376900+5000000</f>
        <v>84376900</v>
      </c>
      <c r="E30" s="794"/>
      <c r="F30" s="794"/>
      <c r="G30" s="17"/>
    </row>
    <row r="31" spans="1:7" ht="29.25" customHeight="1" thickTop="1" thickBot="1" x14ac:dyDescent="0.3">
      <c r="A31" s="776">
        <v>18000000</v>
      </c>
      <c r="B31" s="776" t="s">
        <v>75</v>
      </c>
      <c r="C31" s="778">
        <f t="shared" si="1"/>
        <v>588519850</v>
      </c>
      <c r="D31" s="778">
        <f>SUM(D32,D43,D46)</f>
        <v>588519850</v>
      </c>
      <c r="E31" s="778"/>
      <c r="F31" s="778"/>
      <c r="G31" s="14"/>
    </row>
    <row r="32" spans="1:7" ht="16.5" thickTop="1" thickBot="1" x14ac:dyDescent="0.3">
      <c r="A32" s="779">
        <v>18010000</v>
      </c>
      <c r="B32" s="796" t="s">
        <v>76</v>
      </c>
      <c r="C32" s="783">
        <f>SUM(D32,E32)</f>
        <v>213361150</v>
      </c>
      <c r="D32" s="783">
        <f>SUM(D33:D42)</f>
        <v>213361150</v>
      </c>
      <c r="E32" s="783"/>
      <c r="F32" s="783"/>
      <c r="G32" s="14"/>
    </row>
    <row r="33" spans="1:7" ht="52.5" thickTop="1" thickBot="1" x14ac:dyDescent="0.3">
      <c r="A33" s="781">
        <v>18010100</v>
      </c>
      <c r="B33" s="797" t="s">
        <v>77</v>
      </c>
      <c r="C33" s="778">
        <f t="shared" si="1"/>
        <v>253400</v>
      </c>
      <c r="D33" s="784">
        <v>253400</v>
      </c>
      <c r="E33" s="784"/>
      <c r="F33" s="784"/>
      <c r="G33" s="14"/>
    </row>
    <row r="34" spans="1:7" ht="52.5" thickTop="1" thickBot="1" x14ac:dyDescent="0.3">
      <c r="A34" s="781">
        <v>18010200</v>
      </c>
      <c r="B34" s="797" t="s">
        <v>78</v>
      </c>
      <c r="C34" s="778">
        <f t="shared" si="1"/>
        <v>14364650</v>
      </c>
      <c r="D34" s="784">
        <v>14364650</v>
      </c>
      <c r="E34" s="784"/>
      <c r="F34" s="784"/>
      <c r="G34" s="14"/>
    </row>
    <row r="35" spans="1:7" ht="52.5" thickTop="1" thickBot="1" x14ac:dyDescent="0.3">
      <c r="A35" s="781">
        <v>18010300</v>
      </c>
      <c r="B35" s="797" t="s">
        <v>79</v>
      </c>
      <c r="C35" s="778">
        <f t="shared" si="1"/>
        <v>2316000</v>
      </c>
      <c r="D35" s="784">
        <v>2316000</v>
      </c>
      <c r="E35" s="784"/>
      <c r="F35" s="784"/>
      <c r="G35" s="14"/>
    </row>
    <row r="36" spans="1:7" ht="52.5" thickTop="1" thickBot="1" x14ac:dyDescent="0.3">
      <c r="A36" s="781">
        <v>18010400</v>
      </c>
      <c r="B36" s="797" t="s">
        <v>80</v>
      </c>
      <c r="C36" s="778">
        <f t="shared" si="1"/>
        <v>12860800</v>
      </c>
      <c r="D36" s="784">
        <v>12860800</v>
      </c>
      <c r="E36" s="784"/>
      <c r="F36" s="784"/>
      <c r="G36" s="14"/>
    </row>
    <row r="37" spans="1:7" ht="16.5" thickTop="1" thickBot="1" x14ac:dyDescent="0.3">
      <c r="A37" s="781">
        <v>18010500</v>
      </c>
      <c r="B37" s="789" t="s">
        <v>81</v>
      </c>
      <c r="C37" s="778">
        <f t="shared" si="1"/>
        <v>39345000</v>
      </c>
      <c r="D37" s="784">
        <f>38400000+600000+345000</f>
        <v>39345000</v>
      </c>
      <c r="E37" s="784"/>
      <c r="F37" s="784"/>
      <c r="G37" s="14"/>
    </row>
    <row r="38" spans="1:7" ht="16.5" thickTop="1" thickBot="1" x14ac:dyDescent="0.3">
      <c r="A38" s="781">
        <v>18010600</v>
      </c>
      <c r="B38" s="797" t="s">
        <v>82</v>
      </c>
      <c r="C38" s="778">
        <f t="shared" si="1"/>
        <v>109504000</v>
      </c>
      <c r="D38" s="784">
        <f>107104000+2400000</f>
        <v>109504000</v>
      </c>
      <c r="E38" s="784"/>
      <c r="F38" s="784"/>
      <c r="G38" s="14"/>
    </row>
    <row r="39" spans="1:7" ht="16.5" thickTop="1" thickBot="1" x14ac:dyDescent="0.3">
      <c r="A39" s="781">
        <v>18010700</v>
      </c>
      <c r="B39" s="797" t="s">
        <v>83</v>
      </c>
      <c r="C39" s="778">
        <f t="shared" si="1"/>
        <v>2433200</v>
      </c>
      <c r="D39" s="784">
        <v>2433200</v>
      </c>
      <c r="E39" s="784"/>
      <c r="F39" s="784"/>
      <c r="G39" s="14"/>
    </row>
    <row r="40" spans="1:7" ht="16.5" thickTop="1" thickBot="1" x14ac:dyDescent="0.3">
      <c r="A40" s="781">
        <v>18010900</v>
      </c>
      <c r="B40" s="797" t="s">
        <v>84</v>
      </c>
      <c r="C40" s="778">
        <f t="shared" si="1"/>
        <v>31584100</v>
      </c>
      <c r="D40" s="784">
        <f>29984100+1600000</f>
        <v>31584100</v>
      </c>
      <c r="E40" s="784"/>
      <c r="F40" s="784"/>
      <c r="G40" s="14"/>
    </row>
    <row r="41" spans="1:7" ht="15.75" thickTop="1" thickBot="1" x14ac:dyDescent="0.25">
      <c r="A41" s="781">
        <v>18011000</v>
      </c>
      <c r="B41" s="797" t="s">
        <v>85</v>
      </c>
      <c r="C41" s="778">
        <f t="shared" si="1"/>
        <v>400000</v>
      </c>
      <c r="D41" s="784">
        <v>400000</v>
      </c>
      <c r="E41" s="784"/>
      <c r="F41" s="784"/>
      <c r="G41" s="15"/>
    </row>
    <row r="42" spans="1:7" ht="16.5" thickTop="1" thickBot="1" x14ac:dyDescent="0.3">
      <c r="A42" s="781">
        <v>18011100</v>
      </c>
      <c r="B42" s="797" t="s">
        <v>86</v>
      </c>
      <c r="C42" s="778">
        <f t="shared" si="1"/>
        <v>300000</v>
      </c>
      <c r="D42" s="784">
        <v>300000</v>
      </c>
      <c r="E42" s="784"/>
      <c r="F42" s="784"/>
      <c r="G42" s="14"/>
    </row>
    <row r="43" spans="1:7" ht="16.5" thickTop="1" thickBot="1" x14ac:dyDescent="0.3">
      <c r="A43" s="779">
        <v>18030000</v>
      </c>
      <c r="B43" s="796" t="s">
        <v>87</v>
      </c>
      <c r="C43" s="783">
        <f>SUM(D43,E43)</f>
        <v>720000</v>
      </c>
      <c r="D43" s="783">
        <f>SUM(D44:D45)</f>
        <v>720000</v>
      </c>
      <c r="E43" s="783"/>
      <c r="F43" s="783"/>
      <c r="G43" s="14"/>
    </row>
    <row r="44" spans="1:7" ht="27" thickTop="1" thickBot="1" x14ac:dyDescent="0.3">
      <c r="A44" s="781">
        <v>18030100</v>
      </c>
      <c r="B44" s="797" t="s">
        <v>88</v>
      </c>
      <c r="C44" s="778">
        <f>SUM(D44,E44)</f>
        <v>465000</v>
      </c>
      <c r="D44" s="784">
        <f>385000+80000</f>
        <v>465000</v>
      </c>
      <c r="E44" s="784"/>
      <c r="F44" s="784"/>
      <c r="G44" s="14"/>
    </row>
    <row r="45" spans="1:7" ht="27" thickTop="1" thickBot="1" x14ac:dyDescent="0.3">
      <c r="A45" s="781">
        <v>18030200</v>
      </c>
      <c r="B45" s="797" t="s">
        <v>89</v>
      </c>
      <c r="C45" s="778">
        <f>SUM(D45,E45)</f>
        <v>255000</v>
      </c>
      <c r="D45" s="784">
        <f>235000+20000</f>
        <v>255000</v>
      </c>
      <c r="E45" s="784"/>
      <c r="F45" s="784"/>
      <c r="G45" s="14"/>
    </row>
    <row r="46" spans="1:7" ht="16.5" thickTop="1" thickBot="1" x14ac:dyDescent="0.3">
      <c r="A46" s="779">
        <v>18050000</v>
      </c>
      <c r="B46" s="796" t="s">
        <v>90</v>
      </c>
      <c r="C46" s="783">
        <f>SUM(D46,E46)</f>
        <v>374438700</v>
      </c>
      <c r="D46" s="783">
        <f>SUM(D47:D49)</f>
        <v>374438700</v>
      </c>
      <c r="E46" s="794"/>
      <c r="F46" s="794"/>
      <c r="G46" s="14"/>
    </row>
    <row r="47" spans="1:7" ht="16.5" thickTop="1" thickBot="1" x14ac:dyDescent="0.3">
      <c r="A47" s="781">
        <v>18050300</v>
      </c>
      <c r="B47" s="782" t="s">
        <v>1391</v>
      </c>
      <c r="C47" s="778">
        <f t="shared" si="1"/>
        <v>65570000</v>
      </c>
      <c r="D47" s="784">
        <f>65570000</f>
        <v>65570000</v>
      </c>
      <c r="E47" s="784"/>
      <c r="F47" s="784"/>
      <c r="G47" s="14"/>
    </row>
    <row r="48" spans="1:7" ht="15.75" thickTop="1" thickBot="1" x14ac:dyDescent="0.25">
      <c r="A48" s="781">
        <v>18050400</v>
      </c>
      <c r="B48" s="797" t="s">
        <v>91</v>
      </c>
      <c r="C48" s="778">
        <f t="shared" si="1"/>
        <v>304857530</v>
      </c>
      <c r="D48" s="784">
        <f>299857530+5000000</f>
        <v>304857530</v>
      </c>
      <c r="E48" s="784"/>
      <c r="F48" s="784"/>
      <c r="G48" s="15"/>
    </row>
    <row r="49" spans="1:7" ht="65.25" thickTop="1" thickBot="1" x14ac:dyDescent="0.25">
      <c r="A49" s="781">
        <v>18050500</v>
      </c>
      <c r="B49" s="797" t="s">
        <v>630</v>
      </c>
      <c r="C49" s="778">
        <f t="shared" si="1"/>
        <v>4011170</v>
      </c>
      <c r="D49" s="784">
        <v>4011170</v>
      </c>
      <c r="E49" s="784"/>
      <c r="F49" s="784"/>
      <c r="G49" s="152"/>
    </row>
    <row r="50" spans="1:7" ht="31.5" customHeight="1" thickTop="1" thickBot="1" x14ac:dyDescent="0.25">
      <c r="A50" s="776">
        <v>19000000</v>
      </c>
      <c r="B50" s="798" t="s">
        <v>623</v>
      </c>
      <c r="C50" s="778">
        <f t="shared" si="1"/>
        <v>630900</v>
      </c>
      <c r="D50" s="778"/>
      <c r="E50" s="778">
        <f>SUM(E52:E54)</f>
        <v>630900</v>
      </c>
      <c r="F50" s="784"/>
      <c r="G50" s="15"/>
    </row>
    <row r="51" spans="1:7" ht="16.5" thickTop="1" thickBot="1" x14ac:dyDescent="0.3">
      <c r="A51" s="779">
        <v>1901000</v>
      </c>
      <c r="B51" s="780" t="s">
        <v>92</v>
      </c>
      <c r="C51" s="783">
        <f t="shared" ref="C51:C55" si="3">SUM(D51,E51)</f>
        <v>630900</v>
      </c>
      <c r="D51" s="783">
        <f>SUM(D52:D54)</f>
        <v>0</v>
      </c>
      <c r="E51" s="783">
        <f>SUM(E52:E54)</f>
        <v>630900</v>
      </c>
      <c r="F51" s="783"/>
      <c r="G51" s="14"/>
    </row>
    <row r="52" spans="1:7" ht="52.5" thickTop="1" thickBot="1" x14ac:dyDescent="0.3">
      <c r="A52" s="781">
        <v>19010100</v>
      </c>
      <c r="B52" s="782" t="s">
        <v>624</v>
      </c>
      <c r="C52" s="778">
        <f t="shared" si="3"/>
        <v>255750</v>
      </c>
      <c r="D52" s="784"/>
      <c r="E52" s="784">
        <v>255750</v>
      </c>
      <c r="F52" s="784"/>
      <c r="G52" s="14"/>
    </row>
    <row r="53" spans="1:7" ht="27" thickTop="1" thickBot="1" x14ac:dyDescent="0.25">
      <c r="A53" s="781">
        <v>19010200</v>
      </c>
      <c r="B53" s="782" t="s">
        <v>93</v>
      </c>
      <c r="C53" s="778">
        <f t="shared" si="3"/>
        <v>120000</v>
      </c>
      <c r="D53" s="784"/>
      <c r="E53" s="784">
        <v>120000</v>
      </c>
      <c r="F53" s="784"/>
      <c r="G53" s="17"/>
    </row>
    <row r="54" spans="1:7" ht="52.5" thickTop="1" thickBot="1" x14ac:dyDescent="0.3">
      <c r="A54" s="781">
        <v>19010300</v>
      </c>
      <c r="B54" s="782" t="s">
        <v>94</v>
      </c>
      <c r="C54" s="778">
        <f t="shared" si="3"/>
        <v>255150</v>
      </c>
      <c r="D54" s="784"/>
      <c r="E54" s="784">
        <v>255150</v>
      </c>
      <c r="F54" s="784"/>
      <c r="G54" s="14"/>
    </row>
    <row r="55" spans="1:7" ht="30" customHeight="1" thickTop="1" thickBot="1" x14ac:dyDescent="0.3">
      <c r="A55" s="774">
        <v>20000000</v>
      </c>
      <c r="B55" s="774" t="s">
        <v>95</v>
      </c>
      <c r="C55" s="775">
        <f t="shared" si="3"/>
        <v>219495285</v>
      </c>
      <c r="D55" s="775">
        <f>SUM(D56,D64,D74,D79)</f>
        <v>54977964</v>
      </c>
      <c r="E55" s="775">
        <f>SUM(E56,E64,E74,E79)</f>
        <v>164517321</v>
      </c>
      <c r="F55" s="775">
        <f>SUM(F56,F64,F74,F79)</f>
        <v>5000012</v>
      </c>
      <c r="G55" s="14"/>
    </row>
    <row r="56" spans="1:7" ht="27" thickTop="1" thickBot="1" x14ac:dyDescent="0.3">
      <c r="A56" s="776">
        <v>21000000</v>
      </c>
      <c r="B56" s="776" t="s">
        <v>625</v>
      </c>
      <c r="C56" s="778">
        <f>SUM(D56,E56)</f>
        <v>16626004</v>
      </c>
      <c r="D56" s="778">
        <f>SUM(D57,D60,D59)</f>
        <v>16626004</v>
      </c>
      <c r="E56" s="778"/>
      <c r="F56" s="778"/>
      <c r="G56" s="14"/>
    </row>
    <row r="57" spans="1:7" ht="55.5" thickTop="1" thickBot="1" x14ac:dyDescent="0.3">
      <c r="A57" s="779">
        <v>21010000</v>
      </c>
      <c r="B57" s="791" t="s">
        <v>626</v>
      </c>
      <c r="C57" s="783">
        <f t="shared" si="1"/>
        <v>568800</v>
      </c>
      <c r="D57" s="783">
        <f>D58</f>
        <v>568800</v>
      </c>
      <c r="E57" s="783"/>
      <c r="F57" s="783"/>
      <c r="G57" s="14"/>
    </row>
    <row r="58" spans="1:7" ht="52.5" thickTop="1" thickBot="1" x14ac:dyDescent="0.3">
      <c r="A58" s="781">
        <v>21010300</v>
      </c>
      <c r="B58" s="789" t="s">
        <v>96</v>
      </c>
      <c r="C58" s="778">
        <f t="shared" si="1"/>
        <v>568800</v>
      </c>
      <c r="D58" s="784">
        <v>568800</v>
      </c>
      <c r="E58" s="784"/>
      <c r="F58" s="784"/>
      <c r="G58" s="14"/>
    </row>
    <row r="59" spans="1:7" ht="28.5" thickTop="1" thickBot="1" x14ac:dyDescent="0.3">
      <c r="A59" s="779">
        <v>21050000</v>
      </c>
      <c r="B59" s="791" t="s">
        <v>97</v>
      </c>
      <c r="C59" s="783">
        <f t="shared" si="1"/>
        <v>4000000</v>
      </c>
      <c r="D59" s="783">
        <f>2500000+1500000</f>
        <v>4000000</v>
      </c>
      <c r="E59" s="783"/>
      <c r="F59" s="783"/>
      <c r="G59" s="14"/>
    </row>
    <row r="60" spans="1:7" ht="15" thickTop="1" thickBot="1" x14ac:dyDescent="0.25">
      <c r="A60" s="779">
        <v>21080000</v>
      </c>
      <c r="B60" s="791" t="s">
        <v>1392</v>
      </c>
      <c r="C60" s="783">
        <f t="shared" ref="C60:C65" si="4">SUM(D60,E60)</f>
        <v>12057204</v>
      </c>
      <c r="D60" s="785">
        <f>SUM(D61:D63)</f>
        <v>12057204</v>
      </c>
      <c r="E60" s="783"/>
      <c r="F60" s="783"/>
      <c r="G60" s="17"/>
    </row>
    <row r="61" spans="1:7" ht="16.5" thickTop="1" thickBot="1" x14ac:dyDescent="0.3">
      <c r="A61" s="781">
        <v>21081100</v>
      </c>
      <c r="B61" s="799" t="s">
        <v>98</v>
      </c>
      <c r="C61" s="778">
        <f t="shared" si="4"/>
        <v>1007204</v>
      </c>
      <c r="D61" s="786">
        <f>507204+500000</f>
        <v>1007204</v>
      </c>
      <c r="E61" s="784"/>
      <c r="F61" s="784"/>
      <c r="G61" s="14"/>
    </row>
    <row r="62" spans="1:7" ht="52.5" thickTop="1" thickBot="1" x14ac:dyDescent="0.3">
      <c r="A62" s="781">
        <v>21081500</v>
      </c>
      <c r="B62" s="782" t="s">
        <v>99</v>
      </c>
      <c r="C62" s="778">
        <f t="shared" si="4"/>
        <v>1550000</v>
      </c>
      <c r="D62" s="784">
        <f>800000+750000</f>
        <v>1550000</v>
      </c>
      <c r="E62" s="784"/>
      <c r="F62" s="784"/>
      <c r="G62" s="14"/>
    </row>
    <row r="63" spans="1:7" ht="16.5" thickTop="1" thickBot="1" x14ac:dyDescent="0.3">
      <c r="A63" s="781">
        <v>21081700</v>
      </c>
      <c r="B63" s="782" t="s">
        <v>401</v>
      </c>
      <c r="C63" s="778">
        <f t="shared" si="4"/>
        <v>9500000</v>
      </c>
      <c r="D63" s="786">
        <v>9500000</v>
      </c>
      <c r="E63" s="784"/>
      <c r="F63" s="784"/>
      <c r="G63" s="49"/>
    </row>
    <row r="64" spans="1:7" ht="27" thickTop="1" thickBot="1" x14ac:dyDescent="0.3">
      <c r="A64" s="776">
        <v>22000000</v>
      </c>
      <c r="B64" s="776" t="s">
        <v>100</v>
      </c>
      <c r="C64" s="778">
        <f t="shared" si="4"/>
        <v>31391960</v>
      </c>
      <c r="D64" s="778">
        <f>SUM(D65,D69,D71)</f>
        <v>31391960</v>
      </c>
      <c r="E64" s="784"/>
      <c r="F64" s="784"/>
      <c r="G64" s="14"/>
    </row>
    <row r="65" spans="1:7" ht="24.75" customHeight="1" thickTop="1" thickBot="1" x14ac:dyDescent="0.3">
      <c r="A65" s="779">
        <v>22010000</v>
      </c>
      <c r="B65" s="780" t="s">
        <v>627</v>
      </c>
      <c r="C65" s="783">
        <f t="shared" si="4"/>
        <v>20380100</v>
      </c>
      <c r="D65" s="783">
        <f>SUM(D66:D68)</f>
        <v>20380100</v>
      </c>
      <c r="E65" s="783"/>
      <c r="F65" s="783"/>
      <c r="G65" s="14"/>
    </row>
    <row r="66" spans="1:7" ht="39.75" thickTop="1" thickBot="1" x14ac:dyDescent="0.3">
      <c r="A66" s="781">
        <v>22010300</v>
      </c>
      <c r="B66" s="782" t="s">
        <v>161</v>
      </c>
      <c r="C66" s="778">
        <f t="shared" si="1"/>
        <v>1000000</v>
      </c>
      <c r="D66" s="784">
        <v>1000000</v>
      </c>
      <c r="E66" s="784"/>
      <c r="F66" s="784"/>
      <c r="G66" s="14"/>
    </row>
    <row r="67" spans="1:7" ht="16.5" thickTop="1" thickBot="1" x14ac:dyDescent="0.3">
      <c r="A67" s="781">
        <v>22012500</v>
      </c>
      <c r="B67" s="782" t="s">
        <v>102</v>
      </c>
      <c r="C67" s="778">
        <f t="shared" si="1"/>
        <v>17852400</v>
      </c>
      <c r="D67" s="784">
        <f>16852400+1000000</f>
        <v>17852400</v>
      </c>
      <c r="E67" s="784"/>
      <c r="F67" s="784"/>
      <c r="G67" s="14"/>
    </row>
    <row r="68" spans="1:7" ht="27" thickTop="1" thickBot="1" x14ac:dyDescent="0.3">
      <c r="A68" s="781">
        <v>22012600</v>
      </c>
      <c r="B68" s="782" t="s">
        <v>101</v>
      </c>
      <c r="C68" s="778">
        <f>SUM(D68,E68)</f>
        <v>1527700</v>
      </c>
      <c r="D68" s="784">
        <v>1527700</v>
      </c>
      <c r="E68" s="784"/>
      <c r="F68" s="784"/>
      <c r="G68" s="14"/>
    </row>
    <row r="69" spans="1:7" ht="42" thickTop="1" thickBot="1" x14ac:dyDescent="0.3">
      <c r="A69" s="779">
        <v>2208000</v>
      </c>
      <c r="B69" s="780" t="s">
        <v>628</v>
      </c>
      <c r="C69" s="783">
        <f t="shared" si="1"/>
        <v>10500000</v>
      </c>
      <c r="D69" s="783">
        <f>D70</f>
        <v>10500000</v>
      </c>
      <c r="E69" s="783"/>
      <c r="F69" s="783"/>
      <c r="G69" s="14"/>
    </row>
    <row r="70" spans="1:7" ht="52.5" thickTop="1" thickBot="1" x14ac:dyDescent="0.3">
      <c r="A70" s="781">
        <v>22080400</v>
      </c>
      <c r="B70" s="799" t="s">
        <v>103</v>
      </c>
      <c r="C70" s="778">
        <f t="shared" si="1"/>
        <v>10500000</v>
      </c>
      <c r="D70" s="784">
        <f>8500000+2000000</f>
        <v>10500000</v>
      </c>
      <c r="E70" s="784"/>
      <c r="F70" s="784"/>
      <c r="G70" s="14"/>
    </row>
    <row r="71" spans="1:7" ht="16.5" thickTop="1" thickBot="1" x14ac:dyDescent="0.3">
      <c r="A71" s="779">
        <v>22090000</v>
      </c>
      <c r="B71" s="802" t="s">
        <v>104</v>
      </c>
      <c r="C71" s="783">
        <f t="shared" si="1"/>
        <v>511860</v>
      </c>
      <c r="D71" s="783">
        <f>SUM(D72:D73)</f>
        <v>511860</v>
      </c>
      <c r="E71" s="783"/>
      <c r="F71" s="783"/>
      <c r="G71" s="14"/>
    </row>
    <row r="72" spans="1:7" ht="52.5" thickTop="1" thickBot="1" x14ac:dyDescent="0.3">
      <c r="A72" s="781">
        <v>22090100</v>
      </c>
      <c r="B72" s="797" t="s">
        <v>105</v>
      </c>
      <c r="C72" s="778">
        <f t="shared" si="1"/>
        <v>400260</v>
      </c>
      <c r="D72" s="784">
        <v>400260</v>
      </c>
      <c r="E72" s="784"/>
      <c r="F72" s="784"/>
      <c r="G72" s="14"/>
    </row>
    <row r="73" spans="1:7" ht="39.75" thickTop="1" thickBot="1" x14ac:dyDescent="0.25">
      <c r="A73" s="781">
        <v>22090400</v>
      </c>
      <c r="B73" s="797" t="s">
        <v>106</v>
      </c>
      <c r="C73" s="778">
        <f t="shared" si="1"/>
        <v>111600</v>
      </c>
      <c r="D73" s="784">
        <v>111600</v>
      </c>
      <c r="E73" s="784"/>
      <c r="F73" s="784"/>
      <c r="G73" s="16"/>
    </row>
    <row r="74" spans="1:7" ht="27" customHeight="1" thickTop="1" thickBot="1" x14ac:dyDescent="0.3">
      <c r="A74" s="776">
        <v>24000000</v>
      </c>
      <c r="B74" s="803" t="s">
        <v>107</v>
      </c>
      <c r="C74" s="778">
        <f t="shared" si="1"/>
        <v>11960012</v>
      </c>
      <c r="D74" s="793">
        <f>D75+D76+D78+D77</f>
        <v>6960000</v>
      </c>
      <c r="E74" s="793">
        <f>E75+E76+E78+E77</f>
        <v>5000012</v>
      </c>
      <c r="F74" s="793">
        <f>F75+F76+F78+F77</f>
        <v>5000012</v>
      </c>
      <c r="G74" s="14"/>
    </row>
    <row r="75" spans="1:7" ht="16.5" thickTop="1" thickBot="1" x14ac:dyDescent="0.3">
      <c r="A75" s="781">
        <v>24060300</v>
      </c>
      <c r="B75" s="782" t="s">
        <v>108</v>
      </c>
      <c r="C75" s="778">
        <f t="shared" si="1"/>
        <v>4500000</v>
      </c>
      <c r="D75" s="786">
        <v>4500000</v>
      </c>
      <c r="E75" s="786"/>
      <c r="F75" s="786"/>
      <c r="G75" s="14"/>
    </row>
    <row r="76" spans="1:7" ht="65.25" thickTop="1" thickBot="1" x14ac:dyDescent="0.3">
      <c r="A76" s="781">
        <v>24062200</v>
      </c>
      <c r="B76" s="782" t="s">
        <v>402</v>
      </c>
      <c r="C76" s="778">
        <f t="shared" si="1"/>
        <v>2460000</v>
      </c>
      <c r="D76" s="786">
        <v>2460000</v>
      </c>
      <c r="E76" s="786"/>
      <c r="F76" s="786"/>
      <c r="G76" s="14"/>
    </row>
    <row r="77" spans="1:7" ht="39.75" thickTop="1" thickBot="1" x14ac:dyDescent="0.3">
      <c r="A77" s="781">
        <v>24110700</v>
      </c>
      <c r="B77" s="804" t="s">
        <v>723</v>
      </c>
      <c r="C77" s="778">
        <f t="shared" si="1"/>
        <v>12</v>
      </c>
      <c r="D77" s="786"/>
      <c r="E77" s="786">
        <v>12</v>
      </c>
      <c r="F77" s="786">
        <v>12</v>
      </c>
      <c r="G77" s="14"/>
    </row>
    <row r="78" spans="1:7" ht="27" thickTop="1" thickBot="1" x14ac:dyDescent="0.25">
      <c r="A78" s="781">
        <v>24170000</v>
      </c>
      <c r="B78" s="789" t="s">
        <v>109</v>
      </c>
      <c r="C78" s="778">
        <f t="shared" ref="C78:C84" si="5">SUM(D78,E78)</f>
        <v>5000000</v>
      </c>
      <c r="D78" s="786"/>
      <c r="E78" s="786">
        <v>5000000</v>
      </c>
      <c r="F78" s="786">
        <v>5000000</v>
      </c>
      <c r="G78" s="15"/>
    </row>
    <row r="79" spans="1:7" ht="16.5" thickTop="1" thickBot="1" x14ac:dyDescent="0.3">
      <c r="A79" s="776">
        <v>25000000</v>
      </c>
      <c r="B79" s="777" t="s">
        <v>110</v>
      </c>
      <c r="C79" s="778">
        <f t="shared" si="5"/>
        <v>159517309</v>
      </c>
      <c r="D79" s="793">
        <f>SUM(D80:D84,)</f>
        <v>0</v>
      </c>
      <c r="E79" s="793">
        <f>SUM(E80)</f>
        <v>159517309</v>
      </c>
      <c r="F79" s="793"/>
      <c r="G79" s="14"/>
    </row>
    <row r="80" spans="1:7" ht="42" thickTop="1" thickBot="1" x14ac:dyDescent="0.3">
      <c r="A80" s="779">
        <v>25010000</v>
      </c>
      <c r="B80" s="791" t="s">
        <v>111</v>
      </c>
      <c r="C80" s="783">
        <f t="shared" si="5"/>
        <v>159517309</v>
      </c>
      <c r="D80" s="785">
        <v>0</v>
      </c>
      <c r="E80" s="785">
        <f>SUM(E81:E84)</f>
        <v>159517309</v>
      </c>
      <c r="F80" s="785"/>
      <c r="G80" s="14"/>
    </row>
    <row r="81" spans="1:7" ht="27" thickTop="1" thickBot="1" x14ac:dyDescent="0.3">
      <c r="A81" s="781">
        <v>25010100</v>
      </c>
      <c r="B81" s="789" t="s">
        <v>112</v>
      </c>
      <c r="C81" s="778">
        <f t="shared" si="5"/>
        <v>146284599</v>
      </c>
      <c r="D81" s="786"/>
      <c r="E81" s="786">
        <f>144438629+1845970</f>
        <v>146284599</v>
      </c>
      <c r="F81" s="786"/>
      <c r="G81" s="14"/>
    </row>
    <row r="82" spans="1:7" ht="27" thickTop="1" thickBot="1" x14ac:dyDescent="0.3">
      <c r="A82" s="781">
        <v>25010200</v>
      </c>
      <c r="B82" s="789" t="s">
        <v>113</v>
      </c>
      <c r="C82" s="778">
        <f t="shared" si="5"/>
        <v>10981944</v>
      </c>
      <c r="D82" s="786"/>
      <c r="E82" s="786">
        <f>10585664+396280</f>
        <v>10981944</v>
      </c>
      <c r="F82" s="786"/>
      <c r="G82" s="14"/>
    </row>
    <row r="83" spans="1:7" ht="16.5" thickTop="1" thickBot="1" x14ac:dyDescent="0.3">
      <c r="A83" s="781">
        <v>25010300</v>
      </c>
      <c r="B83" s="789" t="s">
        <v>114</v>
      </c>
      <c r="C83" s="778">
        <f t="shared" si="5"/>
        <v>2197266</v>
      </c>
      <c r="D83" s="786"/>
      <c r="E83" s="786">
        <v>2197266</v>
      </c>
      <c r="F83" s="786"/>
      <c r="G83" s="14"/>
    </row>
    <row r="84" spans="1:7" ht="39.75" thickTop="1" thickBot="1" x14ac:dyDescent="0.3">
      <c r="A84" s="781">
        <v>25010400</v>
      </c>
      <c r="B84" s="789" t="s">
        <v>115</v>
      </c>
      <c r="C84" s="778">
        <f t="shared" si="5"/>
        <v>53500</v>
      </c>
      <c r="D84" s="786"/>
      <c r="E84" s="786">
        <v>53500</v>
      </c>
      <c r="F84" s="786"/>
      <c r="G84" s="14"/>
    </row>
    <row r="85" spans="1:7" ht="29.25" customHeight="1" thickTop="1" thickBot="1" x14ac:dyDescent="0.25">
      <c r="A85" s="774">
        <v>30000000</v>
      </c>
      <c r="B85" s="774" t="s">
        <v>116</v>
      </c>
      <c r="C85" s="775">
        <f t="shared" si="1"/>
        <v>25947343</v>
      </c>
      <c r="D85" s="775">
        <f>SUM(D86)+D90</f>
        <v>25000</v>
      </c>
      <c r="E85" s="775">
        <f>SUM(E86)+E90</f>
        <v>25922343</v>
      </c>
      <c r="F85" s="775">
        <f>SUM(F89:F90)</f>
        <v>25922343</v>
      </c>
      <c r="G85" s="16"/>
    </row>
    <row r="86" spans="1:7" ht="27" customHeight="1" thickTop="1" thickBot="1" x14ac:dyDescent="0.3">
      <c r="A86" s="776">
        <v>31000000</v>
      </c>
      <c r="B86" s="776" t="s">
        <v>117</v>
      </c>
      <c r="C86" s="778">
        <f>SUM(D86,E86)</f>
        <v>10710000</v>
      </c>
      <c r="D86" s="778">
        <f>D87+D89</f>
        <v>25000</v>
      </c>
      <c r="E86" s="778">
        <f>E87+E89</f>
        <v>10685000</v>
      </c>
      <c r="F86" s="778">
        <f>F87+F89</f>
        <v>10685000</v>
      </c>
      <c r="G86" s="14"/>
    </row>
    <row r="87" spans="1:7" ht="69" thickTop="1" thickBot="1" x14ac:dyDescent="0.3">
      <c r="A87" s="779">
        <v>3101000</v>
      </c>
      <c r="B87" s="780" t="s">
        <v>629</v>
      </c>
      <c r="C87" s="783">
        <f>SUM(D87,E87)</f>
        <v>25000</v>
      </c>
      <c r="D87" s="785">
        <f>D88</f>
        <v>25000</v>
      </c>
      <c r="E87" s="783"/>
      <c r="F87" s="783"/>
      <c r="G87" s="14"/>
    </row>
    <row r="88" spans="1:7" ht="78" thickTop="1" thickBot="1" x14ac:dyDescent="0.3">
      <c r="A88" s="781">
        <v>31010200</v>
      </c>
      <c r="B88" s="789" t="s">
        <v>118</v>
      </c>
      <c r="C88" s="778">
        <f>SUM(D88,E88)</f>
        <v>25000</v>
      </c>
      <c r="D88" s="786">
        <v>25000</v>
      </c>
      <c r="E88" s="786"/>
      <c r="F88" s="786"/>
      <c r="G88" s="14"/>
    </row>
    <row r="89" spans="1:7" ht="42" thickTop="1" thickBot="1" x14ac:dyDescent="0.3">
      <c r="A89" s="779">
        <v>31030000</v>
      </c>
      <c r="B89" s="791" t="s">
        <v>119</v>
      </c>
      <c r="C89" s="785">
        <f t="shared" si="1"/>
        <v>10685000</v>
      </c>
      <c r="D89" s="785"/>
      <c r="E89" s="785">
        <f>3685000+7000000</f>
        <v>10685000</v>
      </c>
      <c r="F89" s="785">
        <f>3685000+7000000</f>
        <v>10685000</v>
      </c>
      <c r="G89" s="14"/>
    </row>
    <row r="90" spans="1:7" ht="27" thickTop="1" thickBot="1" x14ac:dyDescent="0.3">
      <c r="A90" s="776">
        <v>33000000</v>
      </c>
      <c r="B90" s="776" t="s">
        <v>120</v>
      </c>
      <c r="C90" s="778">
        <f t="shared" si="1"/>
        <v>15237343</v>
      </c>
      <c r="D90" s="783"/>
      <c r="E90" s="783">
        <f>SUM(E91)</f>
        <v>15237343</v>
      </c>
      <c r="F90" s="783">
        <f>SUM(F91)</f>
        <v>15237343</v>
      </c>
      <c r="G90" s="14"/>
    </row>
    <row r="91" spans="1:7" ht="16.5" thickTop="1" thickBot="1" x14ac:dyDescent="0.3">
      <c r="A91" s="779">
        <v>33010000</v>
      </c>
      <c r="B91" s="780" t="s">
        <v>121</v>
      </c>
      <c r="C91" s="783">
        <f>SUM(D91,E91)</f>
        <v>15237343</v>
      </c>
      <c r="D91" s="783"/>
      <c r="E91" s="783">
        <f>SUM(E92,E93)</f>
        <v>15237343</v>
      </c>
      <c r="F91" s="783">
        <f>SUM(F92,F93)</f>
        <v>15237343</v>
      </c>
      <c r="G91" s="14"/>
    </row>
    <row r="92" spans="1:7" ht="52.5" thickTop="1" thickBot="1" x14ac:dyDescent="0.3">
      <c r="A92" s="781">
        <v>33010100</v>
      </c>
      <c r="B92" s="789" t="s">
        <v>368</v>
      </c>
      <c r="C92" s="793">
        <f t="shared" si="1"/>
        <v>13977846</v>
      </c>
      <c r="D92" s="786"/>
      <c r="E92" s="786">
        <f>11477846+2500000</f>
        <v>13977846</v>
      </c>
      <c r="F92" s="786">
        <f>11477846+2500000</f>
        <v>13977846</v>
      </c>
      <c r="G92" s="14"/>
    </row>
    <row r="93" spans="1:7" ht="52.5" thickTop="1" thickBot="1" x14ac:dyDescent="0.3">
      <c r="A93" s="781">
        <v>33010200</v>
      </c>
      <c r="B93" s="789" t="s">
        <v>122</v>
      </c>
      <c r="C93" s="793">
        <f>SUM(D93,E93)</f>
        <v>1259497</v>
      </c>
      <c r="D93" s="786"/>
      <c r="E93" s="786">
        <f>1259497</f>
        <v>1259497</v>
      </c>
      <c r="F93" s="786">
        <f>1259497</f>
        <v>1259497</v>
      </c>
      <c r="G93" s="14"/>
    </row>
    <row r="94" spans="1:7" ht="27" customHeight="1" thickTop="1" thickBot="1" x14ac:dyDescent="0.3">
      <c r="A94" s="774">
        <v>50000000</v>
      </c>
      <c r="B94" s="774" t="s">
        <v>532</v>
      </c>
      <c r="C94" s="775">
        <f>SUM(D94,E94)</f>
        <v>7001200</v>
      </c>
      <c r="D94" s="775"/>
      <c r="E94" s="775">
        <f>SUM(E95)</f>
        <v>7001200</v>
      </c>
      <c r="F94" s="775"/>
      <c r="G94" s="14"/>
    </row>
    <row r="95" spans="1:7" ht="52.5" thickTop="1" thickBot="1" x14ac:dyDescent="0.3">
      <c r="A95" s="776">
        <v>50110000</v>
      </c>
      <c r="B95" s="790" t="s">
        <v>123</v>
      </c>
      <c r="C95" s="778">
        <f t="shared" ref="C95:C128" si="6">SUM(D95,E95)</f>
        <v>7001200</v>
      </c>
      <c r="D95" s="784"/>
      <c r="E95" s="778">
        <f>6501200+500000</f>
        <v>7001200</v>
      </c>
      <c r="F95" s="784"/>
      <c r="G95" s="14"/>
    </row>
    <row r="96" spans="1:7" ht="45.75" customHeight="1" thickTop="1" thickBot="1" x14ac:dyDescent="0.25">
      <c r="A96" s="805"/>
      <c r="B96" s="808" t="s">
        <v>533</v>
      </c>
      <c r="C96" s="806">
        <f t="shared" ref="C96:C101" si="7">SUM(D96,E96)</f>
        <v>2549304506</v>
      </c>
      <c r="D96" s="807">
        <f>D94+D85+D55+D11</f>
        <v>2351232742</v>
      </c>
      <c r="E96" s="807">
        <f>E94+E85+E55+E11</f>
        <v>198071764</v>
      </c>
      <c r="F96" s="807">
        <f>F94+F85+F55+F11</f>
        <v>30922355</v>
      </c>
      <c r="G96" s="15"/>
    </row>
    <row r="97" spans="1:7" ht="34.5" customHeight="1" thickTop="1" thickBot="1" x14ac:dyDescent="0.25">
      <c r="A97" s="774">
        <v>40000000</v>
      </c>
      <c r="B97" s="774" t="s">
        <v>455</v>
      </c>
      <c r="C97" s="775">
        <f t="shared" si="7"/>
        <v>822316928.30999994</v>
      </c>
      <c r="D97" s="775">
        <f>SUM(D100,D98)</f>
        <v>795946928.30999994</v>
      </c>
      <c r="E97" s="775">
        <f>SUM(E100,E98)</f>
        <v>26370000</v>
      </c>
      <c r="F97" s="775">
        <f>SUM(F100,F98)</f>
        <v>24670000</v>
      </c>
      <c r="G97" s="15"/>
    </row>
    <row r="98" spans="1:7" ht="27" thickTop="1" thickBot="1" x14ac:dyDescent="0.25">
      <c r="A98" s="776">
        <v>41040000</v>
      </c>
      <c r="B98" s="795" t="s">
        <v>370</v>
      </c>
      <c r="C98" s="778">
        <f t="shared" si="7"/>
        <v>12117934</v>
      </c>
      <c r="D98" s="793">
        <f>D99</f>
        <v>12117934</v>
      </c>
      <c r="E98" s="793"/>
      <c r="F98" s="793"/>
      <c r="G98" s="15"/>
    </row>
    <row r="99" spans="1:7" ht="65.25" thickTop="1" thickBot="1" x14ac:dyDescent="0.25">
      <c r="A99" s="781">
        <v>41040200</v>
      </c>
      <c r="B99" s="789" t="s">
        <v>369</v>
      </c>
      <c r="C99" s="778">
        <f t="shared" si="7"/>
        <v>12117934</v>
      </c>
      <c r="D99" s="786">
        <v>12117934</v>
      </c>
      <c r="E99" s="793"/>
      <c r="F99" s="793"/>
      <c r="G99" s="15"/>
    </row>
    <row r="100" spans="1:7" ht="23.25" customHeight="1" thickTop="1" thickBot="1" x14ac:dyDescent="0.25">
      <c r="A100" s="776">
        <v>41000000</v>
      </c>
      <c r="B100" s="776" t="s">
        <v>124</v>
      </c>
      <c r="C100" s="778">
        <f t="shared" si="7"/>
        <v>810198994.30999994</v>
      </c>
      <c r="D100" s="793">
        <f>SUM(D101,D109)</f>
        <v>783828994.30999994</v>
      </c>
      <c r="E100" s="793">
        <f>SUM(E101,E109)</f>
        <v>26370000</v>
      </c>
      <c r="F100" s="793">
        <f>SUM(F101,F109)</f>
        <v>24670000</v>
      </c>
      <c r="G100" s="15"/>
    </row>
    <row r="101" spans="1:7" ht="27" thickTop="1" thickBot="1" x14ac:dyDescent="0.3">
      <c r="A101" s="776">
        <v>41030000</v>
      </c>
      <c r="B101" s="777" t="s">
        <v>470</v>
      </c>
      <c r="C101" s="778">
        <f t="shared" si="7"/>
        <v>726443995</v>
      </c>
      <c r="D101" s="793">
        <f>SUM(D102:D108)</f>
        <v>725273995</v>
      </c>
      <c r="E101" s="793">
        <f>SUM(E102:E108)</f>
        <v>1170000</v>
      </c>
      <c r="F101" s="793">
        <f>SUM(F102:F108)</f>
        <v>1170000</v>
      </c>
      <c r="G101" s="14"/>
    </row>
    <row r="102" spans="1:7" ht="52.5" thickTop="1" thickBot="1" x14ac:dyDescent="0.3">
      <c r="A102" s="781">
        <v>41032300</v>
      </c>
      <c r="B102" s="782" t="s">
        <v>1294</v>
      </c>
      <c r="C102" s="778">
        <f t="shared" si="6"/>
        <v>25000000</v>
      </c>
      <c r="D102" s="786">
        <v>25000000</v>
      </c>
      <c r="E102" s="793"/>
      <c r="F102" s="786"/>
      <c r="G102" s="14"/>
    </row>
    <row r="103" spans="1:7" ht="52.5" thickTop="1" thickBot="1" x14ac:dyDescent="0.3">
      <c r="A103" s="781">
        <v>41033800</v>
      </c>
      <c r="B103" s="782" t="s">
        <v>1394</v>
      </c>
      <c r="C103" s="778">
        <f t="shared" si="6"/>
        <v>2520000</v>
      </c>
      <c r="D103" s="786">
        <v>2520000</v>
      </c>
      <c r="E103" s="793"/>
      <c r="F103" s="786"/>
      <c r="G103" s="14"/>
    </row>
    <row r="104" spans="1:7" ht="27" thickTop="1" thickBot="1" x14ac:dyDescent="0.3">
      <c r="A104" s="781">
        <v>41033900</v>
      </c>
      <c r="B104" s="782" t="s">
        <v>125</v>
      </c>
      <c r="C104" s="778">
        <f t="shared" si="6"/>
        <v>623112400</v>
      </c>
      <c r="D104" s="784">
        <v>623112400</v>
      </c>
      <c r="E104" s="786"/>
      <c r="F104" s="786"/>
      <c r="G104" s="14"/>
    </row>
    <row r="105" spans="1:7" ht="39.75" thickTop="1" thickBot="1" x14ac:dyDescent="0.3">
      <c r="A105" s="781">
        <v>41034500</v>
      </c>
      <c r="B105" s="782" t="s">
        <v>1395</v>
      </c>
      <c r="C105" s="778">
        <f t="shared" si="6"/>
        <v>2990000</v>
      </c>
      <c r="D105" s="786">
        <v>1820000</v>
      </c>
      <c r="E105" s="786">
        <v>1170000</v>
      </c>
      <c r="F105" s="786">
        <v>1170000</v>
      </c>
      <c r="G105" s="14"/>
    </row>
    <row r="106" spans="1:7" ht="52.5" thickTop="1" thickBot="1" x14ac:dyDescent="0.3">
      <c r="A106" s="781">
        <v>41035500</v>
      </c>
      <c r="B106" s="782" t="s">
        <v>1296</v>
      </c>
      <c r="C106" s="778">
        <f t="shared" si="6"/>
        <v>250000</v>
      </c>
      <c r="D106" s="784">
        <v>250000</v>
      </c>
      <c r="E106" s="786"/>
      <c r="F106" s="786"/>
      <c r="G106" s="14"/>
    </row>
    <row r="107" spans="1:7" ht="65.25" thickTop="1" thickBot="1" x14ac:dyDescent="0.3">
      <c r="A107" s="781">
        <v>41035600</v>
      </c>
      <c r="B107" s="782" t="s">
        <v>1338</v>
      </c>
      <c r="C107" s="778">
        <f t="shared" si="6"/>
        <v>2571595</v>
      </c>
      <c r="D107" s="784">
        <v>2571595</v>
      </c>
      <c r="E107" s="786"/>
      <c r="F107" s="786"/>
      <c r="G107" s="14"/>
    </row>
    <row r="108" spans="1:7" ht="42.75" customHeight="1" thickTop="1" thickBot="1" x14ac:dyDescent="0.3">
      <c r="A108" s="781">
        <v>41035700</v>
      </c>
      <c r="B108" s="782" t="s">
        <v>1281</v>
      </c>
      <c r="C108" s="778">
        <f t="shared" si="6"/>
        <v>70000000</v>
      </c>
      <c r="D108" s="784">
        <v>70000000</v>
      </c>
      <c r="E108" s="786"/>
      <c r="F108" s="786"/>
      <c r="G108" s="14"/>
    </row>
    <row r="109" spans="1:7" ht="36.75" customHeight="1" thickTop="1" thickBot="1" x14ac:dyDescent="0.3">
      <c r="A109" s="776">
        <v>41050000</v>
      </c>
      <c r="B109" s="777" t="s">
        <v>517</v>
      </c>
      <c r="C109" s="778">
        <f t="shared" ref="C109:C116" si="8">SUM(D109,E109)</f>
        <v>83754999.310000002</v>
      </c>
      <c r="D109" s="778">
        <f>SUM(D110:D122)</f>
        <v>58554999.310000002</v>
      </c>
      <c r="E109" s="778">
        <f>SUM(E110:E122)</f>
        <v>25200000</v>
      </c>
      <c r="F109" s="778">
        <f>SUM(F110:F122)</f>
        <v>23500000</v>
      </c>
      <c r="G109" s="14"/>
    </row>
    <row r="110" spans="1:7" ht="256.5" thickTop="1" thickBot="1" x14ac:dyDescent="0.3">
      <c r="A110" s="781">
        <v>41050400</v>
      </c>
      <c r="B110" s="782" t="s">
        <v>1396</v>
      </c>
      <c r="C110" s="778">
        <f t="shared" si="8"/>
        <v>11298891.529999999</v>
      </c>
      <c r="D110" s="784">
        <v>11298891.529999999</v>
      </c>
      <c r="E110" s="786"/>
      <c r="F110" s="786"/>
      <c r="G110" s="14"/>
    </row>
    <row r="111" spans="1:7" ht="218.25" thickTop="1" thickBot="1" x14ac:dyDescent="0.3">
      <c r="A111" s="781">
        <v>41050500</v>
      </c>
      <c r="B111" s="782" t="s">
        <v>1397</v>
      </c>
      <c r="C111" s="778">
        <f t="shared" si="8"/>
        <v>1093438.78</v>
      </c>
      <c r="D111" s="784">
        <v>1093438.78</v>
      </c>
      <c r="E111" s="786"/>
      <c r="F111" s="786"/>
      <c r="G111" s="14"/>
    </row>
    <row r="112" spans="1:7" ht="307.5" thickTop="1" thickBot="1" x14ac:dyDescent="0.3">
      <c r="A112" s="781">
        <v>41050600</v>
      </c>
      <c r="B112" s="782" t="s">
        <v>1398</v>
      </c>
      <c r="C112" s="778">
        <f t="shared" si="8"/>
        <v>1751965</v>
      </c>
      <c r="D112" s="784">
        <v>1751965</v>
      </c>
      <c r="E112" s="786"/>
      <c r="F112" s="786"/>
      <c r="G112" s="14"/>
    </row>
    <row r="113" spans="1:7" ht="116.25" thickTop="1" thickBot="1" x14ac:dyDescent="0.3">
      <c r="A113" s="781">
        <v>41050900</v>
      </c>
      <c r="B113" s="782" t="s">
        <v>1399</v>
      </c>
      <c r="C113" s="778">
        <f t="shared" si="8"/>
        <v>3577034</v>
      </c>
      <c r="D113" s="784">
        <v>3577034</v>
      </c>
      <c r="E113" s="786"/>
      <c r="F113" s="786"/>
      <c r="G113" s="14"/>
    </row>
    <row r="114" spans="1:7" ht="39.75" thickTop="1" thickBot="1" x14ac:dyDescent="0.3">
      <c r="A114" s="781">
        <v>41051000</v>
      </c>
      <c r="B114" s="782" t="s">
        <v>518</v>
      </c>
      <c r="C114" s="778">
        <f t="shared" si="8"/>
        <v>7340558</v>
      </c>
      <c r="D114" s="784">
        <v>7340558</v>
      </c>
      <c r="E114" s="786"/>
      <c r="F114" s="786"/>
      <c r="G114" s="14"/>
    </row>
    <row r="115" spans="1:7" ht="52.5" thickTop="1" thickBot="1" x14ac:dyDescent="0.3">
      <c r="A115" s="781">
        <v>41051200</v>
      </c>
      <c r="B115" s="782" t="s">
        <v>772</v>
      </c>
      <c r="C115" s="778">
        <f t="shared" si="8"/>
        <v>7118182</v>
      </c>
      <c r="D115" s="784">
        <v>7118182</v>
      </c>
      <c r="E115" s="786"/>
      <c r="F115" s="786"/>
      <c r="G115" s="14"/>
    </row>
    <row r="116" spans="1:7" ht="65.25" thickTop="1" thickBot="1" x14ac:dyDescent="0.3">
      <c r="A116" s="781">
        <v>41051400</v>
      </c>
      <c r="B116" s="782" t="s">
        <v>1299</v>
      </c>
      <c r="C116" s="778">
        <f t="shared" si="8"/>
        <v>6063695</v>
      </c>
      <c r="D116" s="784">
        <v>6063695</v>
      </c>
      <c r="E116" s="786"/>
      <c r="F116" s="786"/>
      <c r="G116" s="14"/>
    </row>
    <row r="117" spans="1:7" ht="65.25" thickTop="1" thickBot="1" x14ac:dyDescent="0.3">
      <c r="A117" s="781">
        <v>41051700</v>
      </c>
      <c r="B117" s="782" t="s">
        <v>1219</v>
      </c>
      <c r="C117" s="778">
        <f t="shared" si="6"/>
        <v>2120589</v>
      </c>
      <c r="D117" s="784">
        <f>1648625+299264+128256+44444</f>
        <v>2120589</v>
      </c>
      <c r="E117" s="786"/>
      <c r="F117" s="786"/>
      <c r="G117" s="14"/>
    </row>
    <row r="118" spans="1:7" ht="90.75" hidden="1" thickTop="1" thickBot="1" x14ac:dyDescent="0.3">
      <c r="A118" s="781">
        <v>41056600</v>
      </c>
      <c r="B118" s="782" t="s">
        <v>1362</v>
      </c>
      <c r="C118" s="778">
        <f t="shared" si="6"/>
        <v>0</v>
      </c>
      <c r="D118" s="784">
        <f>10623233.82-10623233.82</f>
        <v>0</v>
      </c>
      <c r="E118" s="786"/>
      <c r="F118" s="786"/>
      <c r="G118" s="14"/>
    </row>
    <row r="119" spans="1:7" ht="52.5" thickTop="1" thickBot="1" x14ac:dyDescent="0.25">
      <c r="A119" s="781">
        <v>41055000</v>
      </c>
      <c r="B119" s="782" t="s">
        <v>1400</v>
      </c>
      <c r="C119" s="778">
        <f t="shared" si="6"/>
        <v>14254000</v>
      </c>
      <c r="D119" s="784">
        <v>14254000</v>
      </c>
      <c r="E119" s="786"/>
      <c r="F119" s="786"/>
      <c r="G119" s="15"/>
    </row>
    <row r="120" spans="1:7" ht="27" thickTop="1" thickBot="1" x14ac:dyDescent="0.25">
      <c r="A120" s="781">
        <v>41053600</v>
      </c>
      <c r="B120" s="782" t="s">
        <v>1221</v>
      </c>
      <c r="C120" s="778">
        <f t="shared" si="6"/>
        <v>1700000</v>
      </c>
      <c r="D120" s="784"/>
      <c r="E120" s="786">
        <v>1700000</v>
      </c>
      <c r="F120" s="786"/>
      <c r="G120" s="15"/>
    </row>
    <row r="121" spans="1:7" ht="205.5" thickTop="1" thickBot="1" x14ac:dyDescent="0.25">
      <c r="A121" s="781">
        <v>41054200</v>
      </c>
      <c r="B121" s="782" t="s">
        <v>1401</v>
      </c>
      <c r="C121" s="778">
        <f t="shared" si="6"/>
        <v>2429312</v>
      </c>
      <c r="D121" s="784">
        <v>2429312</v>
      </c>
      <c r="E121" s="786"/>
      <c r="F121" s="786"/>
      <c r="G121" s="15"/>
    </row>
    <row r="122" spans="1:7" ht="27" thickTop="1" thickBot="1" x14ac:dyDescent="0.25">
      <c r="A122" s="781">
        <v>41053900</v>
      </c>
      <c r="B122" s="782" t="s">
        <v>1092</v>
      </c>
      <c r="C122" s="778">
        <f t="shared" si="6"/>
        <v>25007334</v>
      </c>
      <c r="D122" s="784">
        <f>SUM(D123:D128)</f>
        <v>1507334</v>
      </c>
      <c r="E122" s="784">
        <f>SUM(E123:E128)</f>
        <v>23500000</v>
      </c>
      <c r="F122" s="784">
        <f>SUM(F123:F128)</f>
        <v>23500000</v>
      </c>
      <c r="G122" s="15"/>
    </row>
    <row r="123" spans="1:7" ht="15.75" thickTop="1" thickBot="1" x14ac:dyDescent="0.25">
      <c r="A123" s="781"/>
      <c r="B123" s="801" t="s">
        <v>1222</v>
      </c>
      <c r="C123" s="783">
        <f>SUM(D123,E123)</f>
        <v>23000000</v>
      </c>
      <c r="D123" s="794"/>
      <c r="E123" s="800">
        <f>20000000+3000000</f>
        <v>23000000</v>
      </c>
      <c r="F123" s="800">
        <f>20000000+3000000</f>
        <v>23000000</v>
      </c>
      <c r="G123" s="15"/>
    </row>
    <row r="124" spans="1:7" ht="39.75" thickTop="1" thickBot="1" x14ac:dyDescent="0.25">
      <c r="A124" s="781"/>
      <c r="B124" s="801" t="s">
        <v>1093</v>
      </c>
      <c r="C124" s="783">
        <f t="shared" si="6"/>
        <v>206796</v>
      </c>
      <c r="D124" s="794">
        <v>206796</v>
      </c>
      <c r="E124" s="800"/>
      <c r="F124" s="800"/>
      <c r="G124" s="15"/>
    </row>
    <row r="125" spans="1:7" ht="52.5" thickTop="1" thickBot="1" x14ac:dyDescent="0.25">
      <c r="A125" s="781"/>
      <c r="B125" s="801" t="s">
        <v>1094</v>
      </c>
      <c r="C125" s="783">
        <f t="shared" si="6"/>
        <v>147491</v>
      </c>
      <c r="D125" s="794">
        <v>147491</v>
      </c>
      <c r="E125" s="800"/>
      <c r="F125" s="800"/>
      <c r="G125" s="15"/>
    </row>
    <row r="126" spans="1:7" ht="27" thickTop="1" thickBot="1" x14ac:dyDescent="0.25">
      <c r="A126" s="781"/>
      <c r="B126" s="801" t="s">
        <v>1095</v>
      </c>
      <c r="C126" s="783">
        <f t="shared" si="6"/>
        <v>353047</v>
      </c>
      <c r="D126" s="794">
        <v>353047</v>
      </c>
      <c r="E126" s="800"/>
      <c r="F126" s="800"/>
      <c r="G126" s="15"/>
    </row>
    <row r="127" spans="1:7" ht="39.75" thickTop="1" thickBot="1" x14ac:dyDescent="0.25">
      <c r="A127" s="781"/>
      <c r="B127" s="801" t="s">
        <v>1458</v>
      </c>
      <c r="C127" s="783">
        <f t="shared" si="6"/>
        <v>800000</v>
      </c>
      <c r="D127" s="794">
        <v>800000</v>
      </c>
      <c r="E127" s="800"/>
      <c r="F127" s="800"/>
      <c r="G127" s="15"/>
    </row>
    <row r="128" spans="1:7" ht="27" thickTop="1" thickBot="1" x14ac:dyDescent="0.25">
      <c r="A128" s="781"/>
      <c r="B128" s="801" t="s">
        <v>1459</v>
      </c>
      <c r="C128" s="783">
        <f t="shared" si="6"/>
        <v>500000</v>
      </c>
      <c r="D128" s="794"/>
      <c r="E128" s="800">
        <v>500000</v>
      </c>
      <c r="F128" s="800">
        <v>500000</v>
      </c>
      <c r="G128" s="15"/>
    </row>
    <row r="129" spans="1:10" ht="41.25" customHeight="1" thickTop="1" thickBot="1" x14ac:dyDescent="0.3">
      <c r="A129" s="805"/>
      <c r="B129" s="808" t="s">
        <v>1388</v>
      </c>
      <c r="C129" s="806">
        <f>SUM(D129,E129)</f>
        <v>3371621434.3099999</v>
      </c>
      <c r="D129" s="807">
        <f>SUM(D96,D97)</f>
        <v>3147179670.3099999</v>
      </c>
      <c r="E129" s="807">
        <f>SUM(E96,E100)</f>
        <v>224441764</v>
      </c>
      <c r="F129" s="807">
        <f>SUM(F96,F100)</f>
        <v>55592355</v>
      </c>
      <c r="G129" s="773" t="b">
        <f>C129=C126+C125+C124+C123+C120+C119+C117+C116+C115+C110+C108+C107+C106+C104+C102+C99+C95+C93+C92+C89+C88+C84+C83+C82+C81+C78+C77+C76+C75+C73+C72+C70+C68+C67+C66+C63+C62+C61+C59+C58+C54+C53+C52+C49+C48+C47+C45+C44+C42+C41+C40+C39+C38+C37+C36+C35+C34+C33+C30+C29+C26+C24+C22+C19+C17+C16+C15+C14+C121+C113+C114+C112+C111+C105+C103+C127+C128</f>
        <v>1</v>
      </c>
      <c r="H129" s="773" t="b">
        <f>D129=D126+D125+D124+D123+D120+D119+D117+D116+D115+D110+D108+D107+D106+D104+D102+D99+D95+D93+D92+D89+D88+D84+D83+D82+D81+D78+D77+D76+D75+D73+D72+D70+D68+D67+D66+D63+D62+D61+D59+D58+D54+D53+D52+D49+D48+D47+D45+D44+D42+D41+D40+D39+D38+D37+D36+D35+D34+D33+D30+D29+D26+D24+D22+D19+D17+D16+D15+D14+D121+D113+D114+D112+D111+D105+D103+D127+D128</f>
        <v>1</v>
      </c>
      <c r="I129" s="773" t="b">
        <f>E129=E126+E125+E124+E123+E120+E119+E117+E116+E115+E110+E108+E107+E106+E104+E102+E99+E95+E93+E92+E89+E88+E84+E83+E82+E81+E78+E77+E76+E75+E73+E72+E70+E68+E67+E66+E63+E62+E61+E59+E58+E54+E53+E52+E49+E48+E47+E45+E44+E42+E41+E40+E39+E38+E37+E36+E35+E34+E33+E30+E29+E26+E24+E22+E19+E17+E16+E15+E14+E121+E113+E114+E112+E111+E105+E103+E127+E128</f>
        <v>1</v>
      </c>
      <c r="J129" s="773" t="b">
        <f>F129=F126+F125+F124+F123+F120+F119+F117+F116+F115+F110+F108+F107+F106+F104+F102+F99+F95+F93+F92+F89+F88+F84+F83+F82+F81+F78+F77+F76+F75+F73+F72+F70+F68+F67+F66+F63+F62+F61+F59+F58+F54+F53+F52+F49+F48+F47+F45+F44+F42+F41+F40+F39+F38+F37+F36+F35+F34+F33+F30+F29+F26+F24+F22+F19+F17+F16+F15+F14+F121+F113+F114+F112+F111+F105+F103+F127+F128</f>
        <v>1</v>
      </c>
    </row>
    <row r="130" spans="1:10" ht="13.5" thickTop="1" x14ac:dyDescent="0.2">
      <c r="B130" s="792"/>
      <c r="G130" s="772"/>
    </row>
    <row r="131" spans="1:10" ht="15.75" x14ac:dyDescent="0.25">
      <c r="B131" s="66"/>
      <c r="E131" s="66"/>
      <c r="G131" s="772"/>
    </row>
    <row r="132" spans="1:10" ht="15.75" x14ac:dyDescent="0.2">
      <c r="B132" s="734" t="s">
        <v>1508</v>
      </c>
      <c r="C132" s="721"/>
      <c r="D132" s="721"/>
      <c r="E132" s="657" t="s">
        <v>1509</v>
      </c>
      <c r="F132" s="734"/>
    </row>
    <row r="133" spans="1:10" ht="15.75" x14ac:dyDescent="0.25">
      <c r="B133" s="66"/>
      <c r="E133" s="66"/>
    </row>
    <row r="134" spans="1:10" ht="15.75" x14ac:dyDescent="0.25">
      <c r="A134" s="18"/>
      <c r="B134" s="66" t="s">
        <v>606</v>
      </c>
      <c r="C134" s="66"/>
      <c r="D134" s="66"/>
      <c r="E134" s="66" t="s">
        <v>607</v>
      </c>
      <c r="F134" s="18"/>
    </row>
    <row r="137" spans="1:10" x14ac:dyDescent="0.2">
      <c r="C137" s="772"/>
      <c r="D137" s="772"/>
      <c r="E137" s="772"/>
      <c r="F137" s="772"/>
    </row>
  </sheetData>
  <mergeCells count="10">
    <mergeCell ref="D1:G1"/>
    <mergeCell ref="D2:G2"/>
    <mergeCell ref="D3:G3"/>
    <mergeCell ref="A4:E4"/>
    <mergeCell ref="A5:F5"/>
    <mergeCell ref="A8:A9"/>
    <mergeCell ref="B8:B9"/>
    <mergeCell ref="C8:C9"/>
    <mergeCell ref="D8:D9"/>
    <mergeCell ref="E8:F8"/>
  </mergeCells>
  <hyperlinks>
    <hyperlink ref="B86" location="_ftn1" display="_ftn1"/>
    <hyperlink ref="B85" location="_ftn1" display="_ftn1"/>
    <hyperlink ref="B73" location="_ftn1" display="_ftn1"/>
    <hyperlink ref="B16" location="_ftn1" display="_ftn1"/>
    <hyperlink ref="B15" location="_ftn1" display="_ftn1"/>
    <hyperlink ref="B53" location="_ftn1" display="_ftn1"/>
    <hyperlink ref="B90" location="_ftn1" display="_ftn1"/>
    <hyperlink ref="B91" location="_ftn1" display="_ftn1"/>
    <hyperlink ref="B61" location="_ftn1" display="_ftn1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78" fitToHeight="0" orientation="portrait" verticalDpi="4294967295" r:id="rId1"/>
  <headerFooter alignWithMargins="0"/>
  <rowBreaks count="2" manualBreakCount="2">
    <brk id="67" max="5" man="1"/>
    <brk id="93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135"/>
  <sheetViews>
    <sheetView showZeros="0" view="pageBreakPreview" topLeftCell="A105" zoomScaleSheetLayoutView="100" workbookViewId="0">
      <selection activeCell="B106" sqref="B106"/>
    </sheetView>
  </sheetViews>
  <sheetFormatPr defaultColWidth="6.85546875" defaultRowHeight="12.75" x14ac:dyDescent="0.2"/>
  <cols>
    <col min="1" max="1" width="10.140625" style="11" customWidth="1"/>
    <col min="2" max="2" width="40.42578125" style="11" customWidth="1"/>
    <col min="3" max="4" width="17.28515625" style="11" customWidth="1"/>
    <col min="5" max="5" width="15.7109375" style="11" customWidth="1"/>
    <col min="6" max="6" width="14.5703125" style="11" customWidth="1"/>
    <col min="7" max="7" width="15.28515625" style="11" bestFit="1" customWidth="1"/>
    <col min="8" max="252" width="7.85546875" style="11" customWidth="1"/>
    <col min="253" max="16384" width="6.85546875" style="11"/>
  </cols>
  <sheetData>
    <row r="1" spans="1:7" ht="15.75" x14ac:dyDescent="0.2">
      <c r="D1" s="999" t="s">
        <v>62</v>
      </c>
      <c r="E1" s="1000"/>
      <c r="F1" s="1000"/>
      <c r="G1" s="1000"/>
    </row>
    <row r="2" spans="1:7" ht="15.75" x14ac:dyDescent="0.2">
      <c r="C2" s="12"/>
      <c r="D2" s="999" t="s">
        <v>1389</v>
      </c>
      <c r="E2" s="1001"/>
      <c r="F2" s="1001"/>
      <c r="G2" s="1001"/>
    </row>
    <row r="3" spans="1:7" ht="6" customHeight="1" x14ac:dyDescent="0.2">
      <c r="C3" s="12"/>
      <c r="D3" s="999"/>
      <c r="E3" s="1001"/>
      <c r="F3" s="1001"/>
      <c r="G3" s="1001"/>
    </row>
    <row r="4" spans="1:7" ht="12.75" customHeight="1" x14ac:dyDescent="0.2">
      <c r="A4" s="1002"/>
      <c r="B4" s="1002"/>
      <c r="C4" s="1002"/>
      <c r="D4" s="1002"/>
      <c r="E4" s="1002"/>
    </row>
    <row r="5" spans="1:7" ht="20.25" x14ac:dyDescent="0.2">
      <c r="A5" s="1002" t="s">
        <v>614</v>
      </c>
      <c r="B5" s="1003"/>
      <c r="C5" s="1003"/>
      <c r="D5" s="1003"/>
      <c r="E5" s="1003"/>
      <c r="F5" s="1003"/>
    </row>
    <row r="6" spans="1:7" ht="20.25" x14ac:dyDescent="0.2">
      <c r="A6" s="890"/>
      <c r="B6" s="80" t="s">
        <v>631</v>
      </c>
      <c r="C6" s="890"/>
      <c r="D6" s="890"/>
      <c r="E6" s="890"/>
    </row>
    <row r="7" spans="1:7" ht="13.5" thickBot="1" x14ac:dyDescent="0.25">
      <c r="B7" s="751"/>
      <c r="C7" s="751"/>
      <c r="D7" s="751"/>
      <c r="E7" s="751"/>
      <c r="F7" s="751" t="s">
        <v>63</v>
      </c>
    </row>
    <row r="8" spans="1:7" ht="14.25" thickTop="1" thickBot="1" x14ac:dyDescent="0.25">
      <c r="A8" s="998" t="s">
        <v>64</v>
      </c>
      <c r="B8" s="998" t="s">
        <v>65</v>
      </c>
      <c r="C8" s="998" t="s">
        <v>410</v>
      </c>
      <c r="D8" s="998" t="s">
        <v>12</v>
      </c>
      <c r="E8" s="998" t="s">
        <v>57</v>
      </c>
      <c r="F8" s="998"/>
      <c r="G8" s="13"/>
    </row>
    <row r="9" spans="1:7" ht="39.75" thickTop="1" thickBot="1" x14ac:dyDescent="0.3">
      <c r="A9" s="998"/>
      <c r="B9" s="998"/>
      <c r="C9" s="998"/>
      <c r="D9" s="998"/>
      <c r="E9" s="888" t="s">
        <v>410</v>
      </c>
      <c r="F9" s="888" t="s">
        <v>454</v>
      </c>
      <c r="G9" s="14"/>
    </row>
    <row r="10" spans="1:7" ht="16.5" thickTop="1" thickBot="1" x14ac:dyDescent="0.3">
      <c r="A10" s="888">
        <v>1</v>
      </c>
      <c r="B10" s="888">
        <v>2</v>
      </c>
      <c r="C10" s="888">
        <v>3</v>
      </c>
      <c r="D10" s="888">
        <v>4</v>
      </c>
      <c r="E10" s="888">
        <v>5</v>
      </c>
      <c r="F10" s="888">
        <v>6</v>
      </c>
      <c r="G10" s="14"/>
    </row>
    <row r="11" spans="1:7" ht="25.5" customHeight="1" thickTop="1" thickBot="1" x14ac:dyDescent="0.25">
      <c r="A11" s="774">
        <v>10000000</v>
      </c>
      <c r="B11" s="774" t="s">
        <v>66</v>
      </c>
      <c r="C11" s="775">
        <f t="shared" ref="C11:C74" si="0">SUM(D11,E11)</f>
        <v>2276535678</v>
      </c>
      <c r="D11" s="775">
        <f>SUM(D12,D25,D31,D50,D20)</f>
        <v>2275904778</v>
      </c>
      <c r="E11" s="775">
        <f>SUM(E12,E25,E31,E50,E20)</f>
        <v>630900</v>
      </c>
      <c r="F11" s="775">
        <f>SUM(F12,F25,F31,F50,F20)</f>
        <v>0</v>
      </c>
      <c r="G11" s="15"/>
    </row>
    <row r="12" spans="1:7" ht="31.5" customHeight="1" thickTop="1" thickBot="1" x14ac:dyDescent="0.25">
      <c r="A12" s="776">
        <v>11000000</v>
      </c>
      <c r="B12" s="776" t="s">
        <v>67</v>
      </c>
      <c r="C12" s="778">
        <f>SUM(D12,E12)</f>
        <v>1534000028</v>
      </c>
      <c r="D12" s="778">
        <f>SUM(D13,D18)</f>
        <v>1534000028</v>
      </c>
      <c r="E12" s="778"/>
      <c r="F12" s="778"/>
      <c r="G12" s="16"/>
    </row>
    <row r="13" spans="1:7" ht="24.75" customHeight="1" thickTop="1" thickBot="1" x14ac:dyDescent="0.25">
      <c r="A13" s="779">
        <v>11010000</v>
      </c>
      <c r="B13" s="780" t="s">
        <v>68</v>
      </c>
      <c r="C13" s="783">
        <f t="shared" si="0"/>
        <v>1533000028</v>
      </c>
      <c r="D13" s="783">
        <f>SUM(D14:D17)</f>
        <v>1533000028</v>
      </c>
      <c r="E13" s="783"/>
      <c r="F13" s="783"/>
      <c r="G13" s="16"/>
    </row>
    <row r="14" spans="1:7" ht="39.75" thickTop="1" thickBot="1" x14ac:dyDescent="0.25">
      <c r="A14" s="781">
        <v>11010100</v>
      </c>
      <c r="B14" s="782" t="s">
        <v>69</v>
      </c>
      <c r="C14" s="778">
        <f t="shared" si="0"/>
        <v>1274804070</v>
      </c>
      <c r="D14" s="784">
        <v>1274804070</v>
      </c>
      <c r="E14" s="784"/>
      <c r="F14" s="784"/>
      <c r="G14" s="16"/>
    </row>
    <row r="15" spans="1:7" ht="65.25" thickTop="1" thickBot="1" x14ac:dyDescent="0.25">
      <c r="A15" s="781">
        <v>11010200</v>
      </c>
      <c r="B15" s="782" t="s">
        <v>70</v>
      </c>
      <c r="C15" s="778">
        <f t="shared" si="0"/>
        <v>202378000</v>
      </c>
      <c r="D15" s="784">
        <v>202378000</v>
      </c>
      <c r="E15" s="784"/>
      <c r="F15" s="784"/>
      <c r="G15" s="16"/>
    </row>
    <row r="16" spans="1:7" ht="39.75" thickTop="1" thickBot="1" x14ac:dyDescent="0.25">
      <c r="A16" s="781">
        <v>11010400</v>
      </c>
      <c r="B16" s="782" t="s">
        <v>71</v>
      </c>
      <c r="C16" s="778">
        <f t="shared" si="0"/>
        <v>33686300</v>
      </c>
      <c r="D16" s="784">
        <v>33686300</v>
      </c>
      <c r="E16" s="784"/>
      <c r="F16" s="784"/>
      <c r="G16" s="16"/>
    </row>
    <row r="17" spans="1:7" ht="39.75" thickTop="1" thickBot="1" x14ac:dyDescent="0.3">
      <c r="A17" s="781">
        <v>11010500</v>
      </c>
      <c r="B17" s="782" t="s">
        <v>72</v>
      </c>
      <c r="C17" s="778">
        <f t="shared" si="0"/>
        <v>22131658</v>
      </c>
      <c r="D17" s="784">
        <v>22131658</v>
      </c>
      <c r="E17" s="784"/>
      <c r="F17" s="784"/>
      <c r="G17" s="14"/>
    </row>
    <row r="18" spans="1:7" ht="28.5" customHeight="1" thickTop="1" thickBot="1" x14ac:dyDescent="0.25">
      <c r="A18" s="779">
        <v>11020000</v>
      </c>
      <c r="B18" s="780" t="s">
        <v>73</v>
      </c>
      <c r="C18" s="783">
        <f>SUM(D18,E18)</f>
        <v>1000000</v>
      </c>
      <c r="D18" s="785">
        <f>D19</f>
        <v>1000000</v>
      </c>
      <c r="E18" s="785"/>
      <c r="F18" s="785"/>
      <c r="G18" s="15"/>
    </row>
    <row r="19" spans="1:7" ht="27" thickTop="1" thickBot="1" x14ac:dyDescent="0.3">
      <c r="A19" s="781">
        <v>11020200</v>
      </c>
      <c r="B19" s="789" t="s">
        <v>74</v>
      </c>
      <c r="C19" s="778">
        <f>SUM(D19,E19)</f>
        <v>1000000</v>
      </c>
      <c r="D19" s="784">
        <v>1000000</v>
      </c>
      <c r="E19" s="786"/>
      <c r="F19" s="784"/>
      <c r="G19" s="14"/>
    </row>
    <row r="20" spans="1:7" ht="27" thickTop="1" thickBot="1" x14ac:dyDescent="0.3">
      <c r="A20" s="776">
        <v>13000000</v>
      </c>
      <c r="B20" s="795" t="s">
        <v>615</v>
      </c>
      <c r="C20" s="778">
        <f>D20+E20</f>
        <v>1053000</v>
      </c>
      <c r="D20" s="778">
        <f>SUM(D21,D23)</f>
        <v>1053000</v>
      </c>
      <c r="E20" s="786"/>
      <c r="F20" s="784"/>
      <c r="G20" s="14"/>
    </row>
    <row r="21" spans="1:7" ht="28.5" thickTop="1" thickBot="1" x14ac:dyDescent="0.3">
      <c r="A21" s="779">
        <v>13010000</v>
      </c>
      <c r="B21" s="791" t="s">
        <v>616</v>
      </c>
      <c r="C21" s="783">
        <f>D21+E21</f>
        <v>1052400</v>
      </c>
      <c r="D21" s="783">
        <f>SUM(D22)</f>
        <v>1052400</v>
      </c>
      <c r="E21" s="785"/>
      <c r="F21" s="783"/>
      <c r="G21" s="14"/>
    </row>
    <row r="22" spans="1:7" ht="65.25" thickTop="1" thickBot="1" x14ac:dyDescent="0.3">
      <c r="A22" s="781">
        <v>13010200</v>
      </c>
      <c r="B22" s="787" t="s">
        <v>617</v>
      </c>
      <c r="C22" s="778">
        <f t="shared" ref="C22:C25" si="1">D22+E22</f>
        <v>1052400</v>
      </c>
      <c r="D22" s="784">
        <v>1052400</v>
      </c>
      <c r="E22" s="786"/>
      <c r="F22" s="784"/>
      <c r="G22" s="14"/>
    </row>
    <row r="23" spans="1:7" ht="16.5" thickTop="1" thickBot="1" x14ac:dyDescent="0.3">
      <c r="A23" s="779">
        <v>13030000</v>
      </c>
      <c r="B23" s="788" t="s">
        <v>618</v>
      </c>
      <c r="C23" s="783">
        <f>D23+E23</f>
        <v>600</v>
      </c>
      <c r="D23" s="783">
        <f>SUM(D24)</f>
        <v>600</v>
      </c>
      <c r="E23" s="785"/>
      <c r="F23" s="783"/>
      <c r="G23" s="14"/>
    </row>
    <row r="24" spans="1:7" ht="39.75" thickTop="1" thickBot="1" x14ac:dyDescent="0.3">
      <c r="A24" s="781">
        <v>13030100</v>
      </c>
      <c r="B24" s="787" t="s">
        <v>619</v>
      </c>
      <c r="C24" s="778">
        <f t="shared" si="1"/>
        <v>600</v>
      </c>
      <c r="D24" s="784">
        <v>600</v>
      </c>
      <c r="E24" s="786"/>
      <c r="F24" s="784"/>
      <c r="G24" s="14"/>
    </row>
    <row r="25" spans="1:7" ht="26.25" customHeight="1" thickTop="1" thickBot="1" x14ac:dyDescent="0.3">
      <c r="A25" s="776">
        <v>14000000</v>
      </c>
      <c r="B25" s="795" t="s">
        <v>622</v>
      </c>
      <c r="C25" s="778">
        <f t="shared" si="1"/>
        <v>162376900</v>
      </c>
      <c r="D25" s="778">
        <f>SUM(D26,D28,D30)</f>
        <v>162376900</v>
      </c>
      <c r="E25" s="793"/>
      <c r="F25" s="784"/>
      <c r="G25" s="14"/>
    </row>
    <row r="26" spans="1:7" ht="30" customHeight="1" thickTop="1" thickBot="1" x14ac:dyDescent="0.3">
      <c r="A26" s="779">
        <v>14020000</v>
      </c>
      <c r="B26" s="791" t="s">
        <v>775</v>
      </c>
      <c r="C26" s="783">
        <f>SUM(D26,E26)</f>
        <v>17500000</v>
      </c>
      <c r="D26" s="783">
        <f>SUM(D27,E27)</f>
        <v>17500000</v>
      </c>
      <c r="E26" s="785"/>
      <c r="F26" s="794"/>
      <c r="G26" s="14"/>
    </row>
    <row r="27" spans="1:7" ht="16.5" thickTop="1" thickBot="1" x14ac:dyDescent="0.3">
      <c r="A27" s="781">
        <v>14021900</v>
      </c>
      <c r="B27" s="789" t="s">
        <v>774</v>
      </c>
      <c r="C27" s="784">
        <f>SUM(D27,E27)</f>
        <v>17500000</v>
      </c>
      <c r="D27" s="784">
        <v>17500000</v>
      </c>
      <c r="E27" s="793"/>
      <c r="F27" s="784"/>
      <c r="G27" s="14"/>
    </row>
    <row r="28" spans="1:7" ht="42" thickTop="1" thickBot="1" x14ac:dyDescent="0.3">
      <c r="A28" s="779">
        <v>14030000</v>
      </c>
      <c r="B28" s="791" t="s">
        <v>776</v>
      </c>
      <c r="C28" s="783">
        <f>SUM(D28,E28)</f>
        <v>65500000</v>
      </c>
      <c r="D28" s="783">
        <f>SUM(D29,E29)</f>
        <v>65500000</v>
      </c>
      <c r="E28" s="785"/>
      <c r="F28" s="794"/>
      <c r="G28" s="14"/>
    </row>
    <row r="29" spans="1:7" ht="16.5" thickTop="1" thickBot="1" x14ac:dyDescent="0.3">
      <c r="A29" s="781">
        <v>14031900</v>
      </c>
      <c r="B29" s="789" t="s">
        <v>774</v>
      </c>
      <c r="C29" s="784">
        <f>SUM(D29,E29)</f>
        <v>65500000</v>
      </c>
      <c r="D29" s="784">
        <v>65500000</v>
      </c>
      <c r="E29" s="793"/>
      <c r="F29" s="784"/>
      <c r="G29" s="14"/>
    </row>
    <row r="30" spans="1:7" ht="42" thickTop="1" thickBot="1" x14ac:dyDescent="0.25">
      <c r="A30" s="779">
        <v>14040000</v>
      </c>
      <c r="B30" s="780" t="s">
        <v>1390</v>
      </c>
      <c r="C30" s="783">
        <f>SUM(D30,E30)</f>
        <v>79376900</v>
      </c>
      <c r="D30" s="783">
        <v>79376900</v>
      </c>
      <c r="E30" s="794"/>
      <c r="F30" s="794"/>
      <c r="G30" s="17"/>
    </row>
    <row r="31" spans="1:7" ht="29.25" customHeight="1" thickTop="1" thickBot="1" x14ac:dyDescent="0.3">
      <c r="A31" s="776">
        <v>18000000</v>
      </c>
      <c r="B31" s="776" t="s">
        <v>75</v>
      </c>
      <c r="C31" s="778">
        <f t="shared" si="0"/>
        <v>578474850</v>
      </c>
      <c r="D31" s="778">
        <f>SUM(D32,D43,D46)</f>
        <v>578474850</v>
      </c>
      <c r="E31" s="778"/>
      <c r="F31" s="778"/>
      <c r="G31" s="14"/>
    </row>
    <row r="32" spans="1:7" ht="16.5" thickTop="1" thickBot="1" x14ac:dyDescent="0.3">
      <c r="A32" s="779">
        <v>18010000</v>
      </c>
      <c r="B32" s="796" t="s">
        <v>76</v>
      </c>
      <c r="C32" s="783">
        <f>SUM(D32,E32)</f>
        <v>208416150</v>
      </c>
      <c r="D32" s="783">
        <f>SUM(D33:D42)</f>
        <v>208416150</v>
      </c>
      <c r="E32" s="783"/>
      <c r="F32" s="783"/>
      <c r="G32" s="14"/>
    </row>
    <row r="33" spans="1:7" ht="52.5" thickTop="1" thickBot="1" x14ac:dyDescent="0.3">
      <c r="A33" s="781">
        <v>18010100</v>
      </c>
      <c r="B33" s="797" t="s">
        <v>77</v>
      </c>
      <c r="C33" s="778">
        <f t="shared" si="0"/>
        <v>253400</v>
      </c>
      <c r="D33" s="784">
        <v>253400</v>
      </c>
      <c r="E33" s="784"/>
      <c r="F33" s="784"/>
      <c r="G33" s="14"/>
    </row>
    <row r="34" spans="1:7" ht="52.5" thickTop="1" thickBot="1" x14ac:dyDescent="0.3">
      <c r="A34" s="781">
        <v>18010200</v>
      </c>
      <c r="B34" s="797" t="s">
        <v>78</v>
      </c>
      <c r="C34" s="778">
        <f t="shared" si="0"/>
        <v>14364650</v>
      </c>
      <c r="D34" s="784">
        <v>14364650</v>
      </c>
      <c r="E34" s="784"/>
      <c r="F34" s="784"/>
      <c r="G34" s="14"/>
    </row>
    <row r="35" spans="1:7" ht="52.5" thickTop="1" thickBot="1" x14ac:dyDescent="0.3">
      <c r="A35" s="781">
        <v>18010300</v>
      </c>
      <c r="B35" s="797" t="s">
        <v>79</v>
      </c>
      <c r="C35" s="778">
        <f t="shared" si="0"/>
        <v>2316000</v>
      </c>
      <c r="D35" s="784">
        <v>2316000</v>
      </c>
      <c r="E35" s="784"/>
      <c r="F35" s="784"/>
      <c r="G35" s="14"/>
    </row>
    <row r="36" spans="1:7" ht="52.5" thickTop="1" thickBot="1" x14ac:dyDescent="0.3">
      <c r="A36" s="781">
        <v>18010400</v>
      </c>
      <c r="B36" s="797" t="s">
        <v>80</v>
      </c>
      <c r="C36" s="778">
        <f t="shared" si="0"/>
        <v>12860800</v>
      </c>
      <c r="D36" s="784">
        <v>12860800</v>
      </c>
      <c r="E36" s="784"/>
      <c r="F36" s="784"/>
      <c r="G36" s="14"/>
    </row>
    <row r="37" spans="1:7" ht="16.5" thickTop="1" thickBot="1" x14ac:dyDescent="0.3">
      <c r="A37" s="781">
        <v>18010500</v>
      </c>
      <c r="B37" s="789" t="s">
        <v>81</v>
      </c>
      <c r="C37" s="778">
        <f t="shared" si="0"/>
        <v>38400000</v>
      </c>
      <c r="D37" s="784">
        <v>38400000</v>
      </c>
      <c r="E37" s="784"/>
      <c r="F37" s="784"/>
      <c r="G37" s="14"/>
    </row>
    <row r="38" spans="1:7" ht="16.5" thickTop="1" thickBot="1" x14ac:dyDescent="0.3">
      <c r="A38" s="781">
        <v>18010600</v>
      </c>
      <c r="B38" s="797" t="s">
        <v>82</v>
      </c>
      <c r="C38" s="778">
        <f t="shared" si="0"/>
        <v>107104000</v>
      </c>
      <c r="D38" s="784">
        <v>107104000</v>
      </c>
      <c r="E38" s="784"/>
      <c r="F38" s="784"/>
      <c r="G38" s="14"/>
    </row>
    <row r="39" spans="1:7" ht="16.5" thickTop="1" thickBot="1" x14ac:dyDescent="0.3">
      <c r="A39" s="781">
        <v>18010700</v>
      </c>
      <c r="B39" s="797" t="s">
        <v>83</v>
      </c>
      <c r="C39" s="778">
        <f t="shared" si="0"/>
        <v>2433200</v>
      </c>
      <c r="D39" s="784">
        <v>2433200</v>
      </c>
      <c r="E39" s="784"/>
      <c r="F39" s="784"/>
      <c r="G39" s="14"/>
    </row>
    <row r="40" spans="1:7" ht="16.5" thickTop="1" thickBot="1" x14ac:dyDescent="0.3">
      <c r="A40" s="781">
        <v>18010900</v>
      </c>
      <c r="B40" s="797" t="s">
        <v>84</v>
      </c>
      <c r="C40" s="778">
        <f t="shared" si="0"/>
        <v>29984100</v>
      </c>
      <c r="D40" s="784">
        <v>29984100</v>
      </c>
      <c r="E40" s="784"/>
      <c r="F40" s="784"/>
      <c r="G40" s="14"/>
    </row>
    <row r="41" spans="1:7" ht="15.75" thickTop="1" thickBot="1" x14ac:dyDescent="0.25">
      <c r="A41" s="781">
        <v>18011000</v>
      </c>
      <c r="B41" s="797" t="s">
        <v>85</v>
      </c>
      <c r="C41" s="778">
        <f t="shared" si="0"/>
        <v>400000</v>
      </c>
      <c r="D41" s="784">
        <v>400000</v>
      </c>
      <c r="E41" s="784"/>
      <c r="F41" s="784"/>
      <c r="G41" s="15"/>
    </row>
    <row r="42" spans="1:7" ht="16.5" thickTop="1" thickBot="1" x14ac:dyDescent="0.3">
      <c r="A42" s="781">
        <v>18011100</v>
      </c>
      <c r="B42" s="797" t="s">
        <v>86</v>
      </c>
      <c r="C42" s="778">
        <f t="shared" si="0"/>
        <v>300000</v>
      </c>
      <c r="D42" s="784">
        <v>300000</v>
      </c>
      <c r="E42" s="784"/>
      <c r="F42" s="784"/>
      <c r="G42" s="14"/>
    </row>
    <row r="43" spans="1:7" ht="16.5" thickTop="1" thickBot="1" x14ac:dyDescent="0.3">
      <c r="A43" s="779">
        <v>18030000</v>
      </c>
      <c r="B43" s="796" t="s">
        <v>87</v>
      </c>
      <c r="C43" s="783">
        <f>SUM(D43,E43)</f>
        <v>620000</v>
      </c>
      <c r="D43" s="783">
        <f>SUM(D44:D45)</f>
        <v>620000</v>
      </c>
      <c r="E43" s="783"/>
      <c r="F43" s="783"/>
      <c r="G43" s="14"/>
    </row>
    <row r="44" spans="1:7" ht="27" thickTop="1" thickBot="1" x14ac:dyDescent="0.3">
      <c r="A44" s="781">
        <v>18030100</v>
      </c>
      <c r="B44" s="797" t="s">
        <v>88</v>
      </c>
      <c r="C44" s="778">
        <f>SUM(D44,E44)</f>
        <v>385000</v>
      </c>
      <c r="D44" s="784">
        <v>385000</v>
      </c>
      <c r="E44" s="784"/>
      <c r="F44" s="784"/>
      <c r="G44" s="14"/>
    </row>
    <row r="45" spans="1:7" ht="27" thickTop="1" thickBot="1" x14ac:dyDescent="0.3">
      <c r="A45" s="781">
        <v>18030200</v>
      </c>
      <c r="B45" s="797" t="s">
        <v>89</v>
      </c>
      <c r="C45" s="778">
        <f>SUM(D45,E45)</f>
        <v>235000</v>
      </c>
      <c r="D45" s="784">
        <v>235000</v>
      </c>
      <c r="E45" s="784"/>
      <c r="F45" s="784"/>
      <c r="G45" s="14"/>
    </row>
    <row r="46" spans="1:7" ht="16.5" thickTop="1" thickBot="1" x14ac:dyDescent="0.3">
      <c r="A46" s="779">
        <v>18050000</v>
      </c>
      <c r="B46" s="796" t="s">
        <v>90</v>
      </c>
      <c r="C46" s="783">
        <f>SUM(D46,E46)</f>
        <v>369438700</v>
      </c>
      <c r="D46" s="783">
        <f>SUM(D47:D49)</f>
        <v>369438700</v>
      </c>
      <c r="E46" s="794"/>
      <c r="F46" s="794"/>
      <c r="G46" s="14"/>
    </row>
    <row r="47" spans="1:7" ht="16.5" thickTop="1" thickBot="1" x14ac:dyDescent="0.3">
      <c r="A47" s="781">
        <v>18050300</v>
      </c>
      <c r="B47" s="782" t="s">
        <v>1391</v>
      </c>
      <c r="C47" s="778">
        <f t="shared" si="0"/>
        <v>65570000</v>
      </c>
      <c r="D47" s="784">
        <v>65570000</v>
      </c>
      <c r="E47" s="784"/>
      <c r="F47" s="784"/>
      <c r="G47" s="14"/>
    </row>
    <row r="48" spans="1:7" ht="15.75" thickTop="1" thickBot="1" x14ac:dyDescent="0.25">
      <c r="A48" s="781">
        <v>18050400</v>
      </c>
      <c r="B48" s="797" t="s">
        <v>91</v>
      </c>
      <c r="C48" s="778">
        <f t="shared" si="0"/>
        <v>299857530</v>
      </c>
      <c r="D48" s="784">
        <v>299857530</v>
      </c>
      <c r="E48" s="784"/>
      <c r="F48" s="784"/>
      <c r="G48" s="15"/>
    </row>
    <row r="49" spans="1:7" ht="65.25" thickTop="1" thickBot="1" x14ac:dyDescent="0.25">
      <c r="A49" s="781">
        <v>18050500</v>
      </c>
      <c r="B49" s="797" t="s">
        <v>630</v>
      </c>
      <c r="C49" s="778">
        <f t="shared" si="0"/>
        <v>4011170</v>
      </c>
      <c r="D49" s="784">
        <v>4011170</v>
      </c>
      <c r="E49" s="784"/>
      <c r="F49" s="784"/>
      <c r="G49" s="152"/>
    </row>
    <row r="50" spans="1:7" ht="31.5" customHeight="1" thickTop="1" thickBot="1" x14ac:dyDescent="0.25">
      <c r="A50" s="776">
        <v>19000000</v>
      </c>
      <c r="B50" s="798" t="s">
        <v>623</v>
      </c>
      <c r="C50" s="778">
        <f t="shared" si="0"/>
        <v>630900</v>
      </c>
      <c r="D50" s="778"/>
      <c r="E50" s="778">
        <f>SUM(E52:E54)</f>
        <v>630900</v>
      </c>
      <c r="F50" s="784"/>
      <c r="G50" s="15"/>
    </row>
    <row r="51" spans="1:7" ht="16.5" thickTop="1" thickBot="1" x14ac:dyDescent="0.3">
      <c r="A51" s="779">
        <v>1901000</v>
      </c>
      <c r="B51" s="780" t="s">
        <v>92</v>
      </c>
      <c r="C51" s="783">
        <f t="shared" si="0"/>
        <v>630900</v>
      </c>
      <c r="D51" s="783">
        <f>SUM(D52:D54)</f>
        <v>0</v>
      </c>
      <c r="E51" s="783">
        <f>SUM(E52:E54)</f>
        <v>630900</v>
      </c>
      <c r="F51" s="783"/>
      <c r="G51" s="14"/>
    </row>
    <row r="52" spans="1:7" ht="52.5" thickTop="1" thickBot="1" x14ac:dyDescent="0.3">
      <c r="A52" s="781">
        <v>19010100</v>
      </c>
      <c r="B52" s="782" t="s">
        <v>624</v>
      </c>
      <c r="C52" s="778">
        <f t="shared" si="0"/>
        <v>255750</v>
      </c>
      <c r="D52" s="784"/>
      <c r="E52" s="784">
        <v>255750</v>
      </c>
      <c r="F52" s="784"/>
      <c r="G52" s="14"/>
    </row>
    <row r="53" spans="1:7" ht="27" thickTop="1" thickBot="1" x14ac:dyDescent="0.25">
      <c r="A53" s="781">
        <v>19010200</v>
      </c>
      <c r="B53" s="782" t="s">
        <v>93</v>
      </c>
      <c r="C53" s="778">
        <f t="shared" si="0"/>
        <v>120000</v>
      </c>
      <c r="D53" s="784"/>
      <c r="E53" s="784">
        <v>120000</v>
      </c>
      <c r="F53" s="784"/>
      <c r="G53" s="17"/>
    </row>
    <row r="54" spans="1:7" ht="52.5" thickTop="1" thickBot="1" x14ac:dyDescent="0.3">
      <c r="A54" s="781">
        <v>19010300</v>
      </c>
      <c r="B54" s="782" t="s">
        <v>94</v>
      </c>
      <c r="C54" s="778">
        <f t="shared" si="0"/>
        <v>255150</v>
      </c>
      <c r="D54" s="784"/>
      <c r="E54" s="784">
        <v>255150</v>
      </c>
      <c r="F54" s="784"/>
      <c r="G54" s="14"/>
    </row>
    <row r="55" spans="1:7" ht="30" customHeight="1" thickTop="1" thickBot="1" x14ac:dyDescent="0.3">
      <c r="A55" s="774">
        <v>20000000</v>
      </c>
      <c r="B55" s="774" t="s">
        <v>95</v>
      </c>
      <c r="C55" s="775">
        <f t="shared" si="0"/>
        <v>211503035</v>
      </c>
      <c r="D55" s="775">
        <f>SUM(D56,D64,D74,D79)</f>
        <v>49227964</v>
      </c>
      <c r="E55" s="775">
        <f>SUM(E56,E64,E74,E79)</f>
        <v>162275071</v>
      </c>
      <c r="F55" s="775">
        <f>SUM(F56,F64,F74,F79)</f>
        <v>5000012</v>
      </c>
      <c r="G55" s="14"/>
    </row>
    <row r="56" spans="1:7" ht="27" thickTop="1" thickBot="1" x14ac:dyDescent="0.3">
      <c r="A56" s="776">
        <v>21000000</v>
      </c>
      <c r="B56" s="776" t="s">
        <v>625</v>
      </c>
      <c r="C56" s="778">
        <f t="shared" si="0"/>
        <v>13876004</v>
      </c>
      <c r="D56" s="778">
        <f>SUM(D57,D60,D59)</f>
        <v>13876004</v>
      </c>
      <c r="E56" s="778"/>
      <c r="F56" s="778"/>
      <c r="G56" s="14"/>
    </row>
    <row r="57" spans="1:7" ht="55.5" thickTop="1" thickBot="1" x14ac:dyDescent="0.3">
      <c r="A57" s="779">
        <v>21010000</v>
      </c>
      <c r="B57" s="791" t="s">
        <v>626</v>
      </c>
      <c r="C57" s="783">
        <f t="shared" si="0"/>
        <v>568800</v>
      </c>
      <c r="D57" s="783">
        <f>D58</f>
        <v>568800</v>
      </c>
      <c r="E57" s="783"/>
      <c r="F57" s="783"/>
      <c r="G57" s="14"/>
    </row>
    <row r="58" spans="1:7" ht="52.5" thickTop="1" thickBot="1" x14ac:dyDescent="0.3">
      <c r="A58" s="781">
        <v>21010300</v>
      </c>
      <c r="B58" s="789" t="s">
        <v>96</v>
      </c>
      <c r="C58" s="778">
        <f t="shared" si="0"/>
        <v>568800</v>
      </c>
      <c r="D58" s="784">
        <v>568800</v>
      </c>
      <c r="E58" s="784"/>
      <c r="F58" s="784"/>
      <c r="G58" s="14"/>
    </row>
    <row r="59" spans="1:7" ht="28.5" thickTop="1" thickBot="1" x14ac:dyDescent="0.3">
      <c r="A59" s="779">
        <v>21050000</v>
      </c>
      <c r="B59" s="791" t="s">
        <v>97</v>
      </c>
      <c r="C59" s="783">
        <f t="shared" si="0"/>
        <v>2500000</v>
      </c>
      <c r="D59" s="783">
        <v>2500000</v>
      </c>
      <c r="E59" s="783"/>
      <c r="F59" s="783"/>
      <c r="G59" s="14"/>
    </row>
    <row r="60" spans="1:7" ht="15" thickTop="1" thickBot="1" x14ac:dyDescent="0.25">
      <c r="A60" s="779">
        <v>21080000</v>
      </c>
      <c r="B60" s="791" t="s">
        <v>1392</v>
      </c>
      <c r="C60" s="783">
        <f t="shared" si="0"/>
        <v>10807204</v>
      </c>
      <c r="D60" s="785">
        <f>SUM(D61:D63)</f>
        <v>10807204</v>
      </c>
      <c r="E60" s="783"/>
      <c r="F60" s="783"/>
      <c r="G60" s="17"/>
    </row>
    <row r="61" spans="1:7" ht="16.5" thickTop="1" thickBot="1" x14ac:dyDescent="0.3">
      <c r="A61" s="781">
        <v>21081100</v>
      </c>
      <c r="B61" s="799" t="s">
        <v>98</v>
      </c>
      <c r="C61" s="778">
        <f t="shared" si="0"/>
        <v>507204</v>
      </c>
      <c r="D61" s="786">
        <v>507204</v>
      </c>
      <c r="E61" s="784"/>
      <c r="F61" s="784"/>
      <c r="G61" s="14"/>
    </row>
    <row r="62" spans="1:7" ht="52.5" thickTop="1" thickBot="1" x14ac:dyDescent="0.3">
      <c r="A62" s="781">
        <v>21081500</v>
      </c>
      <c r="B62" s="782" t="s">
        <v>99</v>
      </c>
      <c r="C62" s="778">
        <f t="shared" si="0"/>
        <v>800000</v>
      </c>
      <c r="D62" s="786">
        <v>800000</v>
      </c>
      <c r="E62" s="784"/>
      <c r="F62" s="784"/>
      <c r="G62" s="14"/>
    </row>
    <row r="63" spans="1:7" ht="16.5" thickTop="1" thickBot="1" x14ac:dyDescent="0.3">
      <c r="A63" s="781">
        <v>21081700</v>
      </c>
      <c r="B63" s="782" t="s">
        <v>401</v>
      </c>
      <c r="C63" s="778">
        <f t="shared" si="0"/>
        <v>9500000</v>
      </c>
      <c r="D63" s="786">
        <v>9500000</v>
      </c>
      <c r="E63" s="784"/>
      <c r="F63" s="784"/>
      <c r="G63" s="49"/>
    </row>
    <row r="64" spans="1:7" ht="27" thickTop="1" thickBot="1" x14ac:dyDescent="0.3">
      <c r="A64" s="776">
        <v>22000000</v>
      </c>
      <c r="B64" s="776" t="s">
        <v>100</v>
      </c>
      <c r="C64" s="778">
        <f t="shared" si="0"/>
        <v>28391960</v>
      </c>
      <c r="D64" s="778">
        <f>SUM(D65,D69,D71)</f>
        <v>28391960</v>
      </c>
      <c r="E64" s="784"/>
      <c r="F64" s="784"/>
      <c r="G64" s="14"/>
    </row>
    <row r="65" spans="1:7" ht="24.75" customHeight="1" thickTop="1" thickBot="1" x14ac:dyDescent="0.3">
      <c r="A65" s="779">
        <v>22010000</v>
      </c>
      <c r="B65" s="780" t="s">
        <v>627</v>
      </c>
      <c r="C65" s="783">
        <f t="shared" si="0"/>
        <v>19380100</v>
      </c>
      <c r="D65" s="783">
        <f>SUM(D66:D68)</f>
        <v>19380100</v>
      </c>
      <c r="E65" s="783"/>
      <c r="F65" s="783"/>
      <c r="G65" s="14"/>
    </row>
    <row r="66" spans="1:7" ht="39.75" thickTop="1" thickBot="1" x14ac:dyDescent="0.3">
      <c r="A66" s="781">
        <v>22010300</v>
      </c>
      <c r="B66" s="782" t="s">
        <v>161</v>
      </c>
      <c r="C66" s="778">
        <f t="shared" si="0"/>
        <v>1000000</v>
      </c>
      <c r="D66" s="784">
        <v>1000000</v>
      </c>
      <c r="E66" s="784"/>
      <c r="F66" s="784"/>
      <c r="G66" s="14"/>
    </row>
    <row r="67" spans="1:7" ht="16.5" thickTop="1" thickBot="1" x14ac:dyDescent="0.3">
      <c r="A67" s="781">
        <v>22012500</v>
      </c>
      <c r="B67" s="782" t="s">
        <v>102</v>
      </c>
      <c r="C67" s="778">
        <f t="shared" si="0"/>
        <v>16852400</v>
      </c>
      <c r="D67" s="784">
        <v>16852400</v>
      </c>
      <c r="E67" s="784"/>
      <c r="F67" s="784"/>
      <c r="G67" s="14"/>
    </row>
    <row r="68" spans="1:7" ht="27" thickTop="1" thickBot="1" x14ac:dyDescent="0.3">
      <c r="A68" s="781">
        <v>22012600</v>
      </c>
      <c r="B68" s="782" t="s">
        <v>101</v>
      </c>
      <c r="C68" s="778">
        <f>SUM(D68,E68)</f>
        <v>1527700</v>
      </c>
      <c r="D68" s="784">
        <v>1527700</v>
      </c>
      <c r="E68" s="784"/>
      <c r="F68" s="784"/>
      <c r="G68" s="14"/>
    </row>
    <row r="69" spans="1:7" ht="42" thickTop="1" thickBot="1" x14ac:dyDescent="0.3">
      <c r="A69" s="779">
        <v>2208000</v>
      </c>
      <c r="B69" s="780" t="s">
        <v>628</v>
      </c>
      <c r="C69" s="783">
        <f t="shared" si="0"/>
        <v>8500000</v>
      </c>
      <c r="D69" s="783">
        <v>8500000</v>
      </c>
      <c r="E69" s="783"/>
      <c r="F69" s="783"/>
      <c r="G69" s="14"/>
    </row>
    <row r="70" spans="1:7" ht="52.5" thickTop="1" thickBot="1" x14ac:dyDescent="0.3">
      <c r="A70" s="781">
        <v>22080400</v>
      </c>
      <c r="B70" s="799" t="s">
        <v>103</v>
      </c>
      <c r="C70" s="778">
        <f t="shared" si="0"/>
        <v>8500000</v>
      </c>
      <c r="D70" s="784">
        <v>8500000</v>
      </c>
      <c r="E70" s="784"/>
      <c r="F70" s="784"/>
      <c r="G70" s="14"/>
    </row>
    <row r="71" spans="1:7" ht="16.5" thickTop="1" thickBot="1" x14ac:dyDescent="0.3">
      <c r="A71" s="779">
        <v>22090000</v>
      </c>
      <c r="B71" s="802" t="s">
        <v>104</v>
      </c>
      <c r="C71" s="783">
        <f t="shared" si="0"/>
        <v>511860</v>
      </c>
      <c r="D71" s="783">
        <f>SUM(D72:D73)</f>
        <v>511860</v>
      </c>
      <c r="E71" s="783"/>
      <c r="F71" s="783"/>
      <c r="G71" s="14"/>
    </row>
    <row r="72" spans="1:7" ht="52.5" thickTop="1" thickBot="1" x14ac:dyDescent="0.3">
      <c r="A72" s="781">
        <v>22090100</v>
      </c>
      <c r="B72" s="797" t="s">
        <v>105</v>
      </c>
      <c r="C72" s="778">
        <f t="shared" si="0"/>
        <v>400260</v>
      </c>
      <c r="D72" s="784">
        <v>400260</v>
      </c>
      <c r="E72" s="784"/>
      <c r="F72" s="784"/>
      <c r="G72" s="14"/>
    </row>
    <row r="73" spans="1:7" ht="39.75" thickTop="1" thickBot="1" x14ac:dyDescent="0.25">
      <c r="A73" s="781">
        <v>22090400</v>
      </c>
      <c r="B73" s="797" t="s">
        <v>106</v>
      </c>
      <c r="C73" s="778">
        <f t="shared" si="0"/>
        <v>111600</v>
      </c>
      <c r="D73" s="784">
        <v>111600</v>
      </c>
      <c r="E73" s="784"/>
      <c r="F73" s="784"/>
      <c r="G73" s="16"/>
    </row>
    <row r="74" spans="1:7" ht="27" customHeight="1" thickTop="1" thickBot="1" x14ac:dyDescent="0.3">
      <c r="A74" s="776">
        <v>24000000</v>
      </c>
      <c r="B74" s="803" t="s">
        <v>107</v>
      </c>
      <c r="C74" s="778">
        <f t="shared" si="0"/>
        <v>11960012</v>
      </c>
      <c r="D74" s="793">
        <f>D75+D76+D78+D77</f>
        <v>6960000</v>
      </c>
      <c r="E74" s="793">
        <f>E75+E76+E78+E77</f>
        <v>5000012</v>
      </c>
      <c r="F74" s="793">
        <f>F75+F76+F78+F77</f>
        <v>5000012</v>
      </c>
      <c r="G74" s="14"/>
    </row>
    <row r="75" spans="1:7" ht="16.5" thickTop="1" thickBot="1" x14ac:dyDescent="0.3">
      <c r="A75" s="781">
        <v>24060300</v>
      </c>
      <c r="B75" s="782" t="s">
        <v>108</v>
      </c>
      <c r="C75" s="778">
        <f t="shared" ref="C75:C92" si="2">SUM(D75,E75)</f>
        <v>4500000</v>
      </c>
      <c r="D75" s="786">
        <v>4500000</v>
      </c>
      <c r="E75" s="786"/>
      <c r="F75" s="786"/>
      <c r="G75" s="14"/>
    </row>
    <row r="76" spans="1:7" ht="65.25" thickTop="1" thickBot="1" x14ac:dyDescent="0.3">
      <c r="A76" s="781">
        <v>24062200</v>
      </c>
      <c r="B76" s="782" t="s">
        <v>402</v>
      </c>
      <c r="C76" s="778">
        <f t="shared" si="2"/>
        <v>2460000</v>
      </c>
      <c r="D76" s="786">
        <v>2460000</v>
      </c>
      <c r="E76" s="786"/>
      <c r="F76" s="786"/>
      <c r="G76" s="14"/>
    </row>
    <row r="77" spans="1:7" ht="39.75" thickTop="1" thickBot="1" x14ac:dyDescent="0.3">
      <c r="A77" s="781">
        <v>24110700</v>
      </c>
      <c r="B77" s="804" t="s">
        <v>723</v>
      </c>
      <c r="C77" s="778">
        <f t="shared" si="2"/>
        <v>12</v>
      </c>
      <c r="D77" s="786"/>
      <c r="E77" s="786">
        <v>12</v>
      </c>
      <c r="F77" s="786">
        <v>12</v>
      </c>
      <c r="G77" s="14"/>
    </row>
    <row r="78" spans="1:7" ht="27" thickTop="1" thickBot="1" x14ac:dyDescent="0.25">
      <c r="A78" s="781">
        <v>24170000</v>
      </c>
      <c r="B78" s="789" t="s">
        <v>109</v>
      </c>
      <c r="C78" s="778">
        <f t="shared" si="2"/>
        <v>5000000</v>
      </c>
      <c r="D78" s="786"/>
      <c r="E78" s="786">
        <v>5000000</v>
      </c>
      <c r="F78" s="786">
        <v>5000000</v>
      </c>
      <c r="G78" s="15"/>
    </row>
    <row r="79" spans="1:7" ht="16.5" thickTop="1" thickBot="1" x14ac:dyDescent="0.3">
      <c r="A79" s="776">
        <v>25000000</v>
      </c>
      <c r="B79" s="777" t="s">
        <v>110</v>
      </c>
      <c r="C79" s="778">
        <f t="shared" si="2"/>
        <v>157275059</v>
      </c>
      <c r="D79" s="793">
        <f>SUM(D80:D84,)</f>
        <v>0</v>
      </c>
      <c r="E79" s="793">
        <f>SUM(E80)</f>
        <v>157275059</v>
      </c>
      <c r="F79" s="793"/>
      <c r="G79" s="14"/>
    </row>
    <row r="80" spans="1:7" ht="42" thickTop="1" thickBot="1" x14ac:dyDescent="0.3">
      <c r="A80" s="779">
        <v>25010000</v>
      </c>
      <c r="B80" s="791" t="s">
        <v>111</v>
      </c>
      <c r="C80" s="783">
        <f t="shared" si="2"/>
        <v>157275059</v>
      </c>
      <c r="D80" s="785">
        <v>0</v>
      </c>
      <c r="E80" s="785">
        <f>SUM(E81:E84)</f>
        <v>157275059</v>
      </c>
      <c r="F80" s="785"/>
      <c r="G80" s="14"/>
    </row>
    <row r="81" spans="1:7" ht="27" thickTop="1" thickBot="1" x14ac:dyDescent="0.3">
      <c r="A81" s="781">
        <v>25010100</v>
      </c>
      <c r="B81" s="789" t="s">
        <v>112</v>
      </c>
      <c r="C81" s="778">
        <f t="shared" si="2"/>
        <v>144438629</v>
      </c>
      <c r="D81" s="786"/>
      <c r="E81" s="786">
        <v>144438629</v>
      </c>
      <c r="F81" s="786"/>
      <c r="G81" s="14"/>
    </row>
    <row r="82" spans="1:7" ht="27" thickTop="1" thickBot="1" x14ac:dyDescent="0.3">
      <c r="A82" s="781">
        <v>25010200</v>
      </c>
      <c r="B82" s="789" t="s">
        <v>113</v>
      </c>
      <c r="C82" s="778">
        <f t="shared" si="2"/>
        <v>10585664</v>
      </c>
      <c r="D82" s="786"/>
      <c r="E82" s="786">
        <v>10585664</v>
      </c>
      <c r="F82" s="786"/>
      <c r="G82" s="14"/>
    </row>
    <row r="83" spans="1:7" ht="16.5" thickTop="1" thickBot="1" x14ac:dyDescent="0.3">
      <c r="A83" s="781">
        <v>25010300</v>
      </c>
      <c r="B83" s="789" t="s">
        <v>114</v>
      </c>
      <c r="C83" s="778">
        <f t="shared" si="2"/>
        <v>2197266</v>
      </c>
      <c r="D83" s="786"/>
      <c r="E83" s="786">
        <v>2197266</v>
      </c>
      <c r="F83" s="786"/>
      <c r="G83" s="14"/>
    </row>
    <row r="84" spans="1:7" ht="39.75" thickTop="1" thickBot="1" x14ac:dyDescent="0.3">
      <c r="A84" s="781">
        <v>25010400</v>
      </c>
      <c r="B84" s="789" t="s">
        <v>115</v>
      </c>
      <c r="C84" s="778">
        <f t="shared" si="2"/>
        <v>53500</v>
      </c>
      <c r="D84" s="786"/>
      <c r="E84" s="786">
        <v>53500</v>
      </c>
      <c r="F84" s="786"/>
      <c r="G84" s="14"/>
    </row>
    <row r="85" spans="1:7" ht="29.25" customHeight="1" thickTop="1" thickBot="1" x14ac:dyDescent="0.25">
      <c r="A85" s="774">
        <v>30000000</v>
      </c>
      <c r="B85" s="774" t="s">
        <v>116</v>
      </c>
      <c r="C85" s="775">
        <f t="shared" si="2"/>
        <v>16447343</v>
      </c>
      <c r="D85" s="775">
        <f>SUM(D86)+D90</f>
        <v>25000</v>
      </c>
      <c r="E85" s="775">
        <f>SUM(E86)+E90</f>
        <v>16422343</v>
      </c>
      <c r="F85" s="775">
        <f>SUM(F89:F90)</f>
        <v>16422343</v>
      </c>
      <c r="G85" s="16"/>
    </row>
    <row r="86" spans="1:7" ht="27" customHeight="1" thickTop="1" thickBot="1" x14ac:dyDescent="0.3">
      <c r="A86" s="776">
        <v>31000000</v>
      </c>
      <c r="B86" s="776" t="s">
        <v>117</v>
      </c>
      <c r="C86" s="778">
        <f>SUM(D86,E86)</f>
        <v>3710000</v>
      </c>
      <c r="D86" s="778">
        <f>D87+D89</f>
        <v>25000</v>
      </c>
      <c r="E86" s="778">
        <f>E87+E89</f>
        <v>3685000</v>
      </c>
      <c r="F86" s="778">
        <f>F87+F89</f>
        <v>3685000</v>
      </c>
      <c r="G86" s="14"/>
    </row>
    <row r="87" spans="1:7" ht="82.5" thickTop="1" thickBot="1" x14ac:dyDescent="0.3">
      <c r="A87" s="779">
        <v>3101000</v>
      </c>
      <c r="B87" s="780" t="s">
        <v>629</v>
      </c>
      <c r="C87" s="783">
        <f>SUM(D87,E87)</f>
        <v>25000</v>
      </c>
      <c r="D87" s="785">
        <f>D88</f>
        <v>25000</v>
      </c>
      <c r="E87" s="783"/>
      <c r="F87" s="783"/>
      <c r="G87" s="14"/>
    </row>
    <row r="88" spans="1:7" ht="78" thickTop="1" thickBot="1" x14ac:dyDescent="0.3">
      <c r="A88" s="781">
        <v>31010200</v>
      </c>
      <c r="B88" s="789" t="s">
        <v>118</v>
      </c>
      <c r="C88" s="778">
        <f>SUM(D88,E88)</f>
        <v>25000</v>
      </c>
      <c r="D88" s="786">
        <v>25000</v>
      </c>
      <c r="E88" s="786"/>
      <c r="F88" s="786"/>
      <c r="G88" s="14"/>
    </row>
    <row r="89" spans="1:7" ht="55.5" thickTop="1" thickBot="1" x14ac:dyDescent="0.3">
      <c r="A89" s="779">
        <v>31030000</v>
      </c>
      <c r="B89" s="791" t="s">
        <v>119</v>
      </c>
      <c r="C89" s="785">
        <f t="shared" si="2"/>
        <v>3685000</v>
      </c>
      <c r="D89" s="785"/>
      <c r="E89" s="785">
        <v>3685000</v>
      </c>
      <c r="F89" s="785">
        <v>3685000</v>
      </c>
      <c r="G89" s="14"/>
    </row>
    <row r="90" spans="1:7" ht="27" thickTop="1" thickBot="1" x14ac:dyDescent="0.3">
      <c r="A90" s="776">
        <v>33000000</v>
      </c>
      <c r="B90" s="776" t="s">
        <v>120</v>
      </c>
      <c r="C90" s="778">
        <f t="shared" si="2"/>
        <v>12737343</v>
      </c>
      <c r="D90" s="783"/>
      <c r="E90" s="783">
        <f>SUM(E91)</f>
        <v>12737343</v>
      </c>
      <c r="F90" s="783">
        <f>SUM(F91)</f>
        <v>12737343</v>
      </c>
      <c r="G90" s="14"/>
    </row>
    <row r="91" spans="1:7" ht="16.5" thickTop="1" thickBot="1" x14ac:dyDescent="0.3">
      <c r="A91" s="779">
        <v>33010000</v>
      </c>
      <c r="B91" s="780" t="s">
        <v>121</v>
      </c>
      <c r="C91" s="783">
        <f>SUM(D91,E91)</f>
        <v>12737343</v>
      </c>
      <c r="D91" s="783"/>
      <c r="E91" s="783">
        <f>SUM(E92,E93)</f>
        <v>12737343</v>
      </c>
      <c r="F91" s="783">
        <f>SUM(F92,F93)</f>
        <v>12737343</v>
      </c>
      <c r="G91" s="14"/>
    </row>
    <row r="92" spans="1:7" ht="52.5" thickTop="1" thickBot="1" x14ac:dyDescent="0.3">
      <c r="A92" s="781">
        <v>33010100</v>
      </c>
      <c r="B92" s="789" t="s">
        <v>368</v>
      </c>
      <c r="C92" s="793">
        <f t="shared" si="2"/>
        <v>11477846</v>
      </c>
      <c r="D92" s="786"/>
      <c r="E92" s="786">
        <v>11477846</v>
      </c>
      <c r="F92" s="786">
        <v>11477846</v>
      </c>
      <c r="G92" s="14"/>
    </row>
    <row r="93" spans="1:7" ht="52.5" thickTop="1" thickBot="1" x14ac:dyDescent="0.3">
      <c r="A93" s="781">
        <v>33010200</v>
      </c>
      <c r="B93" s="789" t="s">
        <v>122</v>
      </c>
      <c r="C93" s="793">
        <f>SUM(D93,E93)</f>
        <v>1259497</v>
      </c>
      <c r="D93" s="786"/>
      <c r="E93" s="786">
        <v>1259497</v>
      </c>
      <c r="F93" s="786">
        <v>1259497</v>
      </c>
      <c r="G93" s="14"/>
    </row>
    <row r="94" spans="1:7" ht="27" customHeight="1" thickTop="1" thickBot="1" x14ac:dyDescent="0.3">
      <c r="A94" s="774">
        <v>50000000</v>
      </c>
      <c r="B94" s="774" t="s">
        <v>532</v>
      </c>
      <c r="C94" s="775">
        <f>SUM(D94,E94)</f>
        <v>6501200</v>
      </c>
      <c r="D94" s="775"/>
      <c r="E94" s="775">
        <f>SUM(E95)</f>
        <v>6501200</v>
      </c>
      <c r="F94" s="775"/>
      <c r="G94" s="14"/>
    </row>
    <row r="95" spans="1:7" ht="52.5" thickTop="1" thickBot="1" x14ac:dyDescent="0.3">
      <c r="A95" s="776">
        <v>50110000</v>
      </c>
      <c r="B95" s="790" t="s">
        <v>123</v>
      </c>
      <c r="C95" s="778">
        <f t="shared" ref="C95:C126" si="3">SUM(D95,E95)</f>
        <v>6501200</v>
      </c>
      <c r="D95" s="784"/>
      <c r="E95" s="778">
        <v>6501200</v>
      </c>
      <c r="F95" s="784"/>
      <c r="G95" s="14"/>
    </row>
    <row r="96" spans="1:7" ht="45.75" customHeight="1" thickTop="1" thickBot="1" x14ac:dyDescent="0.25">
      <c r="A96" s="805"/>
      <c r="B96" s="808" t="s">
        <v>533</v>
      </c>
      <c r="C96" s="806">
        <f t="shared" si="3"/>
        <v>2510987256</v>
      </c>
      <c r="D96" s="807">
        <f>D94+D85+D55+D11</f>
        <v>2325157742</v>
      </c>
      <c r="E96" s="807">
        <f>E94+E85+E55+E11</f>
        <v>185829514</v>
      </c>
      <c r="F96" s="807">
        <f>F94+F85+F55+F11</f>
        <v>21422355</v>
      </c>
      <c r="G96" s="15"/>
    </row>
    <row r="97" spans="1:7" ht="34.5" customHeight="1" thickTop="1" thickBot="1" x14ac:dyDescent="0.25">
      <c r="A97" s="774">
        <v>40000000</v>
      </c>
      <c r="B97" s="774" t="s">
        <v>455</v>
      </c>
      <c r="C97" s="775">
        <f t="shared" si="3"/>
        <v>817544964.30999994</v>
      </c>
      <c r="D97" s="775">
        <f>SUM(D100,D98)</f>
        <v>794674964.30999994</v>
      </c>
      <c r="E97" s="775">
        <f>SUM(E100,E98)</f>
        <v>22870000</v>
      </c>
      <c r="F97" s="775">
        <f>SUM(F100,F98)</f>
        <v>21170000</v>
      </c>
      <c r="G97" s="15"/>
    </row>
    <row r="98" spans="1:7" ht="27" thickTop="1" thickBot="1" x14ac:dyDescent="0.25">
      <c r="A98" s="776">
        <v>41040000</v>
      </c>
      <c r="B98" s="795" t="s">
        <v>370</v>
      </c>
      <c r="C98" s="778">
        <f t="shared" si="3"/>
        <v>12117934</v>
      </c>
      <c r="D98" s="793">
        <f>D99</f>
        <v>12117934</v>
      </c>
      <c r="E98" s="793"/>
      <c r="F98" s="793"/>
      <c r="G98" s="15"/>
    </row>
    <row r="99" spans="1:7" ht="65.25" thickTop="1" thickBot="1" x14ac:dyDescent="0.25">
      <c r="A99" s="781">
        <v>41040200</v>
      </c>
      <c r="B99" s="789" t="s">
        <v>369</v>
      </c>
      <c r="C99" s="778">
        <f t="shared" si="3"/>
        <v>12117934</v>
      </c>
      <c r="D99" s="786">
        <v>12117934</v>
      </c>
      <c r="E99" s="793"/>
      <c r="F99" s="793"/>
      <c r="G99" s="15"/>
    </row>
    <row r="100" spans="1:7" ht="23.25" customHeight="1" thickTop="1" thickBot="1" x14ac:dyDescent="0.25">
      <c r="A100" s="776">
        <v>41000000</v>
      </c>
      <c r="B100" s="776" t="s">
        <v>124</v>
      </c>
      <c r="C100" s="778">
        <f t="shared" si="3"/>
        <v>805427030.30999994</v>
      </c>
      <c r="D100" s="793">
        <f>SUM(D101,D109)</f>
        <v>782557030.30999994</v>
      </c>
      <c r="E100" s="793">
        <f>SUM(E101,E109)</f>
        <v>22870000</v>
      </c>
      <c r="F100" s="793">
        <f>SUM(F101,F109)</f>
        <v>21170000</v>
      </c>
      <c r="G100" s="15"/>
    </row>
    <row r="101" spans="1:7" ht="27" thickTop="1" thickBot="1" x14ac:dyDescent="0.3">
      <c r="A101" s="776">
        <v>41030000</v>
      </c>
      <c r="B101" s="777" t="s">
        <v>470</v>
      </c>
      <c r="C101" s="778">
        <f t="shared" si="3"/>
        <v>726443995</v>
      </c>
      <c r="D101" s="793">
        <f>SUM(D102:D108)</f>
        <v>725273995</v>
      </c>
      <c r="E101" s="793">
        <f>SUM(E102:E108)</f>
        <v>1170000</v>
      </c>
      <c r="F101" s="793">
        <f>SUM(F102:F108)</f>
        <v>1170000</v>
      </c>
      <c r="G101" s="14"/>
    </row>
    <row r="102" spans="1:7" ht="52.5" thickTop="1" thickBot="1" x14ac:dyDescent="0.3">
      <c r="A102" s="781">
        <v>41032300</v>
      </c>
      <c r="B102" s="782" t="s">
        <v>1294</v>
      </c>
      <c r="C102" s="778">
        <f t="shared" si="3"/>
        <v>25000000</v>
      </c>
      <c r="D102" s="786">
        <v>25000000</v>
      </c>
      <c r="E102" s="793"/>
      <c r="F102" s="786"/>
      <c r="G102" s="14"/>
    </row>
    <row r="103" spans="1:7" ht="52.5" thickTop="1" thickBot="1" x14ac:dyDescent="0.3">
      <c r="A103" s="830">
        <v>41033800</v>
      </c>
      <c r="B103" s="831" t="s">
        <v>1394</v>
      </c>
      <c r="C103" s="832">
        <f t="shared" si="3"/>
        <v>2520000</v>
      </c>
      <c r="D103" s="833">
        <v>2520000</v>
      </c>
      <c r="E103" s="834"/>
      <c r="F103" s="833"/>
      <c r="G103" s="14"/>
    </row>
    <row r="104" spans="1:7" ht="27" thickTop="1" thickBot="1" x14ac:dyDescent="0.3">
      <c r="A104" s="781">
        <v>41033900</v>
      </c>
      <c r="B104" s="782" t="s">
        <v>125</v>
      </c>
      <c r="C104" s="778">
        <f t="shared" si="3"/>
        <v>623112400</v>
      </c>
      <c r="D104" s="784">
        <v>623112400</v>
      </c>
      <c r="E104" s="786"/>
      <c r="F104" s="786"/>
      <c r="G104" s="14"/>
    </row>
    <row r="105" spans="1:7" ht="39.75" thickTop="1" thickBot="1" x14ac:dyDescent="0.3">
      <c r="A105" s="830">
        <v>41034500</v>
      </c>
      <c r="B105" s="831" t="s">
        <v>1395</v>
      </c>
      <c r="C105" s="832">
        <f t="shared" si="3"/>
        <v>2990000</v>
      </c>
      <c r="D105" s="833">
        <v>1820000</v>
      </c>
      <c r="E105" s="833">
        <v>1170000</v>
      </c>
      <c r="F105" s="833">
        <v>1170000</v>
      </c>
      <c r="G105" s="14"/>
    </row>
    <row r="106" spans="1:7" ht="52.5" thickTop="1" thickBot="1" x14ac:dyDescent="0.3">
      <c r="A106" s="781">
        <v>41035500</v>
      </c>
      <c r="B106" s="782" t="s">
        <v>1296</v>
      </c>
      <c r="C106" s="778">
        <f t="shared" si="3"/>
        <v>250000</v>
      </c>
      <c r="D106" s="784">
        <v>250000</v>
      </c>
      <c r="E106" s="786"/>
      <c r="F106" s="786"/>
      <c r="G106" s="14"/>
    </row>
    <row r="107" spans="1:7" ht="65.25" thickTop="1" thickBot="1" x14ac:dyDescent="0.3">
      <c r="A107" s="781">
        <v>41035600</v>
      </c>
      <c r="B107" s="782" t="s">
        <v>1338</v>
      </c>
      <c r="C107" s="778">
        <f t="shared" si="3"/>
        <v>2571595</v>
      </c>
      <c r="D107" s="784">
        <v>2571595</v>
      </c>
      <c r="E107" s="786"/>
      <c r="F107" s="786"/>
      <c r="G107" s="14"/>
    </row>
    <row r="108" spans="1:7" ht="42.75" customHeight="1" thickTop="1" thickBot="1" x14ac:dyDescent="0.3">
      <c r="A108" s="781">
        <v>41035700</v>
      </c>
      <c r="B108" s="782" t="s">
        <v>1281</v>
      </c>
      <c r="C108" s="778">
        <f t="shared" si="3"/>
        <v>70000000</v>
      </c>
      <c r="D108" s="784">
        <v>70000000</v>
      </c>
      <c r="E108" s="786"/>
      <c r="F108" s="786"/>
      <c r="G108" s="14"/>
    </row>
    <row r="109" spans="1:7" ht="36.75" customHeight="1" thickTop="1" thickBot="1" x14ac:dyDescent="0.3">
      <c r="A109" s="776">
        <v>41050000</v>
      </c>
      <c r="B109" s="777" t="s">
        <v>517</v>
      </c>
      <c r="C109" s="778">
        <f t="shared" si="3"/>
        <v>78983035.310000002</v>
      </c>
      <c r="D109" s="778">
        <f>SUM(D110:D122)</f>
        <v>57283035.310000002</v>
      </c>
      <c r="E109" s="778">
        <f>SUM(E110:E122)</f>
        <v>21700000</v>
      </c>
      <c r="F109" s="778">
        <f>SUM(F110:F122)</f>
        <v>20000000</v>
      </c>
      <c r="G109" s="14"/>
    </row>
    <row r="110" spans="1:7" ht="256.5" thickTop="1" thickBot="1" x14ac:dyDescent="0.3">
      <c r="A110" s="830">
        <v>41050400</v>
      </c>
      <c r="B110" s="831" t="s">
        <v>1396</v>
      </c>
      <c r="C110" s="832">
        <f t="shared" si="3"/>
        <v>11298891.529999999</v>
      </c>
      <c r="D110" s="835">
        <v>11298891.529999999</v>
      </c>
      <c r="E110" s="833"/>
      <c r="F110" s="833"/>
      <c r="G110" s="14"/>
    </row>
    <row r="111" spans="1:7" ht="218.25" thickTop="1" thickBot="1" x14ac:dyDescent="0.3">
      <c r="A111" s="830">
        <v>41050500</v>
      </c>
      <c r="B111" s="831" t="s">
        <v>1397</v>
      </c>
      <c r="C111" s="832">
        <f t="shared" si="3"/>
        <v>1093438.78</v>
      </c>
      <c r="D111" s="835">
        <v>1093438.78</v>
      </c>
      <c r="E111" s="833"/>
      <c r="F111" s="833"/>
      <c r="G111" s="14"/>
    </row>
    <row r="112" spans="1:7" ht="345.75" thickTop="1" thickBot="1" x14ac:dyDescent="0.3">
      <c r="A112" s="830">
        <v>41050600</v>
      </c>
      <c r="B112" s="831" t="s">
        <v>1398</v>
      </c>
      <c r="C112" s="832">
        <f t="shared" si="3"/>
        <v>1751965</v>
      </c>
      <c r="D112" s="835">
        <v>1751965</v>
      </c>
      <c r="E112" s="833"/>
      <c r="F112" s="833"/>
      <c r="G112" s="14"/>
    </row>
    <row r="113" spans="1:10" ht="116.25" thickTop="1" thickBot="1" x14ac:dyDescent="0.3">
      <c r="A113" s="830">
        <v>41050900</v>
      </c>
      <c r="B113" s="831" t="s">
        <v>1399</v>
      </c>
      <c r="C113" s="832">
        <f t="shared" si="3"/>
        <v>3577034</v>
      </c>
      <c r="D113" s="835">
        <v>3577034</v>
      </c>
      <c r="E113" s="833"/>
      <c r="F113" s="833"/>
      <c r="G113" s="14"/>
    </row>
    <row r="114" spans="1:10" ht="39.75" thickTop="1" thickBot="1" x14ac:dyDescent="0.3">
      <c r="A114" s="781">
        <v>41051000</v>
      </c>
      <c r="B114" s="782" t="s">
        <v>518</v>
      </c>
      <c r="C114" s="778">
        <f t="shared" si="3"/>
        <v>7340558</v>
      </c>
      <c r="D114" s="784">
        <v>7340558</v>
      </c>
      <c r="E114" s="786"/>
      <c r="F114" s="786"/>
      <c r="G114" s="14"/>
    </row>
    <row r="115" spans="1:10" ht="52.5" thickTop="1" thickBot="1" x14ac:dyDescent="0.3">
      <c r="A115" s="781">
        <v>41051200</v>
      </c>
      <c r="B115" s="782" t="s">
        <v>772</v>
      </c>
      <c r="C115" s="778">
        <f t="shared" si="3"/>
        <v>7118182</v>
      </c>
      <c r="D115" s="784">
        <v>7118182</v>
      </c>
      <c r="E115" s="786"/>
      <c r="F115" s="786"/>
      <c r="G115" s="14"/>
    </row>
    <row r="116" spans="1:10" ht="65.25" thickTop="1" thickBot="1" x14ac:dyDescent="0.3">
      <c r="A116" s="781">
        <v>41051400</v>
      </c>
      <c r="B116" s="782" t="s">
        <v>1299</v>
      </c>
      <c r="C116" s="778">
        <f t="shared" si="3"/>
        <v>6063695</v>
      </c>
      <c r="D116" s="784">
        <v>6063695</v>
      </c>
      <c r="E116" s="786"/>
      <c r="F116" s="786"/>
      <c r="G116" s="14"/>
    </row>
    <row r="117" spans="1:10" ht="65.25" thickTop="1" thickBot="1" x14ac:dyDescent="0.3">
      <c r="A117" s="781">
        <v>41051700</v>
      </c>
      <c r="B117" s="782" t="s">
        <v>1219</v>
      </c>
      <c r="C117" s="778">
        <f t="shared" si="3"/>
        <v>1648625</v>
      </c>
      <c r="D117" s="784">
        <v>1648625</v>
      </c>
      <c r="E117" s="786"/>
      <c r="F117" s="786"/>
      <c r="G117" s="14"/>
    </row>
    <row r="118" spans="1:10" ht="103.5" hidden="1" thickTop="1" thickBot="1" x14ac:dyDescent="0.3">
      <c r="A118" s="781">
        <v>41056600</v>
      </c>
      <c r="B118" s="782" t="s">
        <v>1362</v>
      </c>
      <c r="C118" s="778">
        <f t="shared" si="3"/>
        <v>0</v>
      </c>
      <c r="D118" s="784">
        <f>10623233.82-10623233.82</f>
        <v>0</v>
      </c>
      <c r="E118" s="786"/>
      <c r="F118" s="786"/>
      <c r="G118" s="14"/>
    </row>
    <row r="119" spans="1:10" ht="65.25" thickTop="1" thickBot="1" x14ac:dyDescent="0.25">
      <c r="A119" s="781">
        <v>41055000</v>
      </c>
      <c r="B119" s="782" t="s">
        <v>1400</v>
      </c>
      <c r="C119" s="778">
        <f t="shared" si="3"/>
        <v>14254000</v>
      </c>
      <c r="D119" s="784">
        <v>14254000</v>
      </c>
      <c r="E119" s="786"/>
      <c r="F119" s="786"/>
      <c r="G119" s="15"/>
    </row>
    <row r="120" spans="1:10" ht="27" thickTop="1" thickBot="1" x14ac:dyDescent="0.25">
      <c r="A120" s="781">
        <v>41053600</v>
      </c>
      <c r="B120" s="782" t="s">
        <v>1221</v>
      </c>
      <c r="C120" s="778">
        <f t="shared" si="3"/>
        <v>1700000</v>
      </c>
      <c r="D120" s="784"/>
      <c r="E120" s="786">
        <v>1700000</v>
      </c>
      <c r="F120" s="786"/>
      <c r="G120" s="15"/>
    </row>
    <row r="121" spans="1:10" ht="218.25" thickTop="1" thickBot="1" x14ac:dyDescent="0.25">
      <c r="A121" s="830">
        <v>41054200</v>
      </c>
      <c r="B121" s="831" t="s">
        <v>1401</v>
      </c>
      <c r="C121" s="832">
        <f t="shared" si="3"/>
        <v>2429312</v>
      </c>
      <c r="D121" s="835">
        <v>2429312</v>
      </c>
      <c r="E121" s="833"/>
      <c r="F121" s="833"/>
      <c r="G121" s="15"/>
    </row>
    <row r="122" spans="1:10" ht="27" thickTop="1" thickBot="1" x14ac:dyDescent="0.25">
      <c r="A122" s="781">
        <v>41053900</v>
      </c>
      <c r="B122" s="782" t="s">
        <v>1092</v>
      </c>
      <c r="C122" s="778">
        <f t="shared" si="3"/>
        <v>20707334</v>
      </c>
      <c r="D122" s="784">
        <f>SUM(D123:D126)</f>
        <v>707334</v>
      </c>
      <c r="E122" s="784">
        <f>SUM(E123:E126)</f>
        <v>20000000</v>
      </c>
      <c r="F122" s="784">
        <f>SUM(F123:F126)</f>
        <v>20000000</v>
      </c>
      <c r="G122" s="15"/>
    </row>
    <row r="123" spans="1:10" ht="15.75" thickTop="1" thickBot="1" x14ac:dyDescent="0.25">
      <c r="A123" s="781"/>
      <c r="B123" s="801" t="s">
        <v>1222</v>
      </c>
      <c r="C123" s="783">
        <f>SUM(D123,E123)</f>
        <v>20000000</v>
      </c>
      <c r="D123" s="794"/>
      <c r="E123" s="800">
        <v>20000000</v>
      </c>
      <c r="F123" s="800">
        <v>20000000</v>
      </c>
      <c r="G123" s="15"/>
    </row>
    <row r="124" spans="1:10" ht="39.75" thickTop="1" thickBot="1" x14ac:dyDescent="0.25">
      <c r="A124" s="781"/>
      <c r="B124" s="801" t="s">
        <v>1093</v>
      </c>
      <c r="C124" s="783">
        <f t="shared" si="3"/>
        <v>206796</v>
      </c>
      <c r="D124" s="794">
        <v>206796</v>
      </c>
      <c r="E124" s="800"/>
      <c r="F124" s="800"/>
      <c r="G124" s="15"/>
    </row>
    <row r="125" spans="1:10" ht="52.5" thickTop="1" thickBot="1" x14ac:dyDescent="0.25">
      <c r="A125" s="781"/>
      <c r="B125" s="801" t="s">
        <v>1094</v>
      </c>
      <c r="C125" s="783">
        <f t="shared" si="3"/>
        <v>147491</v>
      </c>
      <c r="D125" s="794">
        <v>147491</v>
      </c>
      <c r="E125" s="800"/>
      <c r="F125" s="800"/>
      <c r="G125" s="15"/>
    </row>
    <row r="126" spans="1:10" ht="27" thickTop="1" thickBot="1" x14ac:dyDescent="0.25">
      <c r="A126" s="781"/>
      <c r="B126" s="801" t="s">
        <v>1095</v>
      </c>
      <c r="C126" s="783">
        <f t="shared" si="3"/>
        <v>353047</v>
      </c>
      <c r="D126" s="794">
        <v>353047</v>
      </c>
      <c r="E126" s="800"/>
      <c r="F126" s="800"/>
      <c r="G126" s="15"/>
    </row>
    <row r="127" spans="1:10" ht="41.25" customHeight="1" thickTop="1" thickBot="1" x14ac:dyDescent="0.3">
      <c r="A127" s="805"/>
      <c r="B127" s="808" t="s">
        <v>1388</v>
      </c>
      <c r="C127" s="806">
        <f>SUM(D127,E127)</f>
        <v>3328532220.3099999</v>
      </c>
      <c r="D127" s="807">
        <f>SUM(D96,D97)</f>
        <v>3119832706.3099999</v>
      </c>
      <c r="E127" s="807">
        <f>SUM(E96,E100)</f>
        <v>208699514</v>
      </c>
      <c r="F127" s="807">
        <f>SUM(F96,F100)</f>
        <v>42592355</v>
      </c>
      <c r="G127" s="773" t="b">
        <f>C127=C126+C125+C124+C123+C120+C119+C117+C116+C115+C110+C108+C107+C106+C104+C102+C99+C95+C93+C92+C89+C88+C84+C83+C82+C81+C78+C77+C76+C75+C73+C72+C70+C68+C67+C66+C63+C62+C61+C59+C58+C54+C53+C52+C49+C48+C47+C45+C44+C42+C41+C40+C39+C38+C37+C36+C35+C34+C33+C30+C29+C26+C24+C22+C19+C17+C16+C15+C14+C121+C113+C114+C112+C111+C105+C103</f>
        <v>1</v>
      </c>
      <c r="H127" s="773" t="b">
        <f t="shared" ref="H127:J127" si="4">D127=D126+D125+D124+D123+D120+D119+D117+D116+D115+D110+D108+D107+D106+D104+D102+D99+D95+D93+D92+D89+D88+D84+D83+D82+D81+D78+D77+D76+D75+D73+D72+D70+D68+D67+D66+D63+D62+D61+D59+D58+D54+D53+D52+D49+D48+D47+D45+D44+D42+D41+D40+D39+D38+D37+D36+D35+D34+D33+D30+D29+D26+D24+D22+D19+D17+D16+D15+D14+D121+D113+D114+D112+D111+D105+D103</f>
        <v>1</v>
      </c>
      <c r="I127" s="773" t="b">
        <f t="shared" si="4"/>
        <v>1</v>
      </c>
      <c r="J127" s="773" t="b">
        <f t="shared" si="4"/>
        <v>1</v>
      </c>
    </row>
    <row r="128" spans="1:10" ht="13.5" thickTop="1" x14ac:dyDescent="0.2">
      <c r="B128" s="792"/>
      <c r="G128" s="772"/>
    </row>
    <row r="129" spans="1:6" ht="15.75" x14ac:dyDescent="0.25">
      <c r="B129" s="66"/>
      <c r="E129" s="66"/>
    </row>
    <row r="130" spans="1:6" ht="15.75" x14ac:dyDescent="0.2">
      <c r="B130" s="911" t="s">
        <v>1280</v>
      </c>
      <c r="C130" s="889"/>
      <c r="D130" s="889"/>
      <c r="E130" s="657" t="s">
        <v>1211</v>
      </c>
      <c r="F130" s="911"/>
    </row>
    <row r="131" spans="1:6" ht="15.75" x14ac:dyDescent="0.25">
      <c r="B131" s="66"/>
      <c r="E131" s="66"/>
    </row>
    <row r="132" spans="1:6" ht="15.75" x14ac:dyDescent="0.25">
      <c r="A132" s="18"/>
      <c r="B132" s="66" t="s">
        <v>606</v>
      </c>
      <c r="C132" s="66"/>
      <c r="D132" s="66"/>
      <c r="E132" s="66" t="s">
        <v>607</v>
      </c>
      <c r="F132" s="18"/>
    </row>
    <row r="135" spans="1:6" x14ac:dyDescent="0.2">
      <c r="C135" s="772"/>
      <c r="D135" s="772"/>
      <c r="E135" s="772"/>
      <c r="F135" s="772"/>
    </row>
  </sheetData>
  <mergeCells count="10">
    <mergeCell ref="A8:A9"/>
    <mergeCell ref="B8:B9"/>
    <mergeCell ref="C8:C9"/>
    <mergeCell ref="D8:D9"/>
    <mergeCell ref="E8:F8"/>
    <mergeCell ref="D1:G1"/>
    <mergeCell ref="D2:G2"/>
    <mergeCell ref="D3:G3"/>
    <mergeCell ref="A4:E4"/>
    <mergeCell ref="A5:F5"/>
  </mergeCells>
  <hyperlinks>
    <hyperlink ref="B86" location="_ftn1" display="_ftn1"/>
    <hyperlink ref="B85" location="_ftn1" display="_ftn1"/>
    <hyperlink ref="B73" location="_ftn1" display="_ftn1"/>
    <hyperlink ref="B16" location="_ftn1" display="_ftn1"/>
    <hyperlink ref="B15" location="_ftn1" display="_ftn1"/>
    <hyperlink ref="B53" location="_ftn1" display="_ftn1"/>
    <hyperlink ref="B90" location="_ftn1" display="_ftn1"/>
    <hyperlink ref="B91" location="_ftn1" display="_ftn1"/>
    <hyperlink ref="B61" location="_ftn1" display="_ftn1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78" fitToHeight="0" orientation="portrait" verticalDpi="4294967295" r:id="rId1"/>
  <headerFooter alignWithMargins="0"/>
  <rowBreaks count="2" manualBreakCount="2">
    <brk id="67" max="5" man="1"/>
    <brk id="97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T375"/>
  <sheetViews>
    <sheetView view="pageBreakPreview" zoomScale="25" zoomScaleNormal="25" zoomScaleSheetLayoutView="25" zoomScalePageLayoutView="10" workbookViewId="0">
      <pane ySplit="15" topLeftCell="A82" activePane="bottomLeft" state="frozen"/>
      <selection activeCell="B106" sqref="B106"/>
      <selection pane="bottomLeft" activeCell="B106" sqref="B106"/>
    </sheetView>
  </sheetViews>
  <sheetFormatPr defaultColWidth="9.140625" defaultRowHeight="12.75" x14ac:dyDescent="0.2"/>
  <cols>
    <col min="1" max="1" width="48" style="1" customWidth="1"/>
    <col min="2" max="2" width="52.5703125" style="1" customWidth="1"/>
    <col min="3" max="3" width="65.7109375" style="1" customWidth="1"/>
    <col min="4" max="4" width="106.28515625" style="1" customWidth="1"/>
    <col min="5" max="5" width="66.42578125" style="5" customWidth="1"/>
    <col min="6" max="6" width="62.5703125" style="1" customWidth="1"/>
    <col min="7" max="7" width="59.7109375" style="1" customWidth="1"/>
    <col min="8" max="8" width="48.140625" style="1" customWidth="1"/>
    <col min="9" max="9" width="41.85546875" style="1" customWidth="1"/>
    <col min="10" max="10" width="50.5703125" style="5" customWidth="1"/>
    <col min="11" max="11" width="52.5703125" style="5" customWidth="1"/>
    <col min="12" max="12" width="56.140625" style="1" customWidth="1"/>
    <col min="13" max="13" width="54.85546875" style="1" customWidth="1"/>
    <col min="14" max="14" width="45.28515625" style="1" bestFit="1" customWidth="1"/>
    <col min="15" max="15" width="56.140625" style="1" bestFit="1" customWidth="1"/>
    <col min="16" max="16" width="86.28515625" style="5" customWidth="1"/>
    <col min="17" max="17" width="52.140625" style="910" customWidth="1"/>
    <col min="18" max="18" width="48.140625" style="910" customWidth="1"/>
    <col min="19" max="19" width="48.7109375" style="889" bestFit="1" customWidth="1"/>
    <col min="20" max="20" width="43.5703125" style="889" bestFit="1" customWidth="1"/>
    <col min="21" max="16384" width="9.140625" style="889"/>
  </cols>
  <sheetData>
    <row r="2" spans="1:18" ht="45.75" x14ac:dyDescent="0.2">
      <c r="D2" s="902"/>
      <c r="E2" s="903"/>
      <c r="F2" s="901"/>
      <c r="G2" s="903"/>
      <c r="H2" s="903"/>
      <c r="I2" s="903"/>
      <c r="J2" s="903"/>
      <c r="K2" s="903"/>
      <c r="L2" s="903"/>
      <c r="M2" s="903"/>
      <c r="N2" s="1059" t="s">
        <v>538</v>
      </c>
      <c r="O2" s="1001"/>
      <c r="P2" s="1001"/>
      <c r="Q2" s="1001"/>
    </row>
    <row r="3" spans="1:18" ht="45.75" x14ac:dyDescent="0.2">
      <c r="A3" s="902"/>
      <c r="B3" s="902"/>
      <c r="C3" s="902"/>
      <c r="D3" s="902"/>
      <c r="E3" s="903"/>
      <c r="F3" s="901"/>
      <c r="G3" s="903"/>
      <c r="H3" s="903"/>
      <c r="I3" s="903"/>
      <c r="J3" s="903"/>
      <c r="K3" s="903"/>
      <c r="L3" s="903"/>
      <c r="M3" s="903"/>
      <c r="N3" s="1059" t="s">
        <v>1255</v>
      </c>
      <c r="O3" s="1060"/>
      <c r="P3" s="1060"/>
      <c r="Q3" s="1060"/>
    </row>
    <row r="4" spans="1:18" ht="40.700000000000003" customHeight="1" x14ac:dyDescent="0.2">
      <c r="A4" s="902"/>
      <c r="B4" s="902"/>
      <c r="C4" s="902"/>
      <c r="D4" s="902"/>
      <c r="E4" s="903"/>
      <c r="F4" s="901"/>
      <c r="G4" s="903"/>
      <c r="H4" s="903"/>
      <c r="I4" s="903"/>
      <c r="J4" s="903"/>
      <c r="K4" s="903"/>
      <c r="L4" s="903"/>
      <c r="M4" s="903"/>
      <c r="N4" s="903"/>
      <c r="O4" s="1059"/>
      <c r="P4" s="1061"/>
    </row>
    <row r="5" spans="1:18" ht="45.75" hidden="1" x14ac:dyDescent="0.2">
      <c r="A5" s="902"/>
      <c r="B5" s="902"/>
      <c r="C5" s="902"/>
      <c r="D5" s="902"/>
      <c r="E5" s="903"/>
      <c r="F5" s="901"/>
      <c r="G5" s="903"/>
      <c r="H5" s="903"/>
      <c r="I5" s="903"/>
      <c r="J5" s="903"/>
      <c r="K5" s="903"/>
      <c r="L5" s="903"/>
      <c r="M5" s="903"/>
      <c r="N5" s="903"/>
      <c r="O5" s="902"/>
      <c r="P5" s="901"/>
    </row>
    <row r="6" spans="1:18" ht="45" x14ac:dyDescent="0.2">
      <c r="A6" s="1062" t="s">
        <v>680</v>
      </c>
      <c r="B6" s="1062"/>
      <c r="C6" s="1062"/>
      <c r="D6" s="1062"/>
      <c r="E6" s="1062"/>
      <c r="F6" s="1062"/>
      <c r="G6" s="1062"/>
      <c r="H6" s="1062"/>
      <c r="I6" s="1062"/>
      <c r="J6" s="1062"/>
      <c r="K6" s="1062"/>
      <c r="L6" s="1062"/>
      <c r="M6" s="1062"/>
      <c r="N6" s="1062"/>
      <c r="O6" s="1062"/>
      <c r="P6" s="1062"/>
    </row>
    <row r="7" spans="1:18" ht="45" x14ac:dyDescent="0.2">
      <c r="A7" s="1062" t="s">
        <v>679</v>
      </c>
      <c r="B7" s="1062"/>
      <c r="C7" s="1062"/>
      <c r="D7" s="1062"/>
      <c r="E7" s="1062"/>
      <c r="F7" s="1062"/>
      <c r="G7" s="1062"/>
      <c r="H7" s="1062"/>
      <c r="I7" s="1062"/>
      <c r="J7" s="1062"/>
      <c r="K7" s="1062"/>
      <c r="L7" s="1062"/>
      <c r="M7" s="1062"/>
      <c r="N7" s="1062"/>
      <c r="O7" s="1062"/>
      <c r="P7" s="1062"/>
    </row>
    <row r="8" spans="1:18" ht="45" x14ac:dyDescent="0.2">
      <c r="A8" s="903"/>
      <c r="B8" s="903"/>
      <c r="C8" s="903"/>
      <c r="D8" s="903"/>
      <c r="E8" s="903"/>
      <c r="F8" s="903"/>
      <c r="G8" s="903"/>
      <c r="H8" s="903"/>
      <c r="I8" s="903"/>
      <c r="J8" s="903"/>
      <c r="K8" s="903"/>
      <c r="L8" s="903"/>
      <c r="M8" s="903"/>
      <c r="N8" s="903"/>
      <c r="O8" s="903"/>
      <c r="P8" s="903"/>
    </row>
    <row r="9" spans="1:18" ht="45.75" x14ac:dyDescent="0.65">
      <c r="A9" s="1063">
        <v>22564000000</v>
      </c>
      <c r="B9" s="1064"/>
      <c r="C9" s="903"/>
      <c r="D9" s="903"/>
      <c r="E9" s="903"/>
      <c r="F9" s="903"/>
      <c r="G9" s="903"/>
      <c r="H9" s="903"/>
      <c r="I9" s="903"/>
      <c r="J9" s="903"/>
      <c r="K9" s="903"/>
      <c r="L9" s="903"/>
      <c r="M9" s="903"/>
      <c r="N9" s="903"/>
      <c r="O9" s="903"/>
      <c r="P9" s="903"/>
    </row>
    <row r="10" spans="1:18" ht="45.75" x14ac:dyDescent="0.2">
      <c r="A10" s="1068" t="s">
        <v>535</v>
      </c>
      <c r="B10" s="1069"/>
      <c r="C10" s="903"/>
      <c r="D10" s="903"/>
      <c r="E10" s="903"/>
      <c r="F10" s="903"/>
      <c r="G10" s="903"/>
      <c r="H10" s="903"/>
      <c r="I10" s="903"/>
      <c r="J10" s="903"/>
      <c r="K10" s="903"/>
      <c r="L10" s="903"/>
      <c r="M10" s="903"/>
      <c r="N10" s="903"/>
      <c r="O10" s="903"/>
      <c r="P10" s="903"/>
    </row>
    <row r="11" spans="1:18" ht="53.45" customHeight="1" thickBot="1" x14ac:dyDescent="0.25">
      <c r="A11" s="903"/>
      <c r="B11" s="903"/>
      <c r="C11" s="903"/>
      <c r="D11" s="903"/>
      <c r="E11" s="903"/>
      <c r="F11" s="901"/>
      <c r="G11" s="903"/>
      <c r="H11" s="903"/>
      <c r="I11" s="903"/>
      <c r="J11" s="903"/>
      <c r="K11" s="903"/>
      <c r="L11" s="903"/>
      <c r="M11" s="903"/>
      <c r="N11" s="903"/>
      <c r="O11" s="903"/>
      <c r="P11" s="6" t="s">
        <v>431</v>
      </c>
    </row>
    <row r="12" spans="1:18" ht="62.45" customHeight="1" thickTop="1" thickBot="1" x14ac:dyDescent="0.25">
      <c r="A12" s="1067" t="s">
        <v>536</v>
      </c>
      <c r="B12" s="1067" t="s">
        <v>537</v>
      </c>
      <c r="C12" s="1067" t="s">
        <v>417</v>
      </c>
      <c r="D12" s="1067" t="s">
        <v>691</v>
      </c>
      <c r="E12" s="1065" t="s">
        <v>12</v>
      </c>
      <c r="F12" s="1065"/>
      <c r="G12" s="1065"/>
      <c r="H12" s="1065"/>
      <c r="I12" s="1065"/>
      <c r="J12" s="1065" t="s">
        <v>57</v>
      </c>
      <c r="K12" s="1065"/>
      <c r="L12" s="1065"/>
      <c r="M12" s="1065"/>
      <c r="N12" s="1065"/>
      <c r="O12" s="1066"/>
      <c r="P12" s="1065" t="s">
        <v>11</v>
      </c>
    </row>
    <row r="13" spans="1:18" ht="96" customHeight="1" thickTop="1" thickBot="1" x14ac:dyDescent="0.25">
      <c r="A13" s="1065"/>
      <c r="B13" s="1070"/>
      <c r="C13" s="1070"/>
      <c r="D13" s="1065"/>
      <c r="E13" s="1067" t="s">
        <v>411</v>
      </c>
      <c r="F13" s="1067" t="s">
        <v>58</v>
      </c>
      <c r="G13" s="1067" t="s">
        <v>13</v>
      </c>
      <c r="H13" s="1067"/>
      <c r="I13" s="1067" t="s">
        <v>60</v>
      </c>
      <c r="J13" s="1067" t="s">
        <v>411</v>
      </c>
      <c r="K13" s="1067" t="s">
        <v>412</v>
      </c>
      <c r="L13" s="1067" t="s">
        <v>58</v>
      </c>
      <c r="M13" s="1067" t="s">
        <v>13</v>
      </c>
      <c r="N13" s="1067"/>
      <c r="O13" s="1067" t="s">
        <v>60</v>
      </c>
      <c r="P13" s="1065"/>
    </row>
    <row r="14" spans="1:18" ht="328.5" customHeight="1" thickTop="1" thickBot="1" x14ac:dyDescent="0.25">
      <c r="A14" s="1070"/>
      <c r="B14" s="1070"/>
      <c r="C14" s="1070"/>
      <c r="D14" s="1070"/>
      <c r="E14" s="1067"/>
      <c r="F14" s="1067"/>
      <c r="G14" s="904" t="s">
        <v>59</v>
      </c>
      <c r="H14" s="904" t="s">
        <v>15</v>
      </c>
      <c r="I14" s="1067"/>
      <c r="J14" s="1067"/>
      <c r="K14" s="1067"/>
      <c r="L14" s="1067"/>
      <c r="M14" s="904" t="s">
        <v>59</v>
      </c>
      <c r="N14" s="904" t="s">
        <v>15</v>
      </c>
      <c r="O14" s="1067"/>
      <c r="P14" s="1065"/>
    </row>
    <row r="15" spans="1:18" s="2" customFormat="1" ht="47.25" thickTop="1" thickBot="1" x14ac:dyDescent="0.25">
      <c r="A15" s="173" t="s">
        <v>2</v>
      </c>
      <c r="B15" s="173" t="s">
        <v>3</v>
      </c>
      <c r="C15" s="173" t="s">
        <v>14</v>
      </c>
      <c r="D15" s="173" t="s">
        <v>5</v>
      </c>
      <c r="E15" s="173" t="s">
        <v>419</v>
      </c>
      <c r="F15" s="173" t="s">
        <v>420</v>
      </c>
      <c r="G15" s="173" t="s">
        <v>421</v>
      </c>
      <c r="H15" s="173" t="s">
        <v>422</v>
      </c>
      <c r="I15" s="173" t="s">
        <v>423</v>
      </c>
      <c r="J15" s="173" t="s">
        <v>424</v>
      </c>
      <c r="K15" s="173" t="s">
        <v>425</v>
      </c>
      <c r="L15" s="173" t="s">
        <v>426</v>
      </c>
      <c r="M15" s="173" t="s">
        <v>427</v>
      </c>
      <c r="N15" s="173" t="s">
        <v>428</v>
      </c>
      <c r="O15" s="173" t="s">
        <v>429</v>
      </c>
      <c r="P15" s="173" t="s">
        <v>430</v>
      </c>
      <c r="Q15" s="188"/>
      <c r="R15" s="189"/>
    </row>
    <row r="16" spans="1:18" s="2" customFormat="1" ht="136.5" thickTop="1" thickBot="1" x14ac:dyDescent="0.25">
      <c r="A16" s="853" t="s">
        <v>162</v>
      </c>
      <c r="B16" s="853"/>
      <c r="C16" s="853"/>
      <c r="D16" s="854" t="s">
        <v>164</v>
      </c>
      <c r="E16" s="855">
        <f>E17</f>
        <v>128962832.59</v>
      </c>
      <c r="F16" s="856">
        <f t="shared" ref="F16:N16" si="0">F17</f>
        <v>128962832.59</v>
      </c>
      <c r="G16" s="856">
        <f t="shared" si="0"/>
        <v>80242670</v>
      </c>
      <c r="H16" s="856">
        <f t="shared" si="0"/>
        <v>3406900</v>
      </c>
      <c r="I16" s="856">
        <f t="shared" si="0"/>
        <v>0</v>
      </c>
      <c r="J16" s="855">
        <f t="shared" si="0"/>
        <v>9369144.5800000001</v>
      </c>
      <c r="K16" s="856">
        <f t="shared" si="0"/>
        <v>5694500</v>
      </c>
      <c r="L16" s="856">
        <f t="shared" si="0"/>
        <v>3575644.58</v>
      </c>
      <c r="M16" s="856">
        <f t="shared" si="0"/>
        <v>0</v>
      </c>
      <c r="N16" s="856">
        <f t="shared" si="0"/>
        <v>0</v>
      </c>
      <c r="O16" s="855">
        <f>O17</f>
        <v>5793500</v>
      </c>
      <c r="P16" s="856">
        <f t="shared" ref="P16" si="1">P17</f>
        <v>138331977.17000002</v>
      </c>
      <c r="Q16" s="190"/>
      <c r="R16" s="190"/>
    </row>
    <row r="17" spans="1:19" s="2" customFormat="1" ht="136.5" thickTop="1" thickBot="1" x14ac:dyDescent="0.25">
      <c r="A17" s="857" t="s">
        <v>163</v>
      </c>
      <c r="B17" s="857"/>
      <c r="C17" s="857"/>
      <c r="D17" s="858" t="s">
        <v>165</v>
      </c>
      <c r="E17" s="859">
        <f>E18+E23+E33+E36</f>
        <v>128962832.59</v>
      </c>
      <c r="F17" s="859">
        <f>F18+F23+F33+F36</f>
        <v>128962832.59</v>
      </c>
      <c r="G17" s="859">
        <f t="shared" ref="G17:I17" si="2">G18+G23+G33+G36</f>
        <v>80242670</v>
      </c>
      <c r="H17" s="859">
        <f t="shared" si="2"/>
        <v>3406900</v>
      </c>
      <c r="I17" s="859">
        <f t="shared" si="2"/>
        <v>0</v>
      </c>
      <c r="J17" s="859">
        <f>L17+O17</f>
        <v>9369144.5800000001</v>
      </c>
      <c r="K17" s="859">
        <f>K18+K23+K33+K36</f>
        <v>5694500</v>
      </c>
      <c r="L17" s="859">
        <f>L18+L23+L33+L36</f>
        <v>3575644.58</v>
      </c>
      <c r="M17" s="859">
        <f t="shared" ref="M17:N17" si="3">M18+M23+M33+M36</f>
        <v>0</v>
      </c>
      <c r="N17" s="859">
        <f t="shared" si="3"/>
        <v>0</v>
      </c>
      <c r="O17" s="859">
        <f>O18+O23+O33+O36</f>
        <v>5793500</v>
      </c>
      <c r="P17" s="859">
        <f>E17+J17</f>
        <v>138331977.17000002</v>
      </c>
      <c r="Q17" s="124">
        <f>'d3'!E17-'d3-ч'!E17</f>
        <v>4855459</v>
      </c>
      <c r="R17" s="124">
        <f>'d3'!J17-'d3-ч'!J17</f>
        <v>352000</v>
      </c>
      <c r="S17" s="124">
        <f>'d3'!P16-'d3-ч'!P16</f>
        <v>5207459</v>
      </c>
    </row>
    <row r="18" spans="1:19" s="402" customFormat="1" ht="47.25" thickTop="1" thickBot="1" x14ac:dyDescent="0.25">
      <c r="A18" s="455" t="s">
        <v>842</v>
      </c>
      <c r="B18" s="455" t="s">
        <v>843</v>
      </c>
      <c r="C18" s="455"/>
      <c r="D18" s="455" t="s">
        <v>844</v>
      </c>
      <c r="E18" s="894">
        <f>SUM(E19:E22)</f>
        <v>112020290</v>
      </c>
      <c r="F18" s="894">
        <f>SUM(F19:F22)</f>
        <v>112020290</v>
      </c>
      <c r="G18" s="894">
        <f t="shared" ref="G18:P18" si="4">SUM(G19:G22)</f>
        <v>80242670</v>
      </c>
      <c r="H18" s="894">
        <f t="shared" si="4"/>
        <v>3406900</v>
      </c>
      <c r="I18" s="894">
        <f t="shared" si="4"/>
        <v>0</v>
      </c>
      <c r="J18" s="894">
        <f t="shared" si="4"/>
        <v>2854500</v>
      </c>
      <c r="K18" s="894">
        <f t="shared" si="4"/>
        <v>2854500</v>
      </c>
      <c r="L18" s="894">
        <f t="shared" si="4"/>
        <v>0</v>
      </c>
      <c r="M18" s="894">
        <f t="shared" si="4"/>
        <v>0</v>
      </c>
      <c r="N18" s="894">
        <f t="shared" si="4"/>
        <v>0</v>
      </c>
      <c r="O18" s="894">
        <f t="shared" si="4"/>
        <v>2854500</v>
      </c>
      <c r="P18" s="894">
        <f t="shared" si="4"/>
        <v>114874790</v>
      </c>
      <c r="Q18" s="368"/>
      <c r="R18" s="368"/>
    </row>
    <row r="19" spans="1:19" ht="321.75" thickTop="1" thickBot="1" x14ac:dyDescent="0.25">
      <c r="A19" s="893" t="s">
        <v>250</v>
      </c>
      <c r="B19" s="893" t="s">
        <v>251</v>
      </c>
      <c r="C19" s="893" t="s">
        <v>252</v>
      </c>
      <c r="D19" s="893" t="s">
        <v>249</v>
      </c>
      <c r="E19" s="894">
        <f t="shared" ref="E19:E40" si="5">F19</f>
        <v>102582000</v>
      </c>
      <c r="F19" s="170">
        <f>5000+6000+67000+((77782670+17112190+1242480+3766300+30000+1650000+50000+1400000+159900+80000+800000)-1948540)+80000+49000+250000</f>
        <v>102582000</v>
      </c>
      <c r="G19" s="170">
        <f>((77782670)-1597170)</f>
        <v>76185500</v>
      </c>
      <c r="H19" s="170">
        <f>(1650000+50000+1400000+159900+80000)+67000</f>
        <v>3406900</v>
      </c>
      <c r="I19" s="170"/>
      <c r="J19" s="894">
        <f t="shared" ref="J19:J28" si="6">L19+O19</f>
        <v>2854500</v>
      </c>
      <c r="K19" s="170">
        <f>(977200+330000+15000+241300)+336000+900000+55000</f>
        <v>2854500</v>
      </c>
      <c r="L19" s="847"/>
      <c r="M19" s="848"/>
      <c r="N19" s="848"/>
      <c r="O19" s="896">
        <f t="shared" ref="O19:O28" si="7">K19</f>
        <v>2854500</v>
      </c>
      <c r="P19" s="894">
        <f>+J19+E19</f>
        <v>105436500</v>
      </c>
      <c r="Q19" s="192"/>
      <c r="R19" s="205" t="b">
        <f>K19='d6'!J14</f>
        <v>1</v>
      </c>
    </row>
    <row r="20" spans="1:19" ht="230.25" thickTop="1" thickBot="1" x14ac:dyDescent="0.25">
      <c r="A20" s="893" t="s">
        <v>708</v>
      </c>
      <c r="B20" s="893" t="s">
        <v>254</v>
      </c>
      <c r="C20" s="893" t="s">
        <v>252</v>
      </c>
      <c r="D20" s="893" t="s">
        <v>253</v>
      </c>
      <c r="E20" s="894">
        <f t="shared" si="5"/>
        <v>6253540</v>
      </c>
      <c r="F20" s="170">
        <f>(4305000+1948540)</f>
        <v>6253540</v>
      </c>
      <c r="G20" s="170">
        <f>((2460000)+1597170)</f>
        <v>4057170</v>
      </c>
      <c r="H20" s="170"/>
      <c r="I20" s="170"/>
      <c r="J20" s="894">
        <f t="shared" si="6"/>
        <v>0</v>
      </c>
      <c r="K20" s="170"/>
      <c r="L20" s="847"/>
      <c r="M20" s="848"/>
      <c r="N20" s="848"/>
      <c r="O20" s="896">
        <f t="shared" si="7"/>
        <v>0</v>
      </c>
      <c r="P20" s="894">
        <f>+J20+E20</f>
        <v>6253540</v>
      </c>
      <c r="Q20" s="192"/>
      <c r="R20" s="205"/>
    </row>
    <row r="21" spans="1:19" ht="184.5" thickTop="1" thickBot="1" x14ac:dyDescent="0.25">
      <c r="A21" s="897" t="s">
        <v>777</v>
      </c>
      <c r="B21" s="897" t="s">
        <v>388</v>
      </c>
      <c r="C21" s="897" t="s">
        <v>778</v>
      </c>
      <c r="D21" s="897" t="s">
        <v>779</v>
      </c>
      <c r="E21" s="907">
        <f t="shared" si="5"/>
        <v>49000</v>
      </c>
      <c r="F21" s="308">
        <v>49000</v>
      </c>
      <c r="G21" s="308"/>
      <c r="H21" s="308"/>
      <c r="I21" s="308"/>
      <c r="J21" s="907">
        <f t="shared" si="6"/>
        <v>0</v>
      </c>
      <c r="K21" s="308"/>
      <c r="L21" s="850"/>
      <c r="M21" s="851"/>
      <c r="N21" s="851"/>
      <c r="O21" s="852">
        <f t="shared" si="7"/>
        <v>0</v>
      </c>
      <c r="P21" s="907">
        <f>+J21+E21</f>
        <v>49000</v>
      </c>
      <c r="Q21" s="192"/>
      <c r="R21" s="191"/>
    </row>
    <row r="22" spans="1:19" ht="93" thickTop="1" thickBot="1" x14ac:dyDescent="0.25">
      <c r="A22" s="897" t="s">
        <v>265</v>
      </c>
      <c r="B22" s="897" t="s">
        <v>45</v>
      </c>
      <c r="C22" s="897" t="s">
        <v>44</v>
      </c>
      <c r="D22" s="897" t="s">
        <v>266</v>
      </c>
      <c r="E22" s="907">
        <f t="shared" si="5"/>
        <v>3135750</v>
      </c>
      <c r="F22" s="309">
        <f>(3159750-49000)+25000</f>
        <v>3135750</v>
      </c>
      <c r="G22" s="309"/>
      <c r="H22" s="309"/>
      <c r="I22" s="309"/>
      <c r="J22" s="907">
        <f t="shared" si="6"/>
        <v>0</v>
      </c>
      <c r="K22" s="309"/>
      <c r="L22" s="309"/>
      <c r="M22" s="309"/>
      <c r="N22" s="309"/>
      <c r="O22" s="852">
        <f t="shared" si="7"/>
        <v>0</v>
      </c>
      <c r="P22" s="907">
        <f>E22+J22</f>
        <v>3135750</v>
      </c>
      <c r="Q22" s="192"/>
      <c r="R22" s="191"/>
    </row>
    <row r="23" spans="1:19" s="402" customFormat="1" ht="47.25" thickTop="1" thickBot="1" x14ac:dyDescent="0.3">
      <c r="A23" s="455" t="s">
        <v>907</v>
      </c>
      <c r="B23" s="454" t="s">
        <v>908</v>
      </c>
      <c r="C23" s="454"/>
      <c r="D23" s="454" t="s">
        <v>909</v>
      </c>
      <c r="E23" s="907">
        <f t="shared" ref="E23:P23" si="8">SUM(E24:E32)-E24-E27-E29</f>
        <v>6533142.5899999999</v>
      </c>
      <c r="F23" s="907">
        <f t="shared" si="8"/>
        <v>6533142.5899999999</v>
      </c>
      <c r="G23" s="907">
        <f t="shared" si="8"/>
        <v>0</v>
      </c>
      <c r="H23" s="907">
        <f t="shared" si="8"/>
        <v>0</v>
      </c>
      <c r="I23" s="907">
        <f t="shared" si="8"/>
        <v>0</v>
      </c>
      <c r="J23" s="907">
        <f t="shared" si="8"/>
        <v>5174644.58</v>
      </c>
      <c r="K23" s="907">
        <f t="shared" si="8"/>
        <v>1500000</v>
      </c>
      <c r="L23" s="907">
        <f t="shared" si="8"/>
        <v>3575644.58</v>
      </c>
      <c r="M23" s="907">
        <f t="shared" si="8"/>
        <v>0</v>
      </c>
      <c r="N23" s="907">
        <f t="shared" si="8"/>
        <v>0</v>
      </c>
      <c r="O23" s="907">
        <f t="shared" si="8"/>
        <v>1599000</v>
      </c>
      <c r="P23" s="907">
        <f t="shared" si="8"/>
        <v>11707787.170000004</v>
      </c>
      <c r="Q23" s="456"/>
      <c r="R23" s="457"/>
    </row>
    <row r="24" spans="1:19" s="39" customFormat="1" ht="91.5" thickTop="1" thickBot="1" x14ac:dyDescent="0.25">
      <c r="A24" s="404" t="s">
        <v>845</v>
      </c>
      <c r="B24" s="404" t="s">
        <v>846</v>
      </c>
      <c r="C24" s="404"/>
      <c r="D24" s="404" t="s">
        <v>847</v>
      </c>
      <c r="E24" s="366">
        <f t="shared" ref="E24:P24" si="9">SUM(E25:E26)</f>
        <v>4642400</v>
      </c>
      <c r="F24" s="366">
        <f t="shared" si="9"/>
        <v>4642400</v>
      </c>
      <c r="G24" s="366">
        <f t="shared" si="9"/>
        <v>0</v>
      </c>
      <c r="H24" s="366">
        <f t="shared" si="9"/>
        <v>0</v>
      </c>
      <c r="I24" s="366">
        <f t="shared" si="9"/>
        <v>0</v>
      </c>
      <c r="J24" s="366">
        <f t="shared" si="9"/>
        <v>1500000</v>
      </c>
      <c r="K24" s="366">
        <f t="shared" si="9"/>
        <v>1500000</v>
      </c>
      <c r="L24" s="366">
        <f t="shared" si="9"/>
        <v>0</v>
      </c>
      <c r="M24" s="366">
        <f t="shared" si="9"/>
        <v>0</v>
      </c>
      <c r="N24" s="366">
        <f t="shared" si="9"/>
        <v>0</v>
      </c>
      <c r="O24" s="366">
        <f t="shared" si="9"/>
        <v>1500000</v>
      </c>
      <c r="P24" s="366">
        <f t="shared" si="9"/>
        <v>6142400</v>
      </c>
      <c r="Q24" s="458"/>
      <c r="R24" s="459"/>
    </row>
    <row r="25" spans="1:19" ht="93" thickTop="1" thickBot="1" x14ac:dyDescent="0.25">
      <c r="A25" s="897" t="s">
        <v>256</v>
      </c>
      <c r="B25" s="897" t="s">
        <v>257</v>
      </c>
      <c r="C25" s="897" t="s">
        <v>258</v>
      </c>
      <c r="D25" s="897" t="s">
        <v>255</v>
      </c>
      <c r="E25" s="907">
        <f t="shared" si="5"/>
        <v>4392400</v>
      </c>
      <c r="F25" s="309">
        <v>4392400</v>
      </c>
      <c r="G25" s="309"/>
      <c r="H25" s="309"/>
      <c r="I25" s="309"/>
      <c r="J25" s="907">
        <f t="shared" si="6"/>
        <v>1500000</v>
      </c>
      <c r="K25" s="309">
        <v>1500000</v>
      </c>
      <c r="L25" s="309"/>
      <c r="M25" s="309"/>
      <c r="N25" s="309"/>
      <c r="O25" s="852">
        <f t="shared" si="7"/>
        <v>1500000</v>
      </c>
      <c r="P25" s="907">
        <f>+J25+E25</f>
        <v>5892400</v>
      </c>
      <c r="Q25" s="192"/>
      <c r="R25" s="205" t="b">
        <f>K25='d6'!J16</f>
        <v>1</v>
      </c>
    </row>
    <row r="26" spans="1:19" ht="230.25" thickTop="1" thickBot="1" x14ac:dyDescent="0.25">
      <c r="A26" s="897" t="s">
        <v>1288</v>
      </c>
      <c r="B26" s="897" t="s">
        <v>1289</v>
      </c>
      <c r="C26" s="897" t="s">
        <v>258</v>
      </c>
      <c r="D26" s="897" t="s">
        <v>1290</v>
      </c>
      <c r="E26" s="907">
        <f t="shared" si="5"/>
        <v>250000</v>
      </c>
      <c r="F26" s="309">
        <v>250000</v>
      </c>
      <c r="G26" s="309"/>
      <c r="H26" s="309"/>
      <c r="I26" s="309"/>
      <c r="J26" s="907">
        <f t="shared" si="6"/>
        <v>0</v>
      </c>
      <c r="K26" s="309"/>
      <c r="L26" s="309"/>
      <c r="M26" s="309"/>
      <c r="N26" s="309"/>
      <c r="O26" s="852"/>
      <c r="P26" s="907">
        <f>+J26+E26</f>
        <v>250000</v>
      </c>
      <c r="Q26" s="192"/>
      <c r="R26" s="205"/>
    </row>
    <row r="27" spans="1:19" s="79" customFormat="1" ht="136.5" thickTop="1" thickBot="1" x14ac:dyDescent="0.25">
      <c r="A27" s="405" t="s">
        <v>849</v>
      </c>
      <c r="B27" s="405" t="s">
        <v>850</v>
      </c>
      <c r="C27" s="405"/>
      <c r="D27" s="405" t="s">
        <v>848</v>
      </c>
      <c r="E27" s="366">
        <f>SUM(E28)+E29</f>
        <v>1890742.59</v>
      </c>
      <c r="F27" s="366">
        <f t="shared" ref="F27:P27" si="10">SUM(F28)+F29</f>
        <v>1890742.59</v>
      </c>
      <c r="G27" s="366">
        <f t="shared" si="10"/>
        <v>0</v>
      </c>
      <c r="H27" s="366">
        <f t="shared" si="10"/>
        <v>0</v>
      </c>
      <c r="I27" s="366">
        <f t="shared" si="10"/>
        <v>0</v>
      </c>
      <c r="J27" s="366">
        <f t="shared" si="10"/>
        <v>3674644.58</v>
      </c>
      <c r="K27" s="366">
        <f t="shared" si="10"/>
        <v>0</v>
      </c>
      <c r="L27" s="366">
        <f t="shared" si="10"/>
        <v>3575644.58</v>
      </c>
      <c r="M27" s="366">
        <f t="shared" si="10"/>
        <v>0</v>
      </c>
      <c r="N27" s="366">
        <f t="shared" si="10"/>
        <v>0</v>
      </c>
      <c r="O27" s="366">
        <f t="shared" si="10"/>
        <v>99000</v>
      </c>
      <c r="P27" s="366">
        <f t="shared" si="10"/>
        <v>5565387.1699999999</v>
      </c>
      <c r="Q27" s="408"/>
      <c r="R27" s="460"/>
    </row>
    <row r="28" spans="1:19" ht="138.75" thickTop="1" thickBot="1" x14ac:dyDescent="0.25">
      <c r="A28" s="897" t="s">
        <v>318</v>
      </c>
      <c r="B28" s="897" t="s">
        <v>319</v>
      </c>
      <c r="C28" s="897" t="s">
        <v>184</v>
      </c>
      <c r="D28" s="897" t="s">
        <v>475</v>
      </c>
      <c r="E28" s="907">
        <f t="shared" si="5"/>
        <v>290200</v>
      </c>
      <c r="F28" s="309">
        <v>290200</v>
      </c>
      <c r="G28" s="309"/>
      <c r="H28" s="309"/>
      <c r="I28" s="309"/>
      <c r="J28" s="907">
        <f t="shared" si="6"/>
        <v>0</v>
      </c>
      <c r="K28" s="309"/>
      <c r="L28" s="309"/>
      <c r="M28" s="309"/>
      <c r="N28" s="309"/>
      <c r="O28" s="852">
        <f t="shared" si="7"/>
        <v>0</v>
      </c>
      <c r="P28" s="907">
        <f>+J28+E28</f>
        <v>290200</v>
      </c>
      <c r="Q28" s="192"/>
      <c r="R28" s="191"/>
    </row>
    <row r="29" spans="1:19" s="79" customFormat="1" ht="48" thickTop="1" thickBot="1" x14ac:dyDescent="0.25">
      <c r="A29" s="403" t="s">
        <v>852</v>
      </c>
      <c r="B29" s="403" t="s">
        <v>853</v>
      </c>
      <c r="C29" s="403"/>
      <c r="D29" s="406" t="s">
        <v>851</v>
      </c>
      <c r="E29" s="367">
        <f>SUM(E30:E32)</f>
        <v>1600542.59</v>
      </c>
      <c r="F29" s="367">
        <f t="shared" ref="F29:O29" si="11">SUM(F30:F32)</f>
        <v>1600542.59</v>
      </c>
      <c r="G29" s="367">
        <f t="shared" si="11"/>
        <v>0</v>
      </c>
      <c r="H29" s="367">
        <f t="shared" si="11"/>
        <v>0</v>
      </c>
      <c r="I29" s="367">
        <f t="shared" si="11"/>
        <v>0</v>
      </c>
      <c r="J29" s="367">
        <f t="shared" si="11"/>
        <v>3674644.58</v>
      </c>
      <c r="K29" s="367">
        <f t="shared" si="11"/>
        <v>0</v>
      </c>
      <c r="L29" s="367">
        <f t="shared" si="11"/>
        <v>3575644.58</v>
      </c>
      <c r="M29" s="367">
        <f t="shared" si="11"/>
        <v>0</v>
      </c>
      <c r="N29" s="367">
        <f t="shared" si="11"/>
        <v>0</v>
      </c>
      <c r="O29" s="367">
        <f t="shared" si="11"/>
        <v>99000</v>
      </c>
      <c r="P29" s="367">
        <f>E29+J29</f>
        <v>5275187.17</v>
      </c>
      <c r="Q29" s="408"/>
      <c r="R29" s="409"/>
    </row>
    <row r="30" spans="1:19" s="39" customFormat="1" ht="361.5" customHeight="1" thickTop="1" thickBot="1" x14ac:dyDescent="0.7">
      <c r="A30" s="1044" t="s">
        <v>364</v>
      </c>
      <c r="B30" s="1044" t="s">
        <v>363</v>
      </c>
      <c r="C30" s="1044" t="s">
        <v>184</v>
      </c>
      <c r="D30" s="311" t="s">
        <v>473</v>
      </c>
      <c r="E30" s="1077">
        <f t="shared" si="5"/>
        <v>0</v>
      </c>
      <c r="F30" s="1042"/>
      <c r="G30" s="1042"/>
      <c r="H30" s="1042"/>
      <c r="I30" s="1042"/>
      <c r="J30" s="1078">
        <f>L30+O30</f>
        <v>3674644.58</v>
      </c>
      <c r="K30" s="1042"/>
      <c r="L30" s="1042">
        <f>((1308600+69000+601000+1471600)+1155966.58)-450000-580522</f>
        <v>3575644.58</v>
      </c>
      <c r="M30" s="1042"/>
      <c r="N30" s="1042"/>
      <c r="O30" s="1073">
        <f>(49000)+50000</f>
        <v>99000</v>
      </c>
      <c r="P30" s="1075">
        <f>E30+J30</f>
        <v>3674644.58</v>
      </c>
      <c r="Q30" s="193"/>
      <c r="R30" s="194"/>
    </row>
    <row r="31" spans="1:19" s="39" customFormat="1" ht="184.5" thickTop="1" thickBot="1" x14ac:dyDescent="0.25">
      <c r="A31" s="1046"/>
      <c r="B31" s="1045"/>
      <c r="C31" s="1046"/>
      <c r="D31" s="312" t="s">
        <v>474</v>
      </c>
      <c r="E31" s="1046"/>
      <c r="F31" s="1043"/>
      <c r="G31" s="1043"/>
      <c r="H31" s="1043"/>
      <c r="I31" s="1043"/>
      <c r="J31" s="1079"/>
      <c r="K31" s="1043"/>
      <c r="L31" s="1043"/>
      <c r="M31" s="1043"/>
      <c r="N31" s="1043"/>
      <c r="O31" s="1074"/>
      <c r="P31" s="1076"/>
      <c r="Q31" s="194"/>
      <c r="R31" s="194"/>
    </row>
    <row r="32" spans="1:19" s="39" customFormat="1" ht="93" thickTop="1" thickBot="1" x14ac:dyDescent="0.25">
      <c r="A32" s="893" t="s">
        <v>1122</v>
      </c>
      <c r="B32" s="893" t="s">
        <v>275</v>
      </c>
      <c r="C32" s="893" t="s">
        <v>184</v>
      </c>
      <c r="D32" s="893" t="s">
        <v>273</v>
      </c>
      <c r="E32" s="907">
        <f>F32</f>
        <v>1600542.59</v>
      </c>
      <c r="F32" s="309">
        <v>1600542.59</v>
      </c>
      <c r="G32" s="309"/>
      <c r="H32" s="309"/>
      <c r="I32" s="309"/>
      <c r="J32" s="907">
        <f>L32+O32</f>
        <v>0</v>
      </c>
      <c r="K32" s="309"/>
      <c r="L32" s="309"/>
      <c r="M32" s="309"/>
      <c r="N32" s="309"/>
      <c r="O32" s="852"/>
      <c r="P32" s="907">
        <f>E32+J32</f>
        <v>1600542.59</v>
      </c>
      <c r="Q32" s="194"/>
      <c r="R32" s="194"/>
    </row>
    <row r="33" spans="1:20" s="39" customFormat="1" ht="46.5" customHeight="1" thickTop="1" thickBot="1" x14ac:dyDescent="0.25">
      <c r="A33" s="455" t="s">
        <v>854</v>
      </c>
      <c r="B33" s="455" t="s">
        <v>855</v>
      </c>
      <c r="C33" s="455"/>
      <c r="D33" s="455" t="s">
        <v>856</v>
      </c>
      <c r="E33" s="894">
        <f>E34</f>
        <v>6359300</v>
      </c>
      <c r="F33" s="894">
        <f t="shared" ref="F33:O33" si="12">F34</f>
        <v>6359300</v>
      </c>
      <c r="G33" s="894">
        <f t="shared" si="12"/>
        <v>0</v>
      </c>
      <c r="H33" s="894">
        <f t="shared" si="12"/>
        <v>0</v>
      </c>
      <c r="I33" s="894">
        <f t="shared" si="12"/>
        <v>0</v>
      </c>
      <c r="J33" s="894">
        <f t="shared" si="12"/>
        <v>0</v>
      </c>
      <c r="K33" s="894">
        <f t="shared" si="12"/>
        <v>0</v>
      </c>
      <c r="L33" s="894">
        <f t="shared" si="12"/>
        <v>0</v>
      </c>
      <c r="M33" s="894">
        <f t="shared" si="12"/>
        <v>0</v>
      </c>
      <c r="N33" s="894">
        <f t="shared" si="12"/>
        <v>0</v>
      </c>
      <c r="O33" s="894">
        <f t="shared" si="12"/>
        <v>0</v>
      </c>
      <c r="P33" s="894">
        <f>P34</f>
        <v>6359300</v>
      </c>
      <c r="Q33" s="194"/>
      <c r="R33" s="194"/>
    </row>
    <row r="34" spans="1:20" s="39" customFormat="1" ht="47.25" thickTop="1" thickBot="1" x14ac:dyDescent="0.25">
      <c r="A34" s="404" t="s">
        <v>857</v>
      </c>
      <c r="B34" s="404" t="s">
        <v>858</v>
      </c>
      <c r="C34" s="404"/>
      <c r="D34" s="404" t="s">
        <v>859</v>
      </c>
      <c r="E34" s="366">
        <f>SUM(E35)</f>
        <v>6359300</v>
      </c>
      <c r="F34" s="366">
        <f t="shared" ref="F34:P34" si="13">SUM(F35)</f>
        <v>6359300</v>
      </c>
      <c r="G34" s="366">
        <f t="shared" si="13"/>
        <v>0</v>
      </c>
      <c r="H34" s="366">
        <f t="shared" si="13"/>
        <v>0</v>
      </c>
      <c r="I34" s="366">
        <f t="shared" si="13"/>
        <v>0</v>
      </c>
      <c r="J34" s="366">
        <f t="shared" si="13"/>
        <v>0</v>
      </c>
      <c r="K34" s="366">
        <f t="shared" si="13"/>
        <v>0</v>
      </c>
      <c r="L34" s="366">
        <f t="shared" si="13"/>
        <v>0</v>
      </c>
      <c r="M34" s="366">
        <f t="shared" si="13"/>
        <v>0</v>
      </c>
      <c r="N34" s="366">
        <f t="shared" si="13"/>
        <v>0</v>
      </c>
      <c r="O34" s="366">
        <f t="shared" si="13"/>
        <v>0</v>
      </c>
      <c r="P34" s="366">
        <f t="shared" si="13"/>
        <v>6359300</v>
      </c>
    </row>
    <row r="35" spans="1:20" ht="93" thickTop="1" thickBot="1" x14ac:dyDescent="0.25">
      <c r="A35" s="897" t="s">
        <v>259</v>
      </c>
      <c r="B35" s="897" t="s">
        <v>260</v>
      </c>
      <c r="C35" s="897" t="s">
        <v>261</v>
      </c>
      <c r="D35" s="897" t="s">
        <v>262</v>
      </c>
      <c r="E35" s="907">
        <f>F35</f>
        <v>6359300</v>
      </c>
      <c r="F35" s="309">
        <v>6359300</v>
      </c>
      <c r="G35" s="309"/>
      <c r="H35" s="309"/>
      <c r="I35" s="309"/>
      <c r="J35" s="907">
        <f>L35+O35</f>
        <v>0</v>
      </c>
      <c r="K35" s="309"/>
      <c r="L35" s="309"/>
      <c r="M35" s="309"/>
      <c r="N35" s="309"/>
      <c r="O35" s="852">
        <f>K35</f>
        <v>0</v>
      </c>
      <c r="P35" s="907">
        <f>E35+J35</f>
        <v>6359300</v>
      </c>
    </row>
    <row r="36" spans="1:20" ht="47.25" thickTop="1" thickBot="1" x14ac:dyDescent="0.25">
      <c r="A36" s="455" t="s">
        <v>860</v>
      </c>
      <c r="B36" s="455" t="s">
        <v>861</v>
      </c>
      <c r="C36" s="455"/>
      <c r="D36" s="455" t="s">
        <v>862</v>
      </c>
      <c r="E36" s="894">
        <f t="shared" ref="E36:P36" si="14">E37+E40</f>
        <v>4050100</v>
      </c>
      <c r="F36" s="894">
        <f t="shared" si="14"/>
        <v>4050100</v>
      </c>
      <c r="G36" s="894">
        <f t="shared" si="14"/>
        <v>0</v>
      </c>
      <c r="H36" s="894">
        <f t="shared" si="14"/>
        <v>0</v>
      </c>
      <c r="I36" s="894">
        <f t="shared" si="14"/>
        <v>0</v>
      </c>
      <c r="J36" s="894">
        <f t="shared" si="14"/>
        <v>1340000</v>
      </c>
      <c r="K36" s="894">
        <f t="shared" si="14"/>
        <v>1340000</v>
      </c>
      <c r="L36" s="894">
        <f t="shared" si="14"/>
        <v>0</v>
      </c>
      <c r="M36" s="894">
        <f t="shared" si="14"/>
        <v>0</v>
      </c>
      <c r="N36" s="894">
        <f t="shared" si="14"/>
        <v>0</v>
      </c>
      <c r="O36" s="894">
        <f t="shared" si="14"/>
        <v>1340000</v>
      </c>
      <c r="P36" s="894">
        <f t="shared" si="14"/>
        <v>5390100</v>
      </c>
    </row>
    <row r="37" spans="1:20" s="39" customFormat="1" ht="271.5" thickTop="1" thickBot="1" x14ac:dyDescent="0.25">
      <c r="A37" s="404" t="s">
        <v>863</v>
      </c>
      <c r="B37" s="404" t="s">
        <v>864</v>
      </c>
      <c r="C37" s="404"/>
      <c r="D37" s="404" t="s">
        <v>865</v>
      </c>
      <c r="E37" s="366">
        <f>SUM(E38:E39)</f>
        <v>420100</v>
      </c>
      <c r="F37" s="366">
        <f t="shared" ref="F37:P37" si="15">SUM(F38:F39)</f>
        <v>420100</v>
      </c>
      <c r="G37" s="366">
        <f t="shared" si="15"/>
        <v>0</v>
      </c>
      <c r="H37" s="366">
        <f t="shared" si="15"/>
        <v>0</v>
      </c>
      <c r="I37" s="366">
        <f t="shared" si="15"/>
        <v>0</v>
      </c>
      <c r="J37" s="366">
        <f t="shared" si="15"/>
        <v>0</v>
      </c>
      <c r="K37" s="366">
        <f t="shared" si="15"/>
        <v>0</v>
      </c>
      <c r="L37" s="366">
        <f t="shared" si="15"/>
        <v>0</v>
      </c>
      <c r="M37" s="366">
        <f t="shared" si="15"/>
        <v>0</v>
      </c>
      <c r="N37" s="366">
        <f t="shared" si="15"/>
        <v>0</v>
      </c>
      <c r="O37" s="366">
        <f t="shared" si="15"/>
        <v>0</v>
      </c>
      <c r="P37" s="366">
        <f t="shared" si="15"/>
        <v>420100</v>
      </c>
      <c r="Q37" s="194"/>
      <c r="R37" s="194"/>
    </row>
    <row r="38" spans="1:20" ht="276" thickTop="1" thickBot="1" x14ac:dyDescent="0.25">
      <c r="A38" s="893" t="s">
        <v>263</v>
      </c>
      <c r="B38" s="893" t="s">
        <v>264</v>
      </c>
      <c r="C38" s="893" t="s">
        <v>45</v>
      </c>
      <c r="D38" s="893" t="s">
        <v>476</v>
      </c>
      <c r="E38" s="894">
        <f t="shared" si="5"/>
        <v>300000</v>
      </c>
      <c r="F38" s="313">
        <v>300000</v>
      </c>
      <c r="G38" s="313"/>
      <c r="H38" s="313"/>
      <c r="I38" s="313"/>
      <c r="J38" s="894">
        <f>L38+O38</f>
        <v>0</v>
      </c>
      <c r="K38" s="313"/>
      <c r="L38" s="313"/>
      <c r="M38" s="313"/>
      <c r="N38" s="313"/>
      <c r="O38" s="896">
        <f>K38</f>
        <v>0</v>
      </c>
      <c r="P38" s="894">
        <f>E38+J38</f>
        <v>300000</v>
      </c>
    </row>
    <row r="39" spans="1:20" ht="93" thickTop="1" thickBot="1" x14ac:dyDescent="0.25">
      <c r="A39" s="893" t="s">
        <v>695</v>
      </c>
      <c r="B39" s="893" t="s">
        <v>389</v>
      </c>
      <c r="C39" s="893" t="s">
        <v>45</v>
      </c>
      <c r="D39" s="893" t="s">
        <v>390</v>
      </c>
      <c r="E39" s="894">
        <f t="shared" si="5"/>
        <v>120100</v>
      </c>
      <c r="F39" s="313">
        <v>120100</v>
      </c>
      <c r="G39" s="313"/>
      <c r="H39" s="313"/>
      <c r="I39" s="313"/>
      <c r="J39" s="894">
        <f>L39+O39</f>
        <v>0</v>
      </c>
      <c r="K39" s="313"/>
      <c r="L39" s="313"/>
      <c r="M39" s="313"/>
      <c r="N39" s="313"/>
      <c r="O39" s="896">
        <f>K39</f>
        <v>0</v>
      </c>
      <c r="P39" s="894">
        <f>E39+J39</f>
        <v>120100</v>
      </c>
    </row>
    <row r="40" spans="1:20" ht="271.5" thickTop="1" thickBot="1" x14ac:dyDescent="0.25">
      <c r="A40" s="404" t="s">
        <v>560</v>
      </c>
      <c r="B40" s="404" t="s">
        <v>561</v>
      </c>
      <c r="C40" s="404" t="s">
        <v>45</v>
      </c>
      <c r="D40" s="404" t="s">
        <v>562</v>
      </c>
      <c r="E40" s="366">
        <f t="shared" si="5"/>
        <v>3630000</v>
      </c>
      <c r="F40" s="366">
        <f>500000+300000+80000+50000+(500000+400000+80000+400000+80000+60000+200000+80000+300000+500000+100000)</f>
        <v>3630000</v>
      </c>
      <c r="G40" s="366"/>
      <c r="H40" s="366"/>
      <c r="I40" s="366"/>
      <c r="J40" s="366">
        <f>L40+O40</f>
        <v>1340000</v>
      </c>
      <c r="K40" s="309">
        <f>380000+(80000+300000+500000+80000)</f>
        <v>1340000</v>
      </c>
      <c r="L40" s="366"/>
      <c r="M40" s="366"/>
      <c r="N40" s="366"/>
      <c r="O40" s="366">
        <f>K40</f>
        <v>1340000</v>
      </c>
      <c r="P40" s="366">
        <f>E40+J40</f>
        <v>4970000</v>
      </c>
      <c r="R40" s="124" t="b">
        <f>K40='d6'!J18+'d6'!J17</f>
        <v>1</v>
      </c>
    </row>
    <row r="41" spans="1:20" ht="136.5" thickTop="1" thickBot="1" x14ac:dyDescent="0.25">
      <c r="A41" s="853" t="s">
        <v>166</v>
      </c>
      <c r="B41" s="853"/>
      <c r="C41" s="853"/>
      <c r="D41" s="854" t="s">
        <v>0</v>
      </c>
      <c r="E41" s="855">
        <f>E42</f>
        <v>1601164041.95</v>
      </c>
      <c r="F41" s="856">
        <f t="shared" ref="F41" si="16">F42</f>
        <v>1601164041.95</v>
      </c>
      <c r="G41" s="856">
        <f>G42</f>
        <v>1121736366.47</v>
      </c>
      <c r="H41" s="856">
        <f>H42</f>
        <v>91375006.789999992</v>
      </c>
      <c r="I41" s="856">
        <f t="shared" ref="I41" si="17">I42</f>
        <v>0</v>
      </c>
      <c r="J41" s="855">
        <f>J42</f>
        <v>202992962.43000001</v>
      </c>
      <c r="K41" s="856">
        <f>K42</f>
        <v>57769548.430000007</v>
      </c>
      <c r="L41" s="856">
        <f>L42</f>
        <v>143418194</v>
      </c>
      <c r="M41" s="856">
        <f t="shared" ref="M41" si="18">M42</f>
        <v>41549170</v>
      </c>
      <c r="N41" s="856">
        <f>N42</f>
        <v>9574190</v>
      </c>
      <c r="O41" s="855">
        <f>O42</f>
        <v>59574768.430000007</v>
      </c>
      <c r="P41" s="856">
        <f t="shared" ref="P41" si="19">P42</f>
        <v>1804157004.3800001</v>
      </c>
      <c r="R41" s="856">
        <f>'d3'!P41-'d3-ч'!P41</f>
        <v>23366428.819999933</v>
      </c>
      <c r="S41" s="856">
        <f>'d3'!E41-'d3-ч'!E41</f>
        <v>19938231</v>
      </c>
      <c r="T41" s="856">
        <f>'d3'!J41-'d3-ч'!J41</f>
        <v>3428197.8199999928</v>
      </c>
    </row>
    <row r="42" spans="1:20" ht="136.5" thickTop="1" thickBot="1" x14ac:dyDescent="0.25">
      <c r="A42" s="857" t="s">
        <v>167</v>
      </c>
      <c r="B42" s="857"/>
      <c r="C42" s="857"/>
      <c r="D42" s="858" t="s">
        <v>1</v>
      </c>
      <c r="E42" s="859">
        <f>E43+E74+E79</f>
        <v>1601164041.95</v>
      </c>
      <c r="F42" s="859">
        <f t="shared" ref="F42:O42" si="20">F43+F74+F79</f>
        <v>1601164041.95</v>
      </c>
      <c r="G42" s="859">
        <f t="shared" si="20"/>
        <v>1121736366.47</v>
      </c>
      <c r="H42" s="859">
        <f t="shared" si="20"/>
        <v>91375006.789999992</v>
      </c>
      <c r="I42" s="859">
        <f t="shared" si="20"/>
        <v>0</v>
      </c>
      <c r="J42" s="859">
        <f>L42+O42</f>
        <v>202992962.43000001</v>
      </c>
      <c r="K42" s="859">
        <f t="shared" si="20"/>
        <v>57769548.430000007</v>
      </c>
      <c r="L42" s="859">
        <f t="shared" si="20"/>
        <v>143418194</v>
      </c>
      <c r="M42" s="859">
        <f t="shared" si="20"/>
        <v>41549170</v>
      </c>
      <c r="N42" s="859">
        <f t="shared" si="20"/>
        <v>9574190</v>
      </c>
      <c r="O42" s="859">
        <f t="shared" si="20"/>
        <v>59574768.430000007</v>
      </c>
      <c r="P42" s="859">
        <f>E42+J42</f>
        <v>1804157004.3800001</v>
      </c>
      <c r="Q42" s="124" t="b">
        <f>P42=P44+P46+P47+P50+P54+P56+P57+P59+P60+P62+P63+P64+P66+P72+P75+P53+P73+P48+P67+P69+P77+P70+P81+P78</f>
        <v>1</v>
      </c>
      <c r="R42" s="124" t="b">
        <f>K42='d6'!J20</f>
        <v>0</v>
      </c>
    </row>
    <row r="43" spans="1:20" ht="47.25" thickTop="1" thickBot="1" x14ac:dyDescent="0.25">
      <c r="A43" s="455" t="s">
        <v>866</v>
      </c>
      <c r="B43" s="455" t="s">
        <v>867</v>
      </c>
      <c r="C43" s="455"/>
      <c r="D43" s="455" t="s">
        <v>868</v>
      </c>
      <c r="E43" s="894">
        <f>E44+E45+E49+E54+E55+E58+E61+E64+E65+E72+E51+E73+E68+E76</f>
        <v>1601164041.95</v>
      </c>
      <c r="F43" s="894">
        <f t="shared" ref="F43:P43" si="21">F44+F45+F49+F54+F55+F58+F61+F64+F65+F72+F51+F73+F68+F76</f>
        <v>1601164041.95</v>
      </c>
      <c r="G43" s="894">
        <f t="shared" si="21"/>
        <v>1121736366.47</v>
      </c>
      <c r="H43" s="894">
        <f t="shared" si="21"/>
        <v>91375006.789999992</v>
      </c>
      <c r="I43" s="894">
        <f t="shared" si="21"/>
        <v>0</v>
      </c>
      <c r="J43" s="894">
        <f t="shared" si="21"/>
        <v>198445916.25</v>
      </c>
      <c r="K43" s="894">
        <f t="shared" si="21"/>
        <v>53222502.250000007</v>
      </c>
      <c r="L43" s="894">
        <f t="shared" si="21"/>
        <v>143418194</v>
      </c>
      <c r="M43" s="894">
        <f t="shared" si="21"/>
        <v>41549170</v>
      </c>
      <c r="N43" s="894">
        <f t="shared" si="21"/>
        <v>9574190</v>
      </c>
      <c r="O43" s="894">
        <f t="shared" si="21"/>
        <v>55027722.250000007</v>
      </c>
      <c r="P43" s="894">
        <f t="shared" si="21"/>
        <v>1799609958.2</v>
      </c>
      <c r="Q43" s="124"/>
      <c r="R43" s="124"/>
    </row>
    <row r="44" spans="1:20" ht="99" customHeight="1" thickTop="1" thickBot="1" x14ac:dyDescent="0.6">
      <c r="A44" s="893" t="s">
        <v>216</v>
      </c>
      <c r="B44" s="893" t="s">
        <v>217</v>
      </c>
      <c r="C44" s="893" t="s">
        <v>219</v>
      </c>
      <c r="D44" s="893" t="s">
        <v>220</v>
      </c>
      <c r="E44" s="894">
        <f>F44</f>
        <v>469872991</v>
      </c>
      <c r="F44" s="313">
        <f>236775-228977.94+274310.94+46235+566500+40000+5100+37560+((372491460+6155150+631440+29930200+2557000+20309300+734740+914480+6850060+1542435+90625+530000+37683.94+102316.06+90274+29393+150000+101020+33980+1000000+18794374+1868908)-1600000-400000+14500+180000+1400000-19760+20000)+3760945+85400+18800+490764</f>
        <v>469872991</v>
      </c>
      <c r="G44" s="313">
        <f>((305204300+12733230+1420850)-1600000)+3760945+85400</f>
        <v>321604725</v>
      </c>
      <c r="H44" s="313">
        <f>((20309300+734740+914480+6850060+1542435+1159227+80427)+1400000-19760)+613864+30400+246500-200000-200000</f>
        <v>33461673</v>
      </c>
      <c r="I44" s="313"/>
      <c r="J44" s="894">
        <f t="shared" ref="J44:J67" si="22">L44+O44</f>
        <v>72874415.370000005</v>
      </c>
      <c r="K44" s="313">
        <f>1000000-45333+((800000+3100000+160000+440000+130000+30333+15000+300000+1172122-1172122)+48000+542134.23+700000+500000+500000+59561.14+49000)</f>
        <v>8328695.3700000001</v>
      </c>
      <c r="L44" s="313">
        <f>(12568180+2758370+5329340+76070+37006700+2376280+17030+812980+26200+2000+18400+2848150)</f>
        <v>63839700</v>
      </c>
      <c r="M44" s="313">
        <f>(12568180+803420)</f>
        <v>13371600</v>
      </c>
      <c r="N44" s="313">
        <f>(222380+222120+356490+1320+10670+30130)</f>
        <v>843110</v>
      </c>
      <c r="O44" s="896">
        <f>K44+667020+39000</f>
        <v>9034715.370000001</v>
      </c>
      <c r="P44" s="894">
        <f t="shared" ref="P44:P57" si="23">E44+J44</f>
        <v>542747406.37</v>
      </c>
      <c r="Q44" s="195"/>
      <c r="R44" s="124" t="b">
        <f>K44='d6'!J21+'d6'!J22+'d6'!J23+'d6'!J24+'d6'!J25+'d6'!J26+'d6'!J28+'d6'!J29+'d6'!J30+'d6'!J31</f>
        <v>1</v>
      </c>
    </row>
    <row r="45" spans="1:20" s="79" customFormat="1" ht="138.75" thickTop="1" thickBot="1" x14ac:dyDescent="0.6">
      <c r="A45" s="365" t="s">
        <v>221</v>
      </c>
      <c r="B45" s="365" t="s">
        <v>218</v>
      </c>
      <c r="C45" s="365"/>
      <c r="D45" s="365" t="s">
        <v>802</v>
      </c>
      <c r="E45" s="367">
        <f>E46+E47+E48</f>
        <v>316411279.95999998</v>
      </c>
      <c r="F45" s="367">
        <f t="shared" ref="F45:O45" si="24">F46+F47+F48</f>
        <v>316411279.95999998</v>
      </c>
      <c r="G45" s="367">
        <f t="shared" si="24"/>
        <v>175734327</v>
      </c>
      <c r="H45" s="367">
        <f t="shared" si="24"/>
        <v>43578328.789999999</v>
      </c>
      <c r="I45" s="367">
        <f t="shared" si="24"/>
        <v>0</v>
      </c>
      <c r="J45" s="367">
        <f t="shared" si="24"/>
        <v>76621646.890000001</v>
      </c>
      <c r="K45" s="367">
        <f t="shared" si="24"/>
        <v>24012696.890000004</v>
      </c>
      <c r="L45" s="367">
        <f t="shared" si="24"/>
        <v>51790750</v>
      </c>
      <c r="M45" s="367">
        <f t="shared" si="24"/>
        <v>19457250</v>
      </c>
      <c r="N45" s="367">
        <f t="shared" si="24"/>
        <v>945120</v>
      </c>
      <c r="O45" s="367">
        <f t="shared" si="24"/>
        <v>24830896.890000004</v>
      </c>
      <c r="P45" s="367">
        <f>E45+J45</f>
        <v>393032926.84999996</v>
      </c>
      <c r="Q45" s="195"/>
      <c r="R45" s="48"/>
    </row>
    <row r="46" spans="1:20" ht="138.75" thickTop="1" thickBot="1" x14ac:dyDescent="0.6">
      <c r="A46" s="893" t="s">
        <v>799</v>
      </c>
      <c r="B46" s="893" t="s">
        <v>800</v>
      </c>
      <c r="C46" s="893" t="s">
        <v>222</v>
      </c>
      <c r="D46" s="893" t="s">
        <v>801</v>
      </c>
      <c r="E46" s="894">
        <f t="shared" ref="E46:E57" si="25">F46</f>
        <v>289134512.13999999</v>
      </c>
      <c r="F46" s="313">
        <f>5100+46200+199000-10500+90000-90000-12600-99400+250000+((293431677)+314737.33-3489794.54-2700000-2424285.65+35000+199620+70000+155500+5000+5000+85000+126230+99400+45000+150000+50000+20000+40000+49900+662500+80000+34010+1101400+17170-165000-635000+200000+795970)-410000-90000+46650+751028+100000</f>
        <v>289134512.13999999</v>
      </c>
      <c r="G46" s="313">
        <f>(665932900-12733230-496181500)-410000</f>
        <v>156608170</v>
      </c>
      <c r="H46" s="313">
        <f>((28409070+505115+696000+1555400+9873130+1177895-1159227+6058967)+314737.33-3489794.54-2700000+662500-165000-635000+200000)+46000+977800-200000-200000+127228</f>
        <v>42054820.789999999</v>
      </c>
      <c r="I46" s="313"/>
      <c r="J46" s="894">
        <f t="shared" si="22"/>
        <v>75674893.890000001</v>
      </c>
      <c r="K46" s="313">
        <f>4930406+10500+93500+12600+86900+274000-73565+69862+((548818+750000+750000+1000000+200000+750000+400000+2000000+3000000+1970000+500000+500000+50000+50000+300000+92450+1224076-1224076-1970000)+400000+17500+75000+42000+48000+1738790+1007090+500000+292490.88+49000+110000+78000+220000+250000+250000+49000+49000+1261682+92850.01+291970)</f>
        <v>23117843.890000004</v>
      </c>
      <c r="L46" s="313">
        <f>(20260670+4446400+3714280+69930+22978640+1904840+107920+944650+28110+4600+143360-2848150)-16400</f>
        <v>51738850</v>
      </c>
      <c r="M46" s="313">
        <f>(20260670-803420)</f>
        <v>19457250</v>
      </c>
      <c r="N46" s="313">
        <f>(315710+155250+435040+38650-30130)</f>
        <v>914520</v>
      </c>
      <c r="O46" s="896">
        <f>(K46+840800-39000)+16400</f>
        <v>23936043.890000004</v>
      </c>
      <c r="P46" s="894">
        <f t="shared" si="23"/>
        <v>364809406.02999997</v>
      </c>
      <c r="Q46" s="195"/>
      <c r="R46" s="124" t="b">
        <f>K46='d6'!J32+'d6'!J34+'d6'!J35+'d6'!J36+'d6'!J37+'d6'!J39+'d6'!J40+'d6'!J41+'d6'!J42+'d6'!J43+'d6'!J44+'d6'!J45+'d6'!J46+'d6'!J47+'d6'!J48+'d6'!J49+'d6'!J50+'d6'!J51+'d6'!J38+'d6'!J53+'d6'!J54+'d6'!J55+'d6'!J56+'d6'!J57+'d6'!J58+'d6'!J59+'d6'!J60+'d6'!J61+'d6'!J62</f>
        <v>0</v>
      </c>
      <c r="T46" s="236"/>
    </row>
    <row r="47" spans="1:20" ht="276" thickTop="1" thickBot="1" x14ac:dyDescent="0.25">
      <c r="A47" s="893" t="s">
        <v>809</v>
      </c>
      <c r="B47" s="893" t="s">
        <v>810</v>
      </c>
      <c r="C47" s="893" t="s">
        <v>225</v>
      </c>
      <c r="D47" s="893" t="s">
        <v>543</v>
      </c>
      <c r="E47" s="894">
        <f t="shared" si="25"/>
        <v>23001882</v>
      </c>
      <c r="F47" s="313">
        <f>((21983082)+14000-38115-8385)+818000+193300+30000+10000</f>
        <v>23001882</v>
      </c>
      <c r="G47" s="313">
        <f>((18140130-1420850)-38115)+818000</f>
        <v>17499165</v>
      </c>
      <c r="H47" s="313">
        <f>((779700+14900+108615+22080-80427)+14000)+192900+400</f>
        <v>1052168</v>
      </c>
      <c r="I47" s="313"/>
      <c r="J47" s="894">
        <f t="shared" si="22"/>
        <v>946753</v>
      </c>
      <c r="K47" s="313">
        <f>-54288+((300000+100000+120000+38430+59425+30000-30000)+16386+314900)</f>
        <v>894853</v>
      </c>
      <c r="L47" s="313">
        <f>(10100+6900+2500+30600+1800)</f>
        <v>51900</v>
      </c>
      <c r="M47" s="313"/>
      <c r="N47" s="313">
        <f>(18600+800+10600+600)</f>
        <v>30600</v>
      </c>
      <c r="O47" s="896">
        <f>K47</f>
        <v>894853</v>
      </c>
      <c r="P47" s="894">
        <f t="shared" si="23"/>
        <v>23948635</v>
      </c>
      <c r="R47" s="368" t="b">
        <f>K47='d6'!J63+'d6'!J64</f>
        <v>0</v>
      </c>
    </row>
    <row r="48" spans="1:20" ht="184.5" thickTop="1" thickBot="1" x14ac:dyDescent="0.25">
      <c r="A48" s="893" t="s">
        <v>1318</v>
      </c>
      <c r="B48" s="893" t="s">
        <v>1319</v>
      </c>
      <c r="C48" s="893" t="s">
        <v>225</v>
      </c>
      <c r="D48" s="893" t="s">
        <v>1320</v>
      </c>
      <c r="E48" s="894">
        <f t="shared" si="25"/>
        <v>4274885.82</v>
      </c>
      <c r="F48" s="313">
        <f>1626992+355000+25000+1600+1764440+13500+293420+37415+137520+2985+28053.82-11040</f>
        <v>4274885.82</v>
      </c>
      <c r="G48" s="313">
        <v>1626992</v>
      </c>
      <c r="H48" s="313">
        <f>293420+37415+137520+2985</f>
        <v>471340</v>
      </c>
      <c r="I48" s="313"/>
      <c r="J48" s="894">
        <f t="shared" si="22"/>
        <v>0</v>
      </c>
      <c r="K48" s="313"/>
      <c r="L48" s="313"/>
      <c r="M48" s="313"/>
      <c r="N48" s="313"/>
      <c r="O48" s="896">
        <f>K48</f>
        <v>0</v>
      </c>
      <c r="P48" s="894">
        <f t="shared" si="23"/>
        <v>4274885.82</v>
      </c>
      <c r="R48" s="368"/>
    </row>
    <row r="49" spans="1:18" s="79" customFormat="1" ht="138.75" thickTop="1" thickBot="1" x14ac:dyDescent="0.25">
      <c r="A49" s="365" t="s">
        <v>544</v>
      </c>
      <c r="B49" s="365" t="s">
        <v>223</v>
      </c>
      <c r="C49" s="365"/>
      <c r="D49" s="365" t="s">
        <v>817</v>
      </c>
      <c r="E49" s="367">
        <f>E50</f>
        <v>608795058</v>
      </c>
      <c r="F49" s="367">
        <f>F50</f>
        <v>608795058</v>
      </c>
      <c r="G49" s="367">
        <f t="shared" ref="G49:P49" si="26">G50</f>
        <v>496181500</v>
      </c>
      <c r="H49" s="367">
        <f t="shared" si="26"/>
        <v>0</v>
      </c>
      <c r="I49" s="367">
        <f t="shared" si="26"/>
        <v>0</v>
      </c>
      <c r="J49" s="367">
        <f t="shared" si="26"/>
        <v>0</v>
      </c>
      <c r="K49" s="367">
        <f t="shared" si="26"/>
        <v>0</v>
      </c>
      <c r="L49" s="367">
        <f t="shared" si="26"/>
        <v>0</v>
      </c>
      <c r="M49" s="367">
        <f t="shared" si="26"/>
        <v>0</v>
      </c>
      <c r="N49" s="367">
        <f t="shared" si="26"/>
        <v>0</v>
      </c>
      <c r="O49" s="367">
        <f t="shared" si="26"/>
        <v>0</v>
      </c>
      <c r="P49" s="367">
        <f t="shared" si="26"/>
        <v>608795058</v>
      </c>
      <c r="Q49" s="910"/>
      <c r="R49" s="409"/>
    </row>
    <row r="50" spans="1:18" ht="138.75" thickTop="1" thickBot="1" x14ac:dyDescent="0.25">
      <c r="A50" s="893" t="s">
        <v>818</v>
      </c>
      <c r="B50" s="893" t="s">
        <v>819</v>
      </c>
      <c r="C50" s="893" t="s">
        <v>222</v>
      </c>
      <c r="D50" s="893" t="s">
        <v>801</v>
      </c>
      <c r="E50" s="894">
        <f t="shared" ref="E50" si="27">F50</f>
        <v>608795058</v>
      </c>
      <c r="F50" s="313">
        <v>608795058</v>
      </c>
      <c r="G50" s="313">
        <v>496181500</v>
      </c>
      <c r="H50" s="313"/>
      <c r="I50" s="313"/>
      <c r="J50" s="894">
        <f t="shared" ref="J50" si="28">L50+O50</f>
        <v>0</v>
      </c>
      <c r="K50" s="313"/>
      <c r="L50" s="313"/>
      <c r="M50" s="313"/>
      <c r="N50" s="313"/>
      <c r="O50" s="896">
        <f>K50</f>
        <v>0</v>
      </c>
      <c r="P50" s="894">
        <f t="shared" ref="P50:P53" si="29">E50+J50</f>
        <v>608795058</v>
      </c>
      <c r="R50" s="191"/>
    </row>
    <row r="51" spans="1:18" ht="409.6" thickTop="1" x14ac:dyDescent="0.65">
      <c r="A51" s="1057" t="s">
        <v>1169</v>
      </c>
      <c r="B51" s="1057" t="s">
        <v>52</v>
      </c>
      <c r="C51" s="1057"/>
      <c r="D51" s="595" t="s">
        <v>1172</v>
      </c>
      <c r="E51" s="1040">
        <f t="shared" ref="E51:O51" si="30">E53</f>
        <v>0</v>
      </c>
      <c r="F51" s="1040">
        <f t="shared" si="30"/>
        <v>0</v>
      </c>
      <c r="G51" s="1040">
        <f t="shared" si="30"/>
        <v>0</v>
      </c>
      <c r="H51" s="1040">
        <f t="shared" si="30"/>
        <v>0</v>
      </c>
      <c r="I51" s="1040">
        <f t="shared" si="30"/>
        <v>0</v>
      </c>
      <c r="J51" s="1040">
        <f t="shared" si="30"/>
        <v>6197509.9900000002</v>
      </c>
      <c r="K51" s="1040">
        <f t="shared" si="30"/>
        <v>6197509.9900000002</v>
      </c>
      <c r="L51" s="1040">
        <f t="shared" si="30"/>
        <v>0</v>
      </c>
      <c r="M51" s="1040">
        <f t="shared" si="30"/>
        <v>0</v>
      </c>
      <c r="N51" s="1040">
        <f t="shared" si="30"/>
        <v>0</v>
      </c>
      <c r="O51" s="1040">
        <f t="shared" si="30"/>
        <v>6197509.9900000002</v>
      </c>
      <c r="P51" s="1040">
        <f>E51+J51</f>
        <v>6197509.9900000002</v>
      </c>
      <c r="R51" s="191"/>
    </row>
    <row r="52" spans="1:18" ht="183.75" thickBot="1" x14ac:dyDescent="0.25">
      <c r="A52" s="1018"/>
      <c r="B52" s="1018"/>
      <c r="C52" s="1018"/>
      <c r="D52" s="596" t="s">
        <v>1173</v>
      </c>
      <c r="E52" s="1018"/>
      <c r="F52" s="1018"/>
      <c r="G52" s="1018"/>
      <c r="H52" s="1018"/>
      <c r="I52" s="1018"/>
      <c r="J52" s="1018"/>
      <c r="K52" s="1018"/>
      <c r="L52" s="1018"/>
      <c r="M52" s="1018"/>
      <c r="N52" s="1018"/>
      <c r="O52" s="1018"/>
      <c r="P52" s="1018"/>
      <c r="R52" s="191"/>
    </row>
    <row r="53" spans="1:18" ht="138.75" thickTop="1" thickBot="1" x14ac:dyDescent="0.25">
      <c r="A53" s="893" t="s">
        <v>1170</v>
      </c>
      <c r="B53" s="893" t="s">
        <v>1171</v>
      </c>
      <c r="C53" s="893" t="s">
        <v>222</v>
      </c>
      <c r="D53" s="893" t="s">
        <v>1174</v>
      </c>
      <c r="E53" s="894">
        <f t="shared" ref="E53" si="31">F53</f>
        <v>0</v>
      </c>
      <c r="F53" s="313"/>
      <c r="G53" s="313"/>
      <c r="H53" s="313"/>
      <c r="I53" s="313"/>
      <c r="J53" s="894">
        <f t="shared" ref="J53" si="32">L53+O53</f>
        <v>6197509.9900000002</v>
      </c>
      <c r="K53" s="313">
        <f>700000+700000+2000000+700000+500000+107149.99+400000+400000+690360</f>
        <v>6197509.9900000002</v>
      </c>
      <c r="L53" s="313"/>
      <c r="M53" s="313"/>
      <c r="N53" s="313"/>
      <c r="O53" s="896">
        <f>K53</f>
        <v>6197509.9900000002</v>
      </c>
      <c r="P53" s="894">
        <f t="shared" si="29"/>
        <v>6197509.9900000002</v>
      </c>
      <c r="R53" s="124" t="b">
        <f>K53='d6'!J65+'d6'!J66+'d6'!J67+'d6'!J68+'d6'!J69+'d6'!J70+'d6'!J71+'d6'!J72+'d6'!J73</f>
        <v>1</v>
      </c>
    </row>
    <row r="54" spans="1:18" ht="184.5" thickTop="1" thickBot="1" x14ac:dyDescent="0.25">
      <c r="A54" s="893" t="s">
        <v>820</v>
      </c>
      <c r="B54" s="893" t="s">
        <v>224</v>
      </c>
      <c r="C54" s="893" t="s">
        <v>199</v>
      </c>
      <c r="D54" s="893" t="s">
        <v>545</v>
      </c>
      <c r="E54" s="894">
        <f t="shared" si="25"/>
        <v>33303488</v>
      </c>
      <c r="F54" s="313">
        <f>36000-31000+198000+43600+210+3420+16600+3720+(((27590745+205730+10500+221500+130820+1620460+33365+388480+37100+8875+121133)+56500+75000+918750+1201665+264366+22418+49800+391485+31000+93850+328696)-542300-257700+30700)</f>
        <v>33303488</v>
      </c>
      <c r="G54" s="313">
        <f>(((22671115)+1201665)-542300)+198000</f>
        <v>23528480</v>
      </c>
      <c r="H54" s="313">
        <f>(((1620460+33365+388480+37100)+56500)+30700)+210+3420+16600</f>
        <v>2186835</v>
      </c>
      <c r="I54" s="313"/>
      <c r="J54" s="894">
        <f t="shared" si="22"/>
        <v>8216245</v>
      </c>
      <c r="K54" s="313">
        <f>-352450+31000+((761045)+177100+2000000)</f>
        <v>2616695</v>
      </c>
      <c r="L54" s="313">
        <f>(1398310+307720+983700+48960+1732500+659140+33260+245150+4900+64910)</f>
        <v>5478550</v>
      </c>
      <c r="M54" s="313">
        <v>1398310</v>
      </c>
      <c r="N54" s="313">
        <f>(14930+1030+228040+1150)</f>
        <v>245150</v>
      </c>
      <c r="O54" s="896">
        <f>K54+121000</f>
        <v>2737695</v>
      </c>
      <c r="P54" s="894">
        <f t="shared" si="23"/>
        <v>41519733</v>
      </c>
      <c r="R54" s="124" t="b">
        <f>K54='d6'!J74+'d6'!J75</f>
        <v>0</v>
      </c>
    </row>
    <row r="55" spans="1:18" s="79" customFormat="1" ht="184.5" thickTop="1" thickBot="1" x14ac:dyDescent="0.25">
      <c r="A55" s="365" t="s">
        <v>226</v>
      </c>
      <c r="B55" s="365" t="s">
        <v>209</v>
      </c>
      <c r="C55" s="365"/>
      <c r="D55" s="365" t="s">
        <v>547</v>
      </c>
      <c r="E55" s="367">
        <f>E56+E57</f>
        <v>121996632.98999999</v>
      </c>
      <c r="F55" s="367">
        <f t="shared" ref="F55:O55" si="33">F56+F57</f>
        <v>121996632.98999999</v>
      </c>
      <c r="G55" s="367">
        <f t="shared" si="33"/>
        <v>74091308.469999999</v>
      </c>
      <c r="H55" s="367">
        <f t="shared" si="33"/>
        <v>11139850</v>
      </c>
      <c r="I55" s="367">
        <f t="shared" si="33"/>
        <v>0</v>
      </c>
      <c r="J55" s="367">
        <f t="shared" si="33"/>
        <v>24082811</v>
      </c>
      <c r="K55" s="367">
        <f t="shared" si="33"/>
        <v>2028217</v>
      </c>
      <c r="L55" s="367">
        <f t="shared" si="33"/>
        <v>21894594</v>
      </c>
      <c r="M55" s="367">
        <f t="shared" si="33"/>
        <v>7129590</v>
      </c>
      <c r="N55" s="367">
        <f t="shared" si="33"/>
        <v>7488900</v>
      </c>
      <c r="O55" s="367">
        <f t="shared" si="33"/>
        <v>2188217</v>
      </c>
      <c r="P55" s="367">
        <f t="shared" si="23"/>
        <v>146079443.99000001</v>
      </c>
      <c r="Q55" s="910"/>
      <c r="R55" s="409"/>
    </row>
    <row r="56" spans="1:18" ht="230.25" thickTop="1" thickBot="1" x14ac:dyDescent="0.25">
      <c r="A56" s="893" t="s">
        <v>821</v>
      </c>
      <c r="B56" s="893" t="s">
        <v>822</v>
      </c>
      <c r="C56" s="893" t="s">
        <v>227</v>
      </c>
      <c r="D56" s="893" t="s">
        <v>823</v>
      </c>
      <c r="E56" s="894">
        <f t="shared" si="25"/>
        <v>104225532.98999999</v>
      </c>
      <c r="F56" s="313">
        <f>((99149586)+227750+30185+47050+160945+1806575+765263-2155895.53-398189.48-455467-6740-34278-840305)+4460413+788636+680005</f>
        <v>104225532.98999999</v>
      </c>
      <c r="G56" s="313">
        <f>((71786791-14686900)-2155895.53)+4460413</f>
        <v>59404408.469999999</v>
      </c>
      <c r="H56" s="313">
        <f>((6850730+76600+19000+3448900+561100)-455467-6740-34278)+680005</f>
        <v>11139850</v>
      </c>
      <c r="I56" s="313"/>
      <c r="J56" s="894">
        <f>L56+O56</f>
        <v>24082811</v>
      </c>
      <c r="K56" s="313">
        <f>300000+(1170637+15000+542580)</f>
        <v>2028217</v>
      </c>
      <c r="L56" s="313">
        <f>(((6797480+1421290+1203730+12000+1235200+849000+70500+6568900+81500+2101880+60940+71000)+95000)+332110+74064)+320000+300000+290290+9710</f>
        <v>21894594</v>
      </c>
      <c r="M56" s="313">
        <f>(6797480)+332110</f>
        <v>7129590</v>
      </c>
      <c r="N56" s="313">
        <f>(3761200+749500+1883100+35000+140100)+320000+300000+290290+9710</f>
        <v>7488900</v>
      </c>
      <c r="O56" s="896">
        <f>K56+160000</f>
        <v>2188217</v>
      </c>
      <c r="P56" s="894">
        <f t="shared" si="23"/>
        <v>128308343.98999999</v>
      </c>
      <c r="R56" s="124" t="b">
        <f>K56='d6'!J76+'d6'!J77+'d6'!J78</f>
        <v>0</v>
      </c>
    </row>
    <row r="57" spans="1:18" ht="230.25" thickTop="1" thickBot="1" x14ac:dyDescent="0.25">
      <c r="A57" s="893" t="s">
        <v>825</v>
      </c>
      <c r="B57" s="893" t="s">
        <v>824</v>
      </c>
      <c r="C57" s="893" t="s">
        <v>227</v>
      </c>
      <c r="D57" s="893" t="s">
        <v>826</v>
      </c>
      <c r="E57" s="894">
        <f t="shared" si="25"/>
        <v>17771100</v>
      </c>
      <c r="F57" s="313">
        <v>17771100</v>
      </c>
      <c r="G57" s="313">
        <v>14686900</v>
      </c>
      <c r="H57" s="313"/>
      <c r="I57" s="313"/>
      <c r="J57" s="894">
        <f>L57+O57</f>
        <v>0</v>
      </c>
      <c r="K57" s="313"/>
      <c r="L57" s="313"/>
      <c r="M57" s="313"/>
      <c r="N57" s="313"/>
      <c r="O57" s="896"/>
      <c r="P57" s="894">
        <f t="shared" si="23"/>
        <v>17771100</v>
      </c>
      <c r="R57" s="191"/>
    </row>
    <row r="58" spans="1:18" s="79" customFormat="1" ht="93" thickTop="1" thickBot="1" x14ac:dyDescent="0.25">
      <c r="A58" s="365" t="s">
        <v>828</v>
      </c>
      <c r="B58" s="365" t="s">
        <v>827</v>
      </c>
      <c r="C58" s="365"/>
      <c r="D58" s="365" t="s">
        <v>829</v>
      </c>
      <c r="E58" s="367">
        <f>E59+E60</f>
        <v>28298072</v>
      </c>
      <c r="F58" s="367">
        <f t="shared" ref="F58:O58" si="34">F59+F60</f>
        <v>28298072</v>
      </c>
      <c r="G58" s="367">
        <f t="shared" si="34"/>
        <v>20668662</v>
      </c>
      <c r="H58" s="367">
        <f t="shared" si="34"/>
        <v>837815</v>
      </c>
      <c r="I58" s="367">
        <f t="shared" si="34"/>
        <v>0</v>
      </c>
      <c r="J58" s="367">
        <f t="shared" si="34"/>
        <v>414600</v>
      </c>
      <c r="K58" s="367">
        <f t="shared" si="34"/>
        <v>0</v>
      </c>
      <c r="L58" s="367">
        <f t="shared" si="34"/>
        <v>414600</v>
      </c>
      <c r="M58" s="367">
        <f t="shared" si="34"/>
        <v>192420</v>
      </c>
      <c r="N58" s="367">
        <f t="shared" si="34"/>
        <v>51910</v>
      </c>
      <c r="O58" s="367">
        <f t="shared" si="34"/>
        <v>0</v>
      </c>
      <c r="P58" s="367">
        <f>E58+J58</f>
        <v>28712672</v>
      </c>
      <c r="Q58" s="910"/>
      <c r="R58" s="409"/>
    </row>
    <row r="59" spans="1:18" ht="93" thickTop="1" thickBot="1" x14ac:dyDescent="0.25">
      <c r="A59" s="893" t="s">
        <v>830</v>
      </c>
      <c r="B59" s="893" t="s">
        <v>831</v>
      </c>
      <c r="C59" s="893" t="s">
        <v>228</v>
      </c>
      <c r="D59" s="893" t="s">
        <v>548</v>
      </c>
      <c r="E59" s="894">
        <f>F59</f>
        <v>28090832</v>
      </c>
      <c r="F59" s="313">
        <f>((27876650+503000+1370+1193900+45500+638560+11800+2700+192610+15890+5070+2700+300+50000-2996350)+53000+151800+63100+20000)+97700+95700+29200+25000+11632</f>
        <v>28090832</v>
      </c>
      <c r="G59" s="313">
        <f>(22849710-2181048)</f>
        <v>20668662</v>
      </c>
      <c r="H59" s="313">
        <f>((638560+11800+2700+192610+15890-174445)+53000)+17000+2600+77000+1100</f>
        <v>837815</v>
      </c>
      <c r="I59" s="313"/>
      <c r="J59" s="894">
        <f>L59+O59</f>
        <v>414600</v>
      </c>
      <c r="K59" s="313"/>
      <c r="L59" s="313">
        <f>(192420+42340+66010+2500+46010+1210+51910+3000+9200)</f>
        <v>414600</v>
      </c>
      <c r="M59" s="313">
        <v>192420</v>
      </c>
      <c r="N59" s="313">
        <f>(45600+2540+3440+330)</f>
        <v>51910</v>
      </c>
      <c r="O59" s="896">
        <f>K59</f>
        <v>0</v>
      </c>
      <c r="P59" s="894">
        <f>E59+J59</f>
        <v>28505432</v>
      </c>
      <c r="R59" s="191"/>
    </row>
    <row r="60" spans="1:18" ht="93" thickTop="1" thickBot="1" x14ac:dyDescent="0.25">
      <c r="A60" s="893" t="s">
        <v>832</v>
      </c>
      <c r="B60" s="893" t="s">
        <v>833</v>
      </c>
      <c r="C60" s="893" t="s">
        <v>228</v>
      </c>
      <c r="D60" s="893" t="s">
        <v>362</v>
      </c>
      <c r="E60" s="894">
        <f>F60</f>
        <v>207240</v>
      </c>
      <c r="F60" s="313">
        <f>(200000)+7240</f>
        <v>207240</v>
      </c>
      <c r="G60" s="313"/>
      <c r="H60" s="313"/>
      <c r="I60" s="313"/>
      <c r="J60" s="894">
        <f>L60+O60</f>
        <v>0</v>
      </c>
      <c r="K60" s="313"/>
      <c r="L60" s="313"/>
      <c r="M60" s="313"/>
      <c r="N60" s="313"/>
      <c r="O60" s="896">
        <f>K60</f>
        <v>0</v>
      </c>
      <c r="P60" s="894">
        <f>E60+J60</f>
        <v>207240</v>
      </c>
      <c r="R60" s="191"/>
    </row>
    <row r="61" spans="1:18" s="79" customFormat="1" ht="93" thickTop="1" thickBot="1" x14ac:dyDescent="0.25">
      <c r="A61" s="365" t="s">
        <v>834</v>
      </c>
      <c r="B61" s="365" t="s">
        <v>835</v>
      </c>
      <c r="C61" s="365"/>
      <c r="D61" s="365" t="s">
        <v>459</v>
      </c>
      <c r="E61" s="367">
        <f>E62+E63</f>
        <v>5034485</v>
      </c>
      <c r="F61" s="367">
        <f>F62+F63</f>
        <v>5034485</v>
      </c>
      <c r="G61" s="367">
        <f t="shared" ref="G61:O61" si="35">G62+G63</f>
        <v>3766490</v>
      </c>
      <c r="H61" s="367">
        <f t="shared" si="35"/>
        <v>87755</v>
      </c>
      <c r="I61" s="367">
        <f t="shared" si="35"/>
        <v>0</v>
      </c>
      <c r="J61" s="367">
        <f t="shared" si="35"/>
        <v>50000</v>
      </c>
      <c r="K61" s="367">
        <f t="shared" si="35"/>
        <v>50000</v>
      </c>
      <c r="L61" s="367">
        <f t="shared" si="35"/>
        <v>0</v>
      </c>
      <c r="M61" s="367">
        <f t="shared" si="35"/>
        <v>0</v>
      </c>
      <c r="N61" s="367">
        <f t="shared" si="35"/>
        <v>0</v>
      </c>
      <c r="O61" s="367">
        <f t="shared" si="35"/>
        <v>50000</v>
      </c>
      <c r="P61" s="367">
        <f>E61+J61</f>
        <v>5084485</v>
      </c>
      <c r="Q61" s="910"/>
      <c r="R61" s="409"/>
    </row>
    <row r="62" spans="1:18" ht="184.5" thickTop="1" thickBot="1" x14ac:dyDescent="0.25">
      <c r="A62" s="893" t="s">
        <v>836</v>
      </c>
      <c r="B62" s="893" t="s">
        <v>837</v>
      </c>
      <c r="C62" s="893" t="s">
        <v>228</v>
      </c>
      <c r="D62" s="893" t="s">
        <v>838</v>
      </c>
      <c r="E62" s="894">
        <f>F62</f>
        <v>1147685</v>
      </c>
      <c r="F62" s="313">
        <f>(708190+179200+39200+15020+76200+1430+6000+4125+2320)+116000</f>
        <v>1147685</v>
      </c>
      <c r="G62" s="313">
        <f>(580490)</f>
        <v>580490</v>
      </c>
      <c r="H62" s="313">
        <f>(76200+1430+6000+4125)</f>
        <v>87755</v>
      </c>
      <c r="I62" s="313"/>
      <c r="J62" s="894">
        <f>L62+O62</f>
        <v>50000</v>
      </c>
      <c r="K62" s="313">
        <v>50000</v>
      </c>
      <c r="L62" s="313"/>
      <c r="M62" s="313"/>
      <c r="N62" s="313"/>
      <c r="O62" s="896">
        <f>K62</f>
        <v>50000</v>
      </c>
      <c r="P62" s="894">
        <f>E62+J62</f>
        <v>1197685</v>
      </c>
      <c r="R62" s="124" t="b">
        <f>K62='d6'!J79</f>
        <v>1</v>
      </c>
    </row>
    <row r="63" spans="1:18" ht="138.75" thickTop="1" thickBot="1" x14ac:dyDescent="0.25">
      <c r="A63" s="893" t="s">
        <v>839</v>
      </c>
      <c r="B63" s="893" t="s">
        <v>840</v>
      </c>
      <c r="C63" s="893" t="s">
        <v>228</v>
      </c>
      <c r="D63" s="893" t="s">
        <v>841</v>
      </c>
      <c r="E63" s="894">
        <f>F63</f>
        <v>3886800</v>
      </c>
      <c r="F63" s="313">
        <f>(3886800)</f>
        <v>3886800</v>
      </c>
      <c r="G63" s="313">
        <f>(3186000)</f>
        <v>3186000</v>
      </c>
      <c r="H63" s="313"/>
      <c r="I63" s="313"/>
      <c r="J63" s="894">
        <f t="shared" ref="J63:J64" si="36">L63+O63</f>
        <v>0</v>
      </c>
      <c r="K63" s="313"/>
      <c r="L63" s="313"/>
      <c r="M63" s="313"/>
      <c r="N63" s="313"/>
      <c r="O63" s="896">
        <f t="shared" ref="O63:O64" si="37">K63</f>
        <v>0</v>
      </c>
      <c r="P63" s="894">
        <f t="shared" ref="P63:P70" si="38">E63+J63</f>
        <v>3886800</v>
      </c>
      <c r="R63" s="191"/>
    </row>
    <row r="64" spans="1:18" ht="138.75" thickTop="1" thickBot="1" x14ac:dyDescent="0.25">
      <c r="A64" s="893" t="s">
        <v>806</v>
      </c>
      <c r="B64" s="893" t="s">
        <v>807</v>
      </c>
      <c r="C64" s="893" t="s">
        <v>228</v>
      </c>
      <c r="D64" s="893" t="s">
        <v>808</v>
      </c>
      <c r="E64" s="894">
        <f t="shared" ref="E64:E78" si="39">F64</f>
        <v>2060415</v>
      </c>
      <c r="F64" s="313">
        <f>(2996350)-692000-152240-80795-2000-8900</f>
        <v>2060415</v>
      </c>
      <c r="G64" s="313">
        <f>(2181048)-692000</f>
        <v>1489048</v>
      </c>
      <c r="H64" s="313">
        <f>(174445)-80795-2000-8900</f>
        <v>82750</v>
      </c>
      <c r="I64" s="313"/>
      <c r="J64" s="894">
        <f t="shared" si="36"/>
        <v>50000</v>
      </c>
      <c r="K64" s="313">
        <v>50000</v>
      </c>
      <c r="L64" s="313"/>
      <c r="M64" s="313"/>
      <c r="N64" s="313"/>
      <c r="O64" s="896">
        <f t="shared" si="37"/>
        <v>50000</v>
      </c>
      <c r="P64" s="894">
        <f t="shared" si="38"/>
        <v>2110415</v>
      </c>
      <c r="R64" s="124" t="b">
        <f>K64='d6'!J80</f>
        <v>1</v>
      </c>
    </row>
    <row r="65" spans="1:18" s="39" customFormat="1" ht="230.25" thickTop="1" thickBot="1" x14ac:dyDescent="0.25">
      <c r="A65" s="365" t="s">
        <v>811</v>
      </c>
      <c r="B65" s="365" t="s">
        <v>812</v>
      </c>
      <c r="C65" s="365"/>
      <c r="D65" s="365" t="s">
        <v>813</v>
      </c>
      <c r="E65" s="367">
        <f t="shared" si="39"/>
        <v>9043301</v>
      </c>
      <c r="F65" s="367">
        <f>SUM(F66:F67)</f>
        <v>9043301</v>
      </c>
      <c r="G65" s="367">
        <f t="shared" ref="G65:I65" si="40">SUM(G66:G67)</f>
        <v>0</v>
      </c>
      <c r="H65" s="367">
        <f t="shared" si="40"/>
        <v>0</v>
      </c>
      <c r="I65" s="367">
        <f t="shared" si="40"/>
        <v>0</v>
      </c>
      <c r="J65" s="367">
        <f t="shared" si="22"/>
        <v>3500200</v>
      </c>
      <c r="K65" s="367">
        <f>SUM(K66:K67)</f>
        <v>3500200</v>
      </c>
      <c r="L65" s="367">
        <f t="shared" ref="L65:N65" si="41">SUM(L66:L67)</f>
        <v>0</v>
      </c>
      <c r="M65" s="367">
        <f t="shared" si="41"/>
        <v>0</v>
      </c>
      <c r="N65" s="367">
        <f t="shared" si="41"/>
        <v>0</v>
      </c>
      <c r="O65" s="367">
        <f>SUM(O66:O67)</f>
        <v>3500200</v>
      </c>
      <c r="P65" s="367">
        <f t="shared" si="38"/>
        <v>12543501</v>
      </c>
      <c r="Q65" s="194"/>
      <c r="R65" s="48"/>
    </row>
    <row r="66" spans="1:18" s="39" customFormat="1" ht="367.5" thickTop="1" thickBot="1" x14ac:dyDescent="0.25">
      <c r="A66" s="893" t="s">
        <v>814</v>
      </c>
      <c r="B66" s="893" t="s">
        <v>815</v>
      </c>
      <c r="C66" s="893" t="s">
        <v>228</v>
      </c>
      <c r="D66" s="893" t="s">
        <v>816</v>
      </c>
      <c r="E66" s="894">
        <f t="shared" si="39"/>
        <v>4362735</v>
      </c>
      <c r="F66" s="313">
        <f>(2300000+600000)+1462735</f>
        <v>4362735</v>
      </c>
      <c r="G66" s="313"/>
      <c r="H66" s="313"/>
      <c r="I66" s="313"/>
      <c r="J66" s="894">
        <f t="shared" si="22"/>
        <v>2117071</v>
      </c>
      <c r="K66" s="313">
        <f>117071+(2000000)</f>
        <v>2117071</v>
      </c>
      <c r="L66" s="313"/>
      <c r="M66" s="313"/>
      <c r="N66" s="313"/>
      <c r="O66" s="896">
        <f t="shared" ref="O66:O67" si="42">K66</f>
        <v>2117071</v>
      </c>
      <c r="P66" s="894">
        <f t="shared" si="38"/>
        <v>6479806</v>
      </c>
      <c r="Q66" s="194"/>
      <c r="R66" s="124" t="b">
        <f>K66='d6'!J81</f>
        <v>1</v>
      </c>
    </row>
    <row r="67" spans="1:18" s="39" customFormat="1" ht="321.75" thickTop="1" thickBot="1" x14ac:dyDescent="0.25">
      <c r="A67" s="893" t="s">
        <v>1291</v>
      </c>
      <c r="B67" s="893" t="s">
        <v>1292</v>
      </c>
      <c r="C67" s="893" t="s">
        <v>228</v>
      </c>
      <c r="D67" s="893" t="s">
        <v>1293</v>
      </c>
      <c r="E67" s="894">
        <f t="shared" si="39"/>
        <v>4680566</v>
      </c>
      <c r="F67" s="313">
        <v>4680566</v>
      </c>
      <c r="G67" s="313"/>
      <c r="H67" s="313"/>
      <c r="I67" s="313"/>
      <c r="J67" s="894">
        <f t="shared" si="22"/>
        <v>1383129</v>
      </c>
      <c r="K67" s="313">
        <v>1383129</v>
      </c>
      <c r="L67" s="313"/>
      <c r="M67" s="313"/>
      <c r="N67" s="313"/>
      <c r="O67" s="896">
        <f t="shared" si="42"/>
        <v>1383129</v>
      </c>
      <c r="P67" s="894">
        <f t="shared" si="38"/>
        <v>6063695</v>
      </c>
      <c r="Q67" s="194"/>
      <c r="R67" s="124" t="b">
        <f>K67='d6'!J82</f>
        <v>1</v>
      </c>
    </row>
    <row r="68" spans="1:18" s="39" customFormat="1" ht="409.6" hidden="1" thickTop="1" thickBot="1" x14ac:dyDescent="0.25">
      <c r="A68" s="365" t="s">
        <v>1321</v>
      </c>
      <c r="B68" s="365" t="s">
        <v>1323</v>
      </c>
      <c r="C68" s="365"/>
      <c r="D68" s="365" t="s">
        <v>1325</v>
      </c>
      <c r="E68" s="367">
        <f>E69+E70</f>
        <v>0</v>
      </c>
      <c r="F68" s="367">
        <f>F69+F70</f>
        <v>0</v>
      </c>
      <c r="G68" s="367">
        <f t="shared" ref="G68:I68" si="43">G69+G70</f>
        <v>0</v>
      </c>
      <c r="H68" s="367">
        <f t="shared" si="43"/>
        <v>0</v>
      </c>
      <c r="I68" s="367">
        <f t="shared" si="43"/>
        <v>0</v>
      </c>
      <c r="J68" s="839">
        <f>L68+O68</f>
        <v>0</v>
      </c>
      <c r="K68" s="839">
        <f t="shared" ref="K68:O68" si="44">K69+K70</f>
        <v>0</v>
      </c>
      <c r="L68" s="839">
        <f t="shared" si="44"/>
        <v>0</v>
      </c>
      <c r="M68" s="839">
        <f t="shared" si="44"/>
        <v>0</v>
      </c>
      <c r="N68" s="839">
        <f t="shared" si="44"/>
        <v>0</v>
      </c>
      <c r="O68" s="839">
        <f t="shared" si="44"/>
        <v>0</v>
      </c>
      <c r="P68" s="839">
        <f t="shared" si="38"/>
        <v>0</v>
      </c>
      <c r="Q68" s="194"/>
      <c r="R68" s="124"/>
    </row>
    <row r="69" spans="1:18" s="39" customFormat="1" ht="409.6" hidden="1" thickTop="1" thickBot="1" x14ac:dyDescent="0.25">
      <c r="A69" s="893" t="s">
        <v>1322</v>
      </c>
      <c r="B69" s="893" t="s">
        <v>1324</v>
      </c>
      <c r="C69" s="893" t="s">
        <v>228</v>
      </c>
      <c r="D69" s="893" t="s">
        <v>1326</v>
      </c>
      <c r="E69" s="894">
        <f t="shared" ref="E69:E70" si="45">F69</f>
        <v>0</v>
      </c>
      <c r="F69" s="313"/>
      <c r="G69" s="313"/>
      <c r="H69" s="313"/>
      <c r="I69" s="313"/>
      <c r="J69" s="836">
        <f t="shared" ref="J69:J70" si="46">L69+O69</f>
        <v>0</v>
      </c>
      <c r="K69" s="809">
        <f>4547046.18-4547046.18</f>
        <v>0</v>
      </c>
      <c r="L69" s="809"/>
      <c r="M69" s="809"/>
      <c r="N69" s="809"/>
      <c r="O69" s="838">
        <f t="shared" ref="O69:O70" si="47">K69</f>
        <v>0</v>
      </c>
      <c r="P69" s="836">
        <f t="shared" si="38"/>
        <v>0</v>
      </c>
      <c r="Q69" s="194"/>
      <c r="R69" s="124" t="b">
        <f>K69='d6'!J83</f>
        <v>1</v>
      </c>
    </row>
    <row r="70" spans="1:18" s="39" customFormat="1" ht="312" hidden="1" customHeight="1" thickTop="1" x14ac:dyDescent="0.2">
      <c r="A70" s="1051" t="s">
        <v>1350</v>
      </c>
      <c r="B70" s="1051" t="s">
        <v>1351</v>
      </c>
      <c r="C70" s="1051" t="s">
        <v>228</v>
      </c>
      <c r="D70" s="1051" t="s">
        <v>1352</v>
      </c>
      <c r="E70" s="1016">
        <f t="shared" si="45"/>
        <v>0</v>
      </c>
      <c r="F70" s="1016"/>
      <c r="G70" s="1016"/>
      <c r="H70" s="1016"/>
      <c r="I70" s="1016"/>
      <c r="J70" s="1033">
        <f t="shared" si="46"/>
        <v>0</v>
      </c>
      <c r="K70" s="1035">
        <f>10623233.82-10623233.82</f>
        <v>0</v>
      </c>
      <c r="L70" s="1033"/>
      <c r="M70" s="1033"/>
      <c r="N70" s="1033"/>
      <c r="O70" s="1035">
        <f t="shared" si="47"/>
        <v>0</v>
      </c>
      <c r="P70" s="1033">
        <f t="shared" si="38"/>
        <v>0</v>
      </c>
      <c r="Q70" s="194"/>
      <c r="R70" s="124" t="b">
        <f>K70='d6'!J84</f>
        <v>1</v>
      </c>
    </row>
    <row r="71" spans="1:18" s="39" customFormat="1" ht="195" hidden="1" customHeight="1" thickBot="1" x14ac:dyDescent="0.25">
      <c r="A71" s="1026"/>
      <c r="B71" s="1026"/>
      <c r="C71" s="1026"/>
      <c r="D71" s="1026"/>
      <c r="E71" s="1026"/>
      <c r="F71" s="1026"/>
      <c r="G71" s="1026"/>
      <c r="H71" s="1026"/>
      <c r="I71" s="1026"/>
      <c r="J71" s="1034"/>
      <c r="K71" s="1036"/>
      <c r="L71" s="1034"/>
      <c r="M71" s="1034"/>
      <c r="N71" s="1034"/>
      <c r="O71" s="1036"/>
      <c r="P71" s="1034"/>
      <c r="Q71" s="194"/>
      <c r="R71" s="124"/>
    </row>
    <row r="72" spans="1:18" s="39" customFormat="1" ht="321.75" thickTop="1" thickBot="1" x14ac:dyDescent="0.25">
      <c r="A72" s="893" t="s">
        <v>803</v>
      </c>
      <c r="B72" s="893" t="s">
        <v>804</v>
      </c>
      <c r="C72" s="893" t="s">
        <v>228</v>
      </c>
      <c r="D72" s="893" t="s">
        <v>805</v>
      </c>
      <c r="E72" s="894">
        <f t="shared" si="39"/>
        <v>4721984</v>
      </c>
      <c r="F72" s="313">
        <f>4721984</f>
        <v>4721984</v>
      </c>
      <c r="G72" s="313">
        <f>(1855198+1937278)</f>
        <v>3792476</v>
      </c>
      <c r="H72" s="313"/>
      <c r="I72" s="313"/>
      <c r="J72" s="894">
        <f t="shared" ref="J72:J73" si="48">L72+O72</f>
        <v>2396198</v>
      </c>
      <c r="K72" s="313">
        <v>2396198</v>
      </c>
      <c r="L72" s="313"/>
      <c r="M72" s="313"/>
      <c r="N72" s="313"/>
      <c r="O72" s="896">
        <f t="shared" ref="O72:O73" si="49">K72</f>
        <v>2396198</v>
      </c>
      <c r="P72" s="894">
        <f t="shared" ref="P72:P73" si="50">E72+J72</f>
        <v>7118182</v>
      </c>
      <c r="Q72" s="194"/>
      <c r="R72" s="124" t="b">
        <f>K72='d6'!J86</f>
        <v>1</v>
      </c>
    </row>
    <row r="73" spans="1:18" s="39" customFormat="1" ht="321.75" thickTop="1" thickBot="1" x14ac:dyDescent="0.25">
      <c r="A73" s="893" t="s">
        <v>1213</v>
      </c>
      <c r="B73" s="893" t="s">
        <v>1214</v>
      </c>
      <c r="C73" s="893" t="s">
        <v>228</v>
      </c>
      <c r="D73" s="893" t="s">
        <v>1215</v>
      </c>
      <c r="E73" s="894">
        <f t="shared" si="39"/>
        <v>1072435</v>
      </c>
      <c r="F73" s="313">
        <f>879350+193085</f>
        <v>1072435</v>
      </c>
      <c r="G73" s="313">
        <v>879350</v>
      </c>
      <c r="H73" s="313"/>
      <c r="I73" s="313"/>
      <c r="J73" s="894">
        <f t="shared" si="48"/>
        <v>576190</v>
      </c>
      <c r="K73" s="313">
        <v>576190</v>
      </c>
      <c r="L73" s="313"/>
      <c r="M73" s="313"/>
      <c r="N73" s="313"/>
      <c r="O73" s="896">
        <f t="shared" si="49"/>
        <v>576190</v>
      </c>
      <c r="P73" s="894">
        <f t="shared" si="50"/>
        <v>1648625</v>
      </c>
      <c r="Q73" s="194"/>
      <c r="R73" s="124" t="b">
        <f>K73='d6'!J87</f>
        <v>0</v>
      </c>
    </row>
    <row r="74" spans="1:18" s="39" customFormat="1" ht="91.5" hidden="1" thickTop="1" thickBot="1" x14ac:dyDescent="0.25">
      <c r="A74" s="455" t="s">
        <v>869</v>
      </c>
      <c r="B74" s="455" t="s">
        <v>870</v>
      </c>
      <c r="C74" s="455"/>
      <c r="D74" s="455" t="s">
        <v>871</v>
      </c>
      <c r="E74" s="894">
        <f>SUM(E75)</f>
        <v>0</v>
      </c>
      <c r="F74" s="894">
        <f t="shared" ref="F74:O74" si="51">SUM(F75)</f>
        <v>0</v>
      </c>
      <c r="G74" s="894">
        <f t="shared" si="51"/>
        <v>0</v>
      </c>
      <c r="H74" s="894">
        <f t="shared" si="51"/>
        <v>0</v>
      </c>
      <c r="I74" s="894">
        <f t="shared" si="51"/>
        <v>0</v>
      </c>
      <c r="J74" s="836">
        <f t="shared" si="51"/>
        <v>0</v>
      </c>
      <c r="K74" s="836">
        <f t="shared" si="51"/>
        <v>0</v>
      </c>
      <c r="L74" s="836">
        <f t="shared" si="51"/>
        <v>0</v>
      </c>
      <c r="M74" s="836">
        <f t="shared" si="51"/>
        <v>0</v>
      </c>
      <c r="N74" s="836">
        <f t="shared" si="51"/>
        <v>0</v>
      </c>
      <c r="O74" s="836">
        <f t="shared" si="51"/>
        <v>0</v>
      </c>
      <c r="P74" s="836">
        <f>SUM(P75)</f>
        <v>0</v>
      </c>
      <c r="Q74" s="194"/>
      <c r="R74" s="124"/>
    </row>
    <row r="75" spans="1:18" s="39" customFormat="1" ht="367.5" hidden="1" thickTop="1" thickBot="1" x14ac:dyDescent="0.25">
      <c r="A75" s="893" t="s">
        <v>461</v>
      </c>
      <c r="B75" s="893" t="s">
        <v>462</v>
      </c>
      <c r="C75" s="893" t="s">
        <v>203</v>
      </c>
      <c r="D75" s="893" t="s">
        <v>460</v>
      </c>
      <c r="E75" s="894">
        <f t="shared" si="39"/>
        <v>0</v>
      </c>
      <c r="F75" s="313">
        <f>(2688000)-2688000</f>
        <v>0</v>
      </c>
      <c r="G75" s="313"/>
      <c r="H75" s="313"/>
      <c r="I75" s="313"/>
      <c r="J75" s="836">
        <f>L75+O75</f>
        <v>0</v>
      </c>
      <c r="K75" s="809"/>
      <c r="L75" s="809"/>
      <c r="M75" s="809"/>
      <c r="N75" s="809"/>
      <c r="O75" s="838">
        <f>K75</f>
        <v>0</v>
      </c>
      <c r="P75" s="836">
        <f>E75+J75</f>
        <v>0</v>
      </c>
      <c r="Q75" s="194"/>
      <c r="R75" s="196"/>
    </row>
    <row r="76" spans="1:18" s="39" customFormat="1" ht="230.25" thickTop="1" thickBot="1" x14ac:dyDescent="0.25">
      <c r="A76" s="365" t="s">
        <v>1327</v>
      </c>
      <c r="B76" s="365" t="s">
        <v>1329</v>
      </c>
      <c r="C76" s="365"/>
      <c r="D76" s="365" t="s">
        <v>1331</v>
      </c>
      <c r="E76" s="367">
        <f t="shared" si="39"/>
        <v>553900</v>
      </c>
      <c r="F76" s="367">
        <f>SUM(F77:F78)</f>
        <v>553900</v>
      </c>
      <c r="G76" s="367">
        <f>SUM(G77:G78)</f>
        <v>0</v>
      </c>
      <c r="H76" s="367">
        <f>SUM(H77:H78)</f>
        <v>0</v>
      </c>
      <c r="I76" s="367">
        <f>SUM(I77:I78)</f>
        <v>0</v>
      </c>
      <c r="J76" s="367">
        <f>L76+O76</f>
        <v>3466100</v>
      </c>
      <c r="K76" s="367">
        <f>SUM(K77:K78)</f>
        <v>3466100</v>
      </c>
      <c r="L76" s="367">
        <f>SUM(L77:L78)</f>
        <v>0</v>
      </c>
      <c r="M76" s="367">
        <f>SUM(M77:M78)</f>
        <v>0</v>
      </c>
      <c r="N76" s="367">
        <f>SUM(N77:N78)</f>
        <v>0</v>
      </c>
      <c r="O76" s="367">
        <f>SUM(O77:O78)</f>
        <v>3466100</v>
      </c>
      <c r="P76" s="367">
        <f>E76+J76</f>
        <v>4020000</v>
      </c>
      <c r="Q76" s="194"/>
      <c r="R76" s="196"/>
    </row>
    <row r="77" spans="1:18" s="39" customFormat="1" ht="367.5" thickTop="1" thickBot="1" x14ac:dyDescent="0.25">
      <c r="A77" s="893" t="s">
        <v>1328</v>
      </c>
      <c r="B77" s="893" t="s">
        <v>1330</v>
      </c>
      <c r="C77" s="893" t="s">
        <v>228</v>
      </c>
      <c r="D77" s="893" t="s">
        <v>1332</v>
      </c>
      <c r="E77" s="894">
        <f t="shared" si="39"/>
        <v>0</v>
      </c>
      <c r="F77" s="313"/>
      <c r="G77" s="313"/>
      <c r="H77" s="313"/>
      <c r="I77" s="313"/>
      <c r="J77" s="894">
        <f t="shared" ref="J77:J78" si="52">L77+O77</f>
        <v>1500000</v>
      </c>
      <c r="K77" s="313">
        <f>100000+1400000</f>
        <v>1500000</v>
      </c>
      <c r="L77" s="313"/>
      <c r="M77" s="313"/>
      <c r="N77" s="313"/>
      <c r="O77" s="896">
        <f t="shared" ref="O77:O78" si="53">K77</f>
        <v>1500000</v>
      </c>
      <c r="P77" s="894">
        <f>E77+J77</f>
        <v>1500000</v>
      </c>
      <c r="Q77" s="194"/>
      <c r="R77" s="124" t="b">
        <f>K77='d6'!J88+'d6'!J89</f>
        <v>1</v>
      </c>
    </row>
    <row r="78" spans="1:18" s="39" customFormat="1" ht="321.75" thickTop="1" thickBot="1" x14ac:dyDescent="0.25">
      <c r="A78" s="893" t="s">
        <v>1403</v>
      </c>
      <c r="B78" s="893" t="s">
        <v>1404</v>
      </c>
      <c r="C78" s="893" t="s">
        <v>228</v>
      </c>
      <c r="D78" s="893" t="s">
        <v>1402</v>
      </c>
      <c r="E78" s="894">
        <f t="shared" si="39"/>
        <v>553900</v>
      </c>
      <c r="F78" s="313">
        <v>553900</v>
      </c>
      <c r="G78" s="313"/>
      <c r="H78" s="313"/>
      <c r="I78" s="313"/>
      <c r="J78" s="894">
        <f t="shared" si="52"/>
        <v>1966100</v>
      </c>
      <c r="K78" s="313">
        <v>1966100</v>
      </c>
      <c r="L78" s="313"/>
      <c r="M78" s="313"/>
      <c r="N78" s="313"/>
      <c r="O78" s="896">
        <f t="shared" si="53"/>
        <v>1966100</v>
      </c>
      <c r="P78" s="894">
        <f>E78+J78</f>
        <v>2520000</v>
      </c>
      <c r="Q78" s="194"/>
      <c r="R78" s="124" t="b">
        <f>K78='d6'!J90</f>
        <v>1</v>
      </c>
    </row>
    <row r="79" spans="1:18" s="39" customFormat="1" ht="47.25" thickTop="1" thickBot="1" x14ac:dyDescent="0.25">
      <c r="A79" s="455" t="s">
        <v>1373</v>
      </c>
      <c r="B79" s="455" t="s">
        <v>861</v>
      </c>
      <c r="C79" s="455"/>
      <c r="D79" s="455" t="s">
        <v>862</v>
      </c>
      <c r="E79" s="894">
        <f>E80</f>
        <v>0</v>
      </c>
      <c r="F79" s="894">
        <f t="shared" ref="F79:P80" si="54">F80</f>
        <v>0</v>
      </c>
      <c r="G79" s="894">
        <f t="shared" si="54"/>
        <v>0</v>
      </c>
      <c r="H79" s="894">
        <f t="shared" si="54"/>
        <v>0</v>
      </c>
      <c r="I79" s="894">
        <f t="shared" si="54"/>
        <v>0</v>
      </c>
      <c r="J79" s="894">
        <f t="shared" si="54"/>
        <v>4547046.18</v>
      </c>
      <c r="K79" s="894">
        <f t="shared" si="54"/>
        <v>4547046.18</v>
      </c>
      <c r="L79" s="894">
        <f t="shared" si="54"/>
        <v>0</v>
      </c>
      <c r="M79" s="894">
        <f t="shared" si="54"/>
        <v>0</v>
      </c>
      <c r="N79" s="894">
        <f t="shared" si="54"/>
        <v>0</v>
      </c>
      <c r="O79" s="894">
        <f t="shared" si="54"/>
        <v>4547046.18</v>
      </c>
      <c r="P79" s="894">
        <f t="shared" si="54"/>
        <v>4547046.18</v>
      </c>
      <c r="Q79" s="194"/>
      <c r="R79" s="124"/>
    </row>
    <row r="80" spans="1:18" s="39" customFormat="1" ht="271.5" thickTop="1" thickBot="1" x14ac:dyDescent="0.25">
      <c r="A80" s="404" t="s">
        <v>1374</v>
      </c>
      <c r="B80" s="404" t="s">
        <v>864</v>
      </c>
      <c r="C80" s="404"/>
      <c r="D80" s="404" t="s">
        <v>865</v>
      </c>
      <c r="E80" s="366">
        <f>E81</f>
        <v>0</v>
      </c>
      <c r="F80" s="366">
        <f t="shared" si="54"/>
        <v>0</v>
      </c>
      <c r="G80" s="366">
        <f t="shared" si="54"/>
        <v>0</v>
      </c>
      <c r="H80" s="366">
        <f t="shared" si="54"/>
        <v>0</v>
      </c>
      <c r="I80" s="366">
        <f t="shared" si="54"/>
        <v>0</v>
      </c>
      <c r="J80" s="366">
        <f t="shared" si="54"/>
        <v>4547046.18</v>
      </c>
      <c r="K80" s="366">
        <f t="shared" si="54"/>
        <v>4547046.18</v>
      </c>
      <c r="L80" s="366">
        <f t="shared" si="54"/>
        <v>0</v>
      </c>
      <c r="M80" s="366">
        <f t="shared" si="54"/>
        <v>0</v>
      </c>
      <c r="N80" s="366">
        <f t="shared" si="54"/>
        <v>0</v>
      </c>
      <c r="O80" s="366">
        <f t="shared" si="54"/>
        <v>4547046.18</v>
      </c>
      <c r="P80" s="366">
        <f t="shared" si="54"/>
        <v>4547046.18</v>
      </c>
      <c r="Q80" s="194"/>
      <c r="R80" s="124"/>
    </row>
    <row r="81" spans="1:19" s="39" customFormat="1" ht="93" thickTop="1" thickBot="1" x14ac:dyDescent="0.25">
      <c r="A81" s="893" t="s">
        <v>1375</v>
      </c>
      <c r="B81" s="893" t="s">
        <v>389</v>
      </c>
      <c r="C81" s="893" t="s">
        <v>45</v>
      </c>
      <c r="D81" s="893" t="s">
        <v>390</v>
      </c>
      <c r="E81" s="894">
        <f t="shared" ref="E81" si="55">F81</f>
        <v>0</v>
      </c>
      <c r="F81" s="313"/>
      <c r="G81" s="313"/>
      <c r="H81" s="313"/>
      <c r="I81" s="313"/>
      <c r="J81" s="894">
        <f>L81+O81</f>
        <v>4547046.18</v>
      </c>
      <c r="K81" s="313">
        <v>4547046.18</v>
      </c>
      <c r="L81" s="313"/>
      <c r="M81" s="313"/>
      <c r="N81" s="313"/>
      <c r="O81" s="896">
        <f>K81</f>
        <v>4547046.18</v>
      </c>
      <c r="P81" s="894">
        <f>E81+J81</f>
        <v>4547046.18</v>
      </c>
      <c r="Q81" s="194"/>
      <c r="R81" s="124" t="b">
        <f>K81='d6'!J92</f>
        <v>0</v>
      </c>
    </row>
    <row r="82" spans="1:19" ht="136.5" thickTop="1" thickBot="1" x14ac:dyDescent="0.25">
      <c r="A82" s="853" t="s">
        <v>168</v>
      </c>
      <c r="B82" s="853"/>
      <c r="C82" s="853"/>
      <c r="D82" s="854" t="s">
        <v>18</v>
      </c>
      <c r="E82" s="855">
        <f>E83</f>
        <v>79760852</v>
      </c>
      <c r="F82" s="856">
        <f t="shared" ref="F82:G82" si="56">F83</f>
        <v>79760852</v>
      </c>
      <c r="G82" s="856">
        <f t="shared" si="56"/>
        <v>4186600</v>
      </c>
      <c r="H82" s="856">
        <f>H83</f>
        <v>201540</v>
      </c>
      <c r="I82" s="856">
        <f t="shared" ref="I82" si="57">I83</f>
        <v>0</v>
      </c>
      <c r="J82" s="855">
        <f>J83</f>
        <v>24640518</v>
      </c>
      <c r="K82" s="856">
        <f>K83</f>
        <v>24618518</v>
      </c>
      <c r="L82" s="856">
        <f>L83</f>
        <v>22000</v>
      </c>
      <c r="M82" s="856">
        <f t="shared" ref="M82" si="58">M83</f>
        <v>0</v>
      </c>
      <c r="N82" s="856">
        <f>N83</f>
        <v>0</v>
      </c>
      <c r="O82" s="855">
        <f>O83</f>
        <v>24618518</v>
      </c>
      <c r="P82" s="856">
        <f>P83</f>
        <v>104401370</v>
      </c>
      <c r="Q82" s="124">
        <f>'d3'!E88-'d3-ч'!E82</f>
        <v>4224550</v>
      </c>
      <c r="R82" s="124">
        <f>'d3'!J88-'d3-ч'!J82</f>
        <v>563902</v>
      </c>
      <c r="S82" s="124">
        <f>'d3'!P88-'d3-ч'!P82</f>
        <v>4788452</v>
      </c>
    </row>
    <row r="83" spans="1:19" ht="136.5" thickTop="1" thickBot="1" x14ac:dyDescent="0.25">
      <c r="A83" s="857" t="s">
        <v>169</v>
      </c>
      <c r="B83" s="857"/>
      <c r="C83" s="857"/>
      <c r="D83" s="858" t="s">
        <v>38</v>
      </c>
      <c r="E83" s="859">
        <f>E84+E86+E99</f>
        <v>79760852</v>
      </c>
      <c r="F83" s="859">
        <f t="shared" ref="F83:I83" si="59">F84+F86+F99</f>
        <v>79760852</v>
      </c>
      <c r="G83" s="859">
        <f t="shared" si="59"/>
        <v>4186600</v>
      </c>
      <c r="H83" s="859">
        <f t="shared" si="59"/>
        <v>201540</v>
      </c>
      <c r="I83" s="859">
        <f t="shared" si="59"/>
        <v>0</v>
      </c>
      <c r="J83" s="859">
        <f>L83+O83</f>
        <v>24640518</v>
      </c>
      <c r="K83" s="859">
        <f t="shared" ref="K83:O83" si="60">K84+K86+K99</f>
        <v>24618518</v>
      </c>
      <c r="L83" s="859">
        <f t="shared" si="60"/>
        <v>22000</v>
      </c>
      <c r="M83" s="859">
        <f t="shared" si="60"/>
        <v>0</v>
      </c>
      <c r="N83" s="859">
        <f t="shared" si="60"/>
        <v>0</v>
      </c>
      <c r="O83" s="859">
        <f t="shared" si="60"/>
        <v>24618518</v>
      </c>
      <c r="P83" s="859">
        <f t="shared" ref="P83:P105" si="61">E83+J83</f>
        <v>104401370</v>
      </c>
      <c r="Q83" s="124" t="b">
        <f>P83=P85+P87+P88+P89+P90+P91+P93+P95+P97+P98+P104+P102</f>
        <v>1</v>
      </c>
      <c r="R83" s="124" t="b">
        <f>K83='d6'!J94</f>
        <v>0</v>
      </c>
    </row>
    <row r="84" spans="1:19" ht="47.25" thickTop="1" thickBot="1" x14ac:dyDescent="0.25">
      <c r="A84" s="455" t="s">
        <v>872</v>
      </c>
      <c r="B84" s="455" t="s">
        <v>843</v>
      </c>
      <c r="C84" s="455"/>
      <c r="D84" s="455" t="s">
        <v>844</v>
      </c>
      <c r="E84" s="894">
        <f>SUM(E85)</f>
        <v>2447825</v>
      </c>
      <c r="F84" s="894">
        <f t="shared" ref="F84:O84" si="62">SUM(F85)</f>
        <v>2447825</v>
      </c>
      <c r="G84" s="894">
        <f t="shared" si="62"/>
        <v>1821600</v>
      </c>
      <c r="H84" s="894">
        <f t="shared" si="62"/>
        <v>110635</v>
      </c>
      <c r="I84" s="894">
        <f t="shared" si="62"/>
        <v>0</v>
      </c>
      <c r="J84" s="894">
        <f t="shared" si="62"/>
        <v>0</v>
      </c>
      <c r="K84" s="894">
        <f t="shared" si="62"/>
        <v>0</v>
      </c>
      <c r="L84" s="894">
        <f t="shared" si="62"/>
        <v>0</v>
      </c>
      <c r="M84" s="894">
        <f t="shared" si="62"/>
        <v>0</v>
      </c>
      <c r="N84" s="894">
        <f t="shared" si="62"/>
        <v>0</v>
      </c>
      <c r="O84" s="894">
        <f t="shared" si="62"/>
        <v>0</v>
      </c>
      <c r="P84" s="894">
        <f>SUM(P85)</f>
        <v>2447825</v>
      </c>
      <c r="Q84" s="124"/>
      <c r="R84" s="124"/>
    </row>
    <row r="85" spans="1:19" ht="230.25" thickTop="1" thickBot="1" x14ac:dyDescent="0.25">
      <c r="A85" s="893" t="s">
        <v>444</v>
      </c>
      <c r="B85" s="893" t="s">
        <v>254</v>
      </c>
      <c r="C85" s="893" t="s">
        <v>252</v>
      </c>
      <c r="D85" s="893" t="s">
        <v>253</v>
      </c>
      <c r="E85" s="894">
        <f>F85</f>
        <v>2447825</v>
      </c>
      <c r="F85" s="313">
        <f>(1821600+400750+56870+45495+11375+110635+1100)</f>
        <v>2447825</v>
      </c>
      <c r="G85" s="313">
        <f>(1821600)</f>
        <v>1821600</v>
      </c>
      <c r="H85" s="313">
        <f>(1900+27000+81735)</f>
        <v>110635</v>
      </c>
      <c r="I85" s="313"/>
      <c r="J85" s="894">
        <f t="shared" ref="J85:J105" si="63">L85+O85</f>
        <v>0</v>
      </c>
      <c r="K85" s="894"/>
      <c r="L85" s="894"/>
      <c r="M85" s="894"/>
      <c r="N85" s="894"/>
      <c r="O85" s="896">
        <f>K85</f>
        <v>0</v>
      </c>
      <c r="P85" s="894">
        <f t="shared" si="61"/>
        <v>2447825</v>
      </c>
      <c r="Q85" s="196"/>
      <c r="R85" s="196"/>
    </row>
    <row r="86" spans="1:19" ht="47.25" thickTop="1" thickBot="1" x14ac:dyDescent="0.25">
      <c r="A86" s="455" t="s">
        <v>873</v>
      </c>
      <c r="B86" s="455" t="s">
        <v>874</v>
      </c>
      <c r="C86" s="455"/>
      <c r="D86" s="455" t="s">
        <v>875</v>
      </c>
      <c r="E86" s="894">
        <f>SUM(E87:E98)-E92-E94-E96</f>
        <v>77313027</v>
      </c>
      <c r="F86" s="894">
        <f t="shared" ref="F86:P86" si="64">SUM(F87:F98)-F92-F94-F96</f>
        <v>77313027</v>
      </c>
      <c r="G86" s="894">
        <f t="shared" si="64"/>
        <v>2365000</v>
      </c>
      <c r="H86" s="894">
        <f t="shared" si="64"/>
        <v>90905</v>
      </c>
      <c r="I86" s="894">
        <f t="shared" si="64"/>
        <v>0</v>
      </c>
      <c r="J86" s="894">
        <f t="shared" si="64"/>
        <v>22000</v>
      </c>
      <c r="K86" s="894">
        <f t="shared" si="64"/>
        <v>0</v>
      </c>
      <c r="L86" s="894">
        <f t="shared" si="64"/>
        <v>22000</v>
      </c>
      <c r="M86" s="894">
        <f t="shared" si="64"/>
        <v>0</v>
      </c>
      <c r="N86" s="894">
        <f t="shared" si="64"/>
        <v>0</v>
      </c>
      <c r="O86" s="894">
        <f t="shared" si="64"/>
        <v>0</v>
      </c>
      <c r="P86" s="894">
        <f t="shared" si="64"/>
        <v>77335027</v>
      </c>
      <c r="Q86" s="196"/>
      <c r="R86" s="196"/>
    </row>
    <row r="87" spans="1:19" ht="93" thickTop="1" thickBot="1" x14ac:dyDescent="0.25">
      <c r="A87" s="893" t="s">
        <v>232</v>
      </c>
      <c r="B87" s="893" t="s">
        <v>229</v>
      </c>
      <c r="C87" s="893" t="s">
        <v>233</v>
      </c>
      <c r="D87" s="893" t="s">
        <v>19</v>
      </c>
      <c r="E87" s="894">
        <f>F87</f>
        <v>15249455</v>
      </c>
      <c r="F87" s="313">
        <f>(14263455+200000+78000)+508000+200000</f>
        <v>15249455</v>
      </c>
      <c r="G87" s="313"/>
      <c r="H87" s="313"/>
      <c r="I87" s="313"/>
      <c r="J87" s="894">
        <f t="shared" si="63"/>
        <v>0</v>
      </c>
      <c r="K87" s="313"/>
      <c r="L87" s="313"/>
      <c r="M87" s="313"/>
      <c r="N87" s="313"/>
      <c r="O87" s="896">
        <f>K87</f>
        <v>0</v>
      </c>
      <c r="P87" s="894">
        <f t="shared" si="61"/>
        <v>15249455</v>
      </c>
      <c r="R87" s="191"/>
    </row>
    <row r="88" spans="1:19" ht="93" thickTop="1" thickBot="1" x14ac:dyDescent="0.25">
      <c r="A88" s="893" t="s">
        <v>552</v>
      </c>
      <c r="B88" s="893" t="s">
        <v>555</v>
      </c>
      <c r="C88" s="893" t="s">
        <v>554</v>
      </c>
      <c r="D88" s="893" t="s">
        <v>553</v>
      </c>
      <c r="E88" s="894">
        <f>F88</f>
        <v>7747407</v>
      </c>
      <c r="F88" s="313">
        <f>((6277220+100000+165100)+122207+973902)+58283+50695</f>
        <v>7747407</v>
      </c>
      <c r="G88" s="313"/>
      <c r="H88" s="313"/>
      <c r="I88" s="313"/>
      <c r="J88" s="894">
        <f t="shared" si="63"/>
        <v>0</v>
      </c>
      <c r="K88" s="313"/>
      <c r="L88" s="313"/>
      <c r="M88" s="313"/>
      <c r="N88" s="313"/>
      <c r="O88" s="896"/>
      <c r="P88" s="894">
        <f t="shared" si="61"/>
        <v>7747407</v>
      </c>
      <c r="R88" s="196"/>
    </row>
    <row r="89" spans="1:19" ht="138.75" thickTop="1" thickBot="1" x14ac:dyDescent="0.25">
      <c r="A89" s="893" t="s">
        <v>234</v>
      </c>
      <c r="B89" s="893" t="s">
        <v>235</v>
      </c>
      <c r="C89" s="893" t="s">
        <v>236</v>
      </c>
      <c r="D89" s="893" t="s">
        <v>237</v>
      </c>
      <c r="E89" s="894">
        <f t="shared" ref="E89:E105" si="65">F89</f>
        <v>5291200</v>
      </c>
      <c r="F89" s="313">
        <f>(4320000+100000+31200)+840000</f>
        <v>5291200</v>
      </c>
      <c r="G89" s="313"/>
      <c r="H89" s="313"/>
      <c r="I89" s="313"/>
      <c r="J89" s="894">
        <f t="shared" si="63"/>
        <v>0</v>
      </c>
      <c r="K89" s="313"/>
      <c r="L89" s="313"/>
      <c r="M89" s="313"/>
      <c r="N89" s="313"/>
      <c r="O89" s="896">
        <f>K89</f>
        <v>0</v>
      </c>
      <c r="P89" s="894">
        <f t="shared" si="61"/>
        <v>5291200</v>
      </c>
      <c r="R89" s="196"/>
    </row>
    <row r="90" spans="1:19" ht="138.75" thickTop="1" thickBot="1" x14ac:dyDescent="0.25">
      <c r="A90" s="893" t="s">
        <v>238</v>
      </c>
      <c r="B90" s="893" t="s">
        <v>239</v>
      </c>
      <c r="C90" s="893" t="s">
        <v>240</v>
      </c>
      <c r="D90" s="893" t="s">
        <v>371</v>
      </c>
      <c r="E90" s="894">
        <f t="shared" si="65"/>
        <v>10996090</v>
      </c>
      <c r="F90" s="313">
        <f>((7180650+300000+100000+9100)+748920+336950+50000+265000+705470)+1200000+600000-500000</f>
        <v>10996090</v>
      </c>
      <c r="G90" s="313"/>
      <c r="H90" s="313"/>
      <c r="I90" s="313"/>
      <c r="J90" s="894">
        <f t="shared" si="63"/>
        <v>0</v>
      </c>
      <c r="K90" s="313"/>
      <c r="L90" s="313"/>
      <c r="M90" s="313"/>
      <c r="N90" s="313"/>
      <c r="O90" s="896">
        <f>K90</f>
        <v>0</v>
      </c>
      <c r="P90" s="894">
        <f t="shared" si="61"/>
        <v>10996090</v>
      </c>
      <c r="R90" s="196"/>
    </row>
    <row r="91" spans="1:19" ht="93" thickTop="1" thickBot="1" x14ac:dyDescent="0.25">
      <c r="A91" s="893" t="s">
        <v>241</v>
      </c>
      <c r="B91" s="893" t="s">
        <v>242</v>
      </c>
      <c r="C91" s="893" t="s">
        <v>243</v>
      </c>
      <c r="D91" s="893" t="s">
        <v>244</v>
      </c>
      <c r="E91" s="894">
        <f t="shared" si="65"/>
        <v>6881935</v>
      </c>
      <c r="F91" s="313">
        <v>6881935</v>
      </c>
      <c r="G91" s="313"/>
      <c r="H91" s="313"/>
      <c r="I91" s="313"/>
      <c r="J91" s="894">
        <f t="shared" si="63"/>
        <v>0</v>
      </c>
      <c r="K91" s="313"/>
      <c r="L91" s="313"/>
      <c r="M91" s="313"/>
      <c r="N91" s="313"/>
      <c r="O91" s="896">
        <f>K91</f>
        <v>0</v>
      </c>
      <c r="P91" s="894">
        <f t="shared" si="61"/>
        <v>6881935</v>
      </c>
      <c r="R91" s="196"/>
    </row>
    <row r="92" spans="1:19" ht="93" thickTop="1" thickBot="1" x14ac:dyDescent="0.25">
      <c r="A92" s="365" t="s">
        <v>876</v>
      </c>
      <c r="B92" s="365" t="s">
        <v>877</v>
      </c>
      <c r="C92" s="365"/>
      <c r="D92" s="365" t="s">
        <v>878</v>
      </c>
      <c r="E92" s="367">
        <f>E93</f>
        <v>10247515</v>
      </c>
      <c r="F92" s="367">
        <f t="shared" ref="F92:P92" si="66">F93</f>
        <v>10247515</v>
      </c>
      <c r="G92" s="367">
        <f t="shared" si="66"/>
        <v>0</v>
      </c>
      <c r="H92" s="367">
        <f t="shared" si="66"/>
        <v>0</v>
      </c>
      <c r="I92" s="367">
        <f t="shared" si="66"/>
        <v>0</v>
      </c>
      <c r="J92" s="367">
        <f t="shared" si="66"/>
        <v>0</v>
      </c>
      <c r="K92" s="367">
        <f t="shared" si="66"/>
        <v>0</v>
      </c>
      <c r="L92" s="367">
        <f t="shared" si="66"/>
        <v>0</v>
      </c>
      <c r="M92" s="367">
        <f t="shared" si="66"/>
        <v>0</v>
      </c>
      <c r="N92" s="367">
        <f t="shared" si="66"/>
        <v>0</v>
      </c>
      <c r="O92" s="367">
        <f t="shared" si="66"/>
        <v>0</v>
      </c>
      <c r="P92" s="367">
        <f t="shared" si="66"/>
        <v>10247515</v>
      </c>
      <c r="R92" s="196"/>
    </row>
    <row r="93" spans="1:19" ht="184.5" thickTop="1" thickBot="1" x14ac:dyDescent="0.25">
      <c r="A93" s="893" t="s">
        <v>245</v>
      </c>
      <c r="B93" s="893" t="s">
        <v>246</v>
      </c>
      <c r="C93" s="893" t="s">
        <v>372</v>
      </c>
      <c r="D93" s="893" t="s">
        <v>247</v>
      </c>
      <c r="E93" s="894">
        <f t="shared" si="65"/>
        <v>10247515</v>
      </c>
      <c r="F93" s="313">
        <f>(10788065+359450)-300000-100000-500000</f>
        <v>10247515</v>
      </c>
      <c r="G93" s="313"/>
      <c r="H93" s="313"/>
      <c r="I93" s="313"/>
      <c r="J93" s="894">
        <f t="shared" si="63"/>
        <v>0</v>
      </c>
      <c r="K93" s="313"/>
      <c r="L93" s="313"/>
      <c r="M93" s="313"/>
      <c r="N93" s="313"/>
      <c r="O93" s="896">
        <f t="shared" ref="O93:O105" si="67">K93</f>
        <v>0</v>
      </c>
      <c r="P93" s="894">
        <f t="shared" si="61"/>
        <v>10247515</v>
      </c>
      <c r="R93" s="196"/>
    </row>
    <row r="94" spans="1:19" ht="138.75" thickTop="1" thickBot="1" x14ac:dyDescent="0.25">
      <c r="A94" s="365" t="s">
        <v>879</v>
      </c>
      <c r="B94" s="365" t="s">
        <v>880</v>
      </c>
      <c r="C94" s="365"/>
      <c r="D94" s="365" t="s">
        <v>881</v>
      </c>
      <c r="E94" s="367">
        <f>E95</f>
        <v>14254000</v>
      </c>
      <c r="F94" s="367">
        <f t="shared" ref="F94:P94" si="68">F95</f>
        <v>14254000</v>
      </c>
      <c r="G94" s="367">
        <f t="shared" si="68"/>
        <v>0</v>
      </c>
      <c r="H94" s="367">
        <f t="shared" si="68"/>
        <v>0</v>
      </c>
      <c r="I94" s="367">
        <f t="shared" si="68"/>
        <v>0</v>
      </c>
      <c r="J94" s="367">
        <f t="shared" si="68"/>
        <v>0</v>
      </c>
      <c r="K94" s="367">
        <f t="shared" si="68"/>
        <v>0</v>
      </c>
      <c r="L94" s="367">
        <f t="shared" si="68"/>
        <v>0</v>
      </c>
      <c r="M94" s="367">
        <f t="shared" si="68"/>
        <v>0</v>
      </c>
      <c r="N94" s="367">
        <f t="shared" si="68"/>
        <v>0</v>
      </c>
      <c r="O94" s="367">
        <f t="shared" si="68"/>
        <v>0</v>
      </c>
      <c r="P94" s="367">
        <f t="shared" si="68"/>
        <v>14254000</v>
      </c>
      <c r="R94" s="196"/>
    </row>
    <row r="95" spans="1:19" ht="138.75" thickTop="1" thickBot="1" x14ac:dyDescent="0.25">
      <c r="A95" s="893" t="s">
        <v>519</v>
      </c>
      <c r="B95" s="893" t="s">
        <v>520</v>
      </c>
      <c r="C95" s="893" t="s">
        <v>248</v>
      </c>
      <c r="D95" s="893" t="s">
        <v>521</v>
      </c>
      <c r="E95" s="894">
        <f t="shared" si="65"/>
        <v>14254000</v>
      </c>
      <c r="F95" s="313">
        <f>((9137200)+334400)+4782400</f>
        <v>14254000</v>
      </c>
      <c r="G95" s="313"/>
      <c r="H95" s="313"/>
      <c r="I95" s="313"/>
      <c r="J95" s="894">
        <f t="shared" si="63"/>
        <v>0</v>
      </c>
      <c r="K95" s="313"/>
      <c r="L95" s="313"/>
      <c r="M95" s="313"/>
      <c r="N95" s="313"/>
      <c r="O95" s="896">
        <f t="shared" si="67"/>
        <v>0</v>
      </c>
      <c r="P95" s="894">
        <f t="shared" si="61"/>
        <v>14254000</v>
      </c>
      <c r="R95" s="196"/>
    </row>
    <row r="96" spans="1:19" ht="138.75" thickTop="1" thickBot="1" x14ac:dyDescent="0.25">
      <c r="A96" s="365" t="s">
        <v>882</v>
      </c>
      <c r="B96" s="365" t="s">
        <v>883</v>
      </c>
      <c r="C96" s="365"/>
      <c r="D96" s="365" t="s">
        <v>884</v>
      </c>
      <c r="E96" s="367">
        <f>SUM(E97:E98)</f>
        <v>6645425</v>
      </c>
      <c r="F96" s="367">
        <f t="shared" ref="F96:P96" si="69">SUM(F97:F98)</f>
        <v>6645425</v>
      </c>
      <c r="G96" s="367">
        <f t="shared" si="69"/>
        <v>2365000</v>
      </c>
      <c r="H96" s="367">
        <f t="shared" si="69"/>
        <v>90905</v>
      </c>
      <c r="I96" s="367">
        <f t="shared" si="69"/>
        <v>0</v>
      </c>
      <c r="J96" s="367">
        <f t="shared" si="69"/>
        <v>22000</v>
      </c>
      <c r="K96" s="367">
        <f t="shared" si="69"/>
        <v>0</v>
      </c>
      <c r="L96" s="367">
        <f t="shared" si="69"/>
        <v>22000</v>
      </c>
      <c r="M96" s="367">
        <f t="shared" si="69"/>
        <v>0</v>
      </c>
      <c r="N96" s="367">
        <f t="shared" si="69"/>
        <v>0</v>
      </c>
      <c r="O96" s="367">
        <f t="shared" si="69"/>
        <v>0</v>
      </c>
      <c r="P96" s="367">
        <f t="shared" si="69"/>
        <v>6667425</v>
      </c>
      <c r="R96" s="196"/>
    </row>
    <row r="97" spans="1:20" s="39" customFormat="1" ht="138.75" thickTop="1" thickBot="1" x14ac:dyDescent="0.25">
      <c r="A97" s="893" t="s">
        <v>346</v>
      </c>
      <c r="B97" s="893" t="s">
        <v>348</v>
      </c>
      <c r="C97" s="893" t="s">
        <v>248</v>
      </c>
      <c r="D97" s="337" t="s">
        <v>344</v>
      </c>
      <c r="E97" s="894">
        <f t="shared" si="65"/>
        <v>3229425</v>
      </c>
      <c r="F97" s="313">
        <f>(2365000+520300+93000+157000+3220+90905)</f>
        <v>3229425</v>
      </c>
      <c r="G97" s="313">
        <f>(2365000)</f>
        <v>2365000</v>
      </c>
      <c r="H97" s="313">
        <f>(1900+22650+55260+11095)</f>
        <v>90905</v>
      </c>
      <c r="I97" s="313"/>
      <c r="J97" s="894">
        <f t="shared" si="63"/>
        <v>22000</v>
      </c>
      <c r="K97" s="313"/>
      <c r="L97" s="313">
        <v>22000</v>
      </c>
      <c r="M97" s="313"/>
      <c r="N97" s="313"/>
      <c r="O97" s="896">
        <f t="shared" si="67"/>
        <v>0</v>
      </c>
      <c r="P97" s="894">
        <f t="shared" si="61"/>
        <v>3251425</v>
      </c>
      <c r="Q97" s="194"/>
      <c r="R97" s="196"/>
    </row>
    <row r="98" spans="1:20" s="39" customFormat="1" ht="93" thickTop="1" thickBot="1" x14ac:dyDescent="0.25">
      <c r="A98" s="893" t="s">
        <v>347</v>
      </c>
      <c r="B98" s="893" t="s">
        <v>349</v>
      </c>
      <c r="C98" s="893" t="s">
        <v>248</v>
      </c>
      <c r="D98" s="337" t="s">
        <v>345</v>
      </c>
      <c r="E98" s="894">
        <f t="shared" si="65"/>
        <v>3416000</v>
      </c>
      <c r="F98" s="313">
        <f>(3016000)+400000</f>
        <v>3416000</v>
      </c>
      <c r="G98" s="313"/>
      <c r="H98" s="313"/>
      <c r="I98" s="313"/>
      <c r="J98" s="894">
        <f t="shared" si="63"/>
        <v>0</v>
      </c>
      <c r="K98" s="313"/>
      <c r="L98" s="313"/>
      <c r="M98" s="313"/>
      <c r="N98" s="313"/>
      <c r="O98" s="896">
        <f t="shared" si="67"/>
        <v>0</v>
      </c>
      <c r="P98" s="894">
        <f t="shared" si="61"/>
        <v>3416000</v>
      </c>
      <c r="Q98" s="194"/>
      <c r="R98" s="196"/>
    </row>
    <row r="99" spans="1:20" s="39" customFormat="1" ht="47.25" thickTop="1" thickBot="1" x14ac:dyDescent="0.25">
      <c r="A99" s="455" t="s">
        <v>910</v>
      </c>
      <c r="B99" s="454" t="s">
        <v>908</v>
      </c>
      <c r="C99" s="454"/>
      <c r="D99" s="454" t="s">
        <v>909</v>
      </c>
      <c r="E99" s="894">
        <f>SUM(E103)+E100</f>
        <v>0</v>
      </c>
      <c r="F99" s="894">
        <f t="shared" ref="F99:P99" si="70">SUM(F103)+F100</f>
        <v>0</v>
      </c>
      <c r="G99" s="894">
        <f t="shared" si="70"/>
        <v>0</v>
      </c>
      <c r="H99" s="894">
        <f t="shared" si="70"/>
        <v>0</v>
      </c>
      <c r="I99" s="894">
        <f t="shared" si="70"/>
        <v>0</v>
      </c>
      <c r="J99" s="894">
        <f t="shared" si="70"/>
        <v>24618518</v>
      </c>
      <c r="K99" s="894">
        <f t="shared" si="70"/>
        <v>24618518</v>
      </c>
      <c r="L99" s="894">
        <f t="shared" si="70"/>
        <v>0</v>
      </c>
      <c r="M99" s="894">
        <f t="shared" si="70"/>
        <v>0</v>
      </c>
      <c r="N99" s="894">
        <f t="shared" si="70"/>
        <v>0</v>
      </c>
      <c r="O99" s="894">
        <f t="shared" si="70"/>
        <v>24618518</v>
      </c>
      <c r="P99" s="894">
        <f t="shared" si="70"/>
        <v>24618518</v>
      </c>
      <c r="Q99" s="194"/>
      <c r="R99" s="196"/>
    </row>
    <row r="100" spans="1:20" s="39" customFormat="1" ht="91.5" thickTop="1" thickBot="1" x14ac:dyDescent="0.25">
      <c r="A100" s="404" t="s">
        <v>1407</v>
      </c>
      <c r="B100" s="404" t="s">
        <v>964</v>
      </c>
      <c r="C100" s="404"/>
      <c r="D100" s="404" t="s">
        <v>965</v>
      </c>
      <c r="E100" s="366">
        <f>E101</f>
        <v>0</v>
      </c>
      <c r="F100" s="366">
        <f t="shared" ref="F100:P101" si="71">F101</f>
        <v>0</v>
      </c>
      <c r="G100" s="366">
        <f t="shared" si="71"/>
        <v>0</v>
      </c>
      <c r="H100" s="366">
        <f t="shared" si="71"/>
        <v>0</v>
      </c>
      <c r="I100" s="366">
        <f t="shared" si="71"/>
        <v>0</v>
      </c>
      <c r="J100" s="366">
        <f t="shared" si="71"/>
        <v>2990000</v>
      </c>
      <c r="K100" s="366">
        <f t="shared" si="71"/>
        <v>2990000</v>
      </c>
      <c r="L100" s="366">
        <f t="shared" si="71"/>
        <v>0</v>
      </c>
      <c r="M100" s="366">
        <f t="shared" si="71"/>
        <v>0</v>
      </c>
      <c r="N100" s="366">
        <f t="shared" si="71"/>
        <v>0</v>
      </c>
      <c r="O100" s="366">
        <f t="shared" si="71"/>
        <v>2990000</v>
      </c>
      <c r="P100" s="366">
        <f t="shared" si="71"/>
        <v>2990000</v>
      </c>
      <c r="Q100" s="194"/>
      <c r="R100" s="196"/>
    </row>
    <row r="101" spans="1:20" s="39" customFormat="1" ht="93" thickTop="1" thickBot="1" x14ac:dyDescent="0.25">
      <c r="A101" s="365" t="s">
        <v>1408</v>
      </c>
      <c r="B101" s="365" t="s">
        <v>1406</v>
      </c>
      <c r="C101" s="365"/>
      <c r="D101" s="365" t="s">
        <v>1405</v>
      </c>
      <c r="E101" s="367">
        <f>E102</f>
        <v>0</v>
      </c>
      <c r="F101" s="367">
        <f t="shared" si="71"/>
        <v>0</v>
      </c>
      <c r="G101" s="367">
        <f t="shared" si="71"/>
        <v>0</v>
      </c>
      <c r="H101" s="367">
        <f t="shared" si="71"/>
        <v>0</v>
      </c>
      <c r="I101" s="367">
        <f t="shared" si="71"/>
        <v>0</v>
      </c>
      <c r="J101" s="367">
        <f t="shared" si="71"/>
        <v>2990000</v>
      </c>
      <c r="K101" s="367">
        <f t="shared" si="71"/>
        <v>2990000</v>
      </c>
      <c r="L101" s="367">
        <f t="shared" si="71"/>
        <v>0</v>
      </c>
      <c r="M101" s="367">
        <f t="shared" si="71"/>
        <v>0</v>
      </c>
      <c r="N101" s="367">
        <f t="shared" si="71"/>
        <v>0</v>
      </c>
      <c r="O101" s="367">
        <f t="shared" si="71"/>
        <v>2990000</v>
      </c>
      <c r="P101" s="367">
        <f t="shared" si="71"/>
        <v>2990000</v>
      </c>
      <c r="Q101" s="194"/>
      <c r="R101" s="196"/>
    </row>
    <row r="102" spans="1:20" s="39" customFormat="1" ht="230.25" thickTop="1" thickBot="1" x14ac:dyDescent="0.25">
      <c r="A102" s="893" t="s">
        <v>1409</v>
      </c>
      <c r="B102" s="893" t="s">
        <v>1410</v>
      </c>
      <c r="C102" s="893" t="s">
        <v>184</v>
      </c>
      <c r="D102" s="893" t="s">
        <v>1411</v>
      </c>
      <c r="E102" s="894">
        <f t="shared" si="65"/>
        <v>0</v>
      </c>
      <c r="F102" s="313"/>
      <c r="G102" s="313"/>
      <c r="H102" s="313"/>
      <c r="I102" s="313"/>
      <c r="J102" s="894">
        <f t="shared" si="63"/>
        <v>2990000</v>
      </c>
      <c r="K102" s="313">
        <v>2990000</v>
      </c>
      <c r="L102" s="313"/>
      <c r="M102" s="313"/>
      <c r="N102" s="313"/>
      <c r="O102" s="896">
        <f>K102</f>
        <v>2990000</v>
      </c>
      <c r="P102" s="894">
        <f t="shared" si="61"/>
        <v>2990000</v>
      </c>
      <c r="Q102" s="194"/>
      <c r="R102" s="124" t="b">
        <f>K102='d6'!J97+'d6'!J98+'d6'!J99</f>
        <v>1</v>
      </c>
    </row>
    <row r="103" spans="1:20" s="402" customFormat="1" ht="136.5" thickTop="1" thickBot="1" x14ac:dyDescent="0.25">
      <c r="A103" s="404" t="s">
        <v>885</v>
      </c>
      <c r="B103" s="404" t="s">
        <v>850</v>
      </c>
      <c r="C103" s="404"/>
      <c r="D103" s="404" t="s">
        <v>848</v>
      </c>
      <c r="E103" s="366">
        <f>SUM(E104)</f>
        <v>0</v>
      </c>
      <c r="F103" s="366">
        <f t="shared" ref="F103:P103" si="72">SUM(F104)</f>
        <v>0</v>
      </c>
      <c r="G103" s="366">
        <f t="shared" si="72"/>
        <v>0</v>
      </c>
      <c r="H103" s="366">
        <f t="shared" si="72"/>
        <v>0</v>
      </c>
      <c r="I103" s="366">
        <f t="shared" si="72"/>
        <v>0</v>
      </c>
      <c r="J103" s="366">
        <f t="shared" si="72"/>
        <v>21628518</v>
      </c>
      <c r="K103" s="366">
        <f t="shared" si="72"/>
        <v>21628518</v>
      </c>
      <c r="L103" s="366">
        <f t="shared" si="72"/>
        <v>0</v>
      </c>
      <c r="M103" s="366">
        <f t="shared" si="72"/>
        <v>0</v>
      </c>
      <c r="N103" s="366">
        <f t="shared" si="72"/>
        <v>0</v>
      </c>
      <c r="O103" s="366">
        <f t="shared" si="72"/>
        <v>21628518</v>
      </c>
      <c r="P103" s="366">
        <f t="shared" si="72"/>
        <v>21628518</v>
      </c>
      <c r="Q103" s="407"/>
      <c r="R103" s="410"/>
    </row>
    <row r="104" spans="1:20" s="39" customFormat="1" ht="93" thickTop="1" thickBot="1" x14ac:dyDescent="0.25">
      <c r="A104" s="893" t="s">
        <v>466</v>
      </c>
      <c r="B104" s="893" t="s">
        <v>215</v>
      </c>
      <c r="C104" s="893" t="s">
        <v>184</v>
      </c>
      <c r="D104" s="893" t="s">
        <v>36</v>
      </c>
      <c r="E104" s="894">
        <f t="shared" si="65"/>
        <v>0</v>
      </c>
      <c r="F104" s="313"/>
      <c r="G104" s="313"/>
      <c r="H104" s="313"/>
      <c r="I104" s="313"/>
      <c r="J104" s="894">
        <f t="shared" si="63"/>
        <v>21628518</v>
      </c>
      <c r="K104" s="313">
        <f>((5413599+372664+500000+500000+201012+437500)+800000+355048+952000-100000+6800000)+5396695</f>
        <v>21628518</v>
      </c>
      <c r="L104" s="313"/>
      <c r="M104" s="313"/>
      <c r="N104" s="313"/>
      <c r="O104" s="896">
        <f t="shared" si="67"/>
        <v>21628518</v>
      </c>
      <c r="P104" s="894">
        <f t="shared" si="61"/>
        <v>21628518</v>
      </c>
      <c r="Q104" s="194"/>
      <c r="R104" s="124" t="b">
        <f>K104='d6'!J100+'d6'!J101+'d6'!J102+'d6'!J103+'d6'!J104+'d6'!J105+'d6'!J106+'d6'!J107+'d6'!J108+'d6'!J109+'d6'!J110+'d6'!J111+'d6'!J112+'d6'!J113+'d6'!J114+'d6'!J115</f>
        <v>0</v>
      </c>
    </row>
    <row r="105" spans="1:20" s="39" customFormat="1" ht="93" hidden="1" thickTop="1" thickBot="1" x14ac:dyDescent="0.25">
      <c r="A105" s="156" t="s">
        <v>556</v>
      </c>
      <c r="B105" s="156" t="s">
        <v>389</v>
      </c>
      <c r="C105" s="156" t="s">
        <v>45</v>
      </c>
      <c r="D105" s="156" t="s">
        <v>390</v>
      </c>
      <c r="E105" s="155">
        <f t="shared" si="65"/>
        <v>0</v>
      </c>
      <c r="F105" s="157"/>
      <c r="G105" s="157"/>
      <c r="H105" s="157"/>
      <c r="I105" s="157"/>
      <c r="J105" s="840">
        <f t="shared" si="63"/>
        <v>0</v>
      </c>
      <c r="K105" s="841"/>
      <c r="L105" s="841"/>
      <c r="M105" s="841"/>
      <c r="N105" s="841"/>
      <c r="O105" s="842">
        <f t="shared" si="67"/>
        <v>0</v>
      </c>
      <c r="P105" s="840">
        <f t="shared" si="61"/>
        <v>0</v>
      </c>
      <c r="Q105" s="194"/>
      <c r="R105" s="191"/>
    </row>
    <row r="106" spans="1:20" ht="226.5" thickTop="1" thickBot="1" x14ac:dyDescent="0.25">
      <c r="A106" s="853" t="s">
        <v>170</v>
      </c>
      <c r="B106" s="853"/>
      <c r="C106" s="853"/>
      <c r="D106" s="854" t="s">
        <v>39</v>
      </c>
      <c r="E106" s="855">
        <f>E107</f>
        <v>207864834</v>
      </c>
      <c r="F106" s="856">
        <f t="shared" ref="F106:G106" si="73">F107</f>
        <v>207864834</v>
      </c>
      <c r="G106" s="856">
        <f t="shared" si="73"/>
        <v>68381820</v>
      </c>
      <c r="H106" s="856">
        <f>H107</f>
        <v>2088707</v>
      </c>
      <c r="I106" s="856">
        <f t="shared" ref="I106" si="74">I107</f>
        <v>0</v>
      </c>
      <c r="J106" s="855">
        <f>J107</f>
        <v>29508636.309999999</v>
      </c>
      <c r="K106" s="856">
        <f>K107</f>
        <v>28891636.309999999</v>
      </c>
      <c r="L106" s="856">
        <f>L107</f>
        <v>617000</v>
      </c>
      <c r="M106" s="856">
        <f t="shared" ref="M106" si="75">M107</f>
        <v>104000</v>
      </c>
      <c r="N106" s="856">
        <f>N107</f>
        <v>137000</v>
      </c>
      <c r="O106" s="855">
        <f>O107</f>
        <v>28891636.309999999</v>
      </c>
      <c r="P106" s="856">
        <f>P107</f>
        <v>237373470.31</v>
      </c>
    </row>
    <row r="107" spans="1:20" ht="226.5" thickTop="1" thickBot="1" x14ac:dyDescent="0.25">
      <c r="A107" s="857" t="s">
        <v>171</v>
      </c>
      <c r="B107" s="857"/>
      <c r="C107" s="857"/>
      <c r="D107" s="858" t="s">
        <v>40</v>
      </c>
      <c r="E107" s="859">
        <f>E108+E112+E151+E155</f>
        <v>207864834</v>
      </c>
      <c r="F107" s="859">
        <f>F108+F112+F151+F155</f>
        <v>207864834</v>
      </c>
      <c r="G107" s="859">
        <f>G108+G112+G151+G155</f>
        <v>68381820</v>
      </c>
      <c r="H107" s="859">
        <f>H108+H112+H151+H155</f>
        <v>2088707</v>
      </c>
      <c r="I107" s="859">
        <f>I108+I112+I151+I155</f>
        <v>0</v>
      </c>
      <c r="J107" s="859">
        <f t="shared" ref="J107:J133" si="76">L107+O107</f>
        <v>29508636.309999999</v>
      </c>
      <c r="K107" s="859">
        <f>K108+K112+K151+K155</f>
        <v>28891636.309999999</v>
      </c>
      <c r="L107" s="859">
        <f>L108+L112+L151+L155</f>
        <v>617000</v>
      </c>
      <c r="M107" s="859">
        <f>M108+M112+M151+M155</f>
        <v>104000</v>
      </c>
      <c r="N107" s="859">
        <f>N108+N112+N151+N155</f>
        <v>137000</v>
      </c>
      <c r="O107" s="859">
        <f>O108+O112+O151+O155</f>
        <v>28891636.309999999</v>
      </c>
      <c r="P107" s="859">
        <f>E107+J107</f>
        <v>237373470.31</v>
      </c>
      <c r="Q107" s="125" t="b">
        <f>P107=P109+P110+P114+P115+P116+P117+P118+P123+P124+P127+P130+P132+P133+P149+P150+P153+P161+P119+P121+P129+P111+P120+P158+P126+P135+P138+P142+P145+P154</f>
        <v>1</v>
      </c>
      <c r="R107" s="892" t="b">
        <f>K107='d6'!J116</f>
        <v>0</v>
      </c>
      <c r="S107" s="892" t="b">
        <f>P107=P108+P112+P151+P155</f>
        <v>1</v>
      </c>
      <c r="T107" s="125"/>
    </row>
    <row r="108" spans="1:20" ht="47.25" thickTop="1" thickBot="1" x14ac:dyDescent="0.25">
      <c r="A108" s="455" t="s">
        <v>887</v>
      </c>
      <c r="B108" s="455" t="s">
        <v>843</v>
      </c>
      <c r="C108" s="455"/>
      <c r="D108" s="455" t="s">
        <v>844</v>
      </c>
      <c r="E108" s="894">
        <f t="shared" ref="E108:P108" si="77">SUM(E109:E111)</f>
        <v>52483540</v>
      </c>
      <c r="F108" s="894">
        <f t="shared" si="77"/>
        <v>52483540</v>
      </c>
      <c r="G108" s="894">
        <f t="shared" si="77"/>
        <v>38906520</v>
      </c>
      <c r="H108" s="894">
        <f t="shared" si="77"/>
        <v>856085</v>
      </c>
      <c r="I108" s="894">
        <f t="shared" si="77"/>
        <v>0</v>
      </c>
      <c r="J108" s="894">
        <f t="shared" si="77"/>
        <v>1210000</v>
      </c>
      <c r="K108" s="894">
        <f t="shared" si="77"/>
        <v>1210000</v>
      </c>
      <c r="L108" s="894">
        <f t="shared" si="77"/>
        <v>0</v>
      </c>
      <c r="M108" s="894">
        <f t="shared" si="77"/>
        <v>0</v>
      </c>
      <c r="N108" s="894">
        <f t="shared" si="77"/>
        <v>0</v>
      </c>
      <c r="O108" s="894">
        <f t="shared" si="77"/>
        <v>1210000</v>
      </c>
      <c r="P108" s="894">
        <f t="shared" si="77"/>
        <v>53693540</v>
      </c>
      <c r="Q108" s="125"/>
      <c r="R108" s="892"/>
      <c r="T108" s="125"/>
    </row>
    <row r="109" spans="1:20" ht="230.25" thickTop="1" thickBot="1" x14ac:dyDescent="0.25">
      <c r="A109" s="898" t="s">
        <v>443</v>
      </c>
      <c r="B109" s="898" t="s">
        <v>254</v>
      </c>
      <c r="C109" s="898" t="s">
        <v>252</v>
      </c>
      <c r="D109" s="898" t="s">
        <v>253</v>
      </c>
      <c r="E109" s="900">
        <f t="shared" ref="E109:E111" si="78">F109</f>
        <v>52443540</v>
      </c>
      <c r="F109" s="323">
        <f>-49000+((51797540-10000)+205000+300000+200000)</f>
        <v>52443540</v>
      </c>
      <c r="G109" s="323">
        <v>38906520</v>
      </c>
      <c r="H109" s="323">
        <f>(511665+29000+284370+31050)</f>
        <v>856085</v>
      </c>
      <c r="I109" s="323"/>
      <c r="J109" s="894">
        <f t="shared" si="76"/>
        <v>1210000</v>
      </c>
      <c r="K109" s="313">
        <f>49000+((911000)+250000)</f>
        <v>1210000</v>
      </c>
      <c r="L109" s="313"/>
      <c r="M109" s="313"/>
      <c r="N109" s="313"/>
      <c r="O109" s="896">
        <f>K109</f>
        <v>1210000</v>
      </c>
      <c r="P109" s="894">
        <f t="shared" ref="P109:P124" si="79">E109+J109</f>
        <v>53653540</v>
      </c>
      <c r="Q109" s="197"/>
      <c r="R109" s="892" t="b">
        <f>K109='d6'!J118+'d6'!J119</f>
        <v>0</v>
      </c>
      <c r="T109" s="125"/>
    </row>
    <row r="110" spans="1:20" ht="184.5" thickTop="1" thickBot="1" x14ac:dyDescent="0.25">
      <c r="A110" s="893" t="s">
        <v>786</v>
      </c>
      <c r="B110" s="893" t="s">
        <v>388</v>
      </c>
      <c r="C110" s="893" t="s">
        <v>778</v>
      </c>
      <c r="D110" s="893" t="s">
        <v>779</v>
      </c>
      <c r="E110" s="900">
        <f t="shared" si="78"/>
        <v>10000</v>
      </c>
      <c r="F110" s="323">
        <v>10000</v>
      </c>
      <c r="G110" s="323"/>
      <c r="H110" s="323"/>
      <c r="I110" s="323"/>
      <c r="J110" s="894">
        <f t="shared" si="76"/>
        <v>0</v>
      </c>
      <c r="K110" s="313"/>
      <c r="L110" s="313"/>
      <c r="M110" s="313"/>
      <c r="N110" s="313"/>
      <c r="O110" s="896">
        <f>K110</f>
        <v>0</v>
      </c>
      <c r="P110" s="894">
        <f t="shared" si="79"/>
        <v>10000</v>
      </c>
      <c r="Q110" s="197"/>
      <c r="R110" s="892"/>
      <c r="T110" s="125"/>
    </row>
    <row r="111" spans="1:20" ht="93" thickTop="1" thickBot="1" x14ac:dyDescent="0.25">
      <c r="A111" s="897" t="s">
        <v>1136</v>
      </c>
      <c r="B111" s="897" t="s">
        <v>45</v>
      </c>
      <c r="C111" s="897" t="s">
        <v>44</v>
      </c>
      <c r="D111" s="897" t="s">
        <v>266</v>
      </c>
      <c r="E111" s="900">
        <f t="shared" si="78"/>
        <v>30000</v>
      </c>
      <c r="F111" s="323">
        <v>30000</v>
      </c>
      <c r="G111" s="323"/>
      <c r="H111" s="323"/>
      <c r="I111" s="323"/>
      <c r="J111" s="894">
        <f t="shared" si="76"/>
        <v>0</v>
      </c>
      <c r="K111" s="313"/>
      <c r="L111" s="313"/>
      <c r="M111" s="313"/>
      <c r="N111" s="313"/>
      <c r="O111" s="896"/>
      <c r="P111" s="894">
        <f t="shared" si="79"/>
        <v>30000</v>
      </c>
      <c r="Q111" s="197"/>
      <c r="R111" s="892"/>
      <c r="T111" s="125"/>
    </row>
    <row r="112" spans="1:20" ht="91.5" thickTop="1" thickBot="1" x14ac:dyDescent="0.25">
      <c r="A112" s="455" t="s">
        <v>888</v>
      </c>
      <c r="B112" s="455" t="s">
        <v>870</v>
      </c>
      <c r="C112" s="455"/>
      <c r="D112" s="455" t="s">
        <v>871</v>
      </c>
      <c r="E112" s="900">
        <f t="shared" ref="E112:P112" si="80">SUM(E113:E150)-E113-E122-E131-E134-E148-E128-E125</f>
        <v>155381294</v>
      </c>
      <c r="F112" s="900">
        <f t="shared" si="80"/>
        <v>155381294</v>
      </c>
      <c r="G112" s="900">
        <f t="shared" si="80"/>
        <v>29475300</v>
      </c>
      <c r="H112" s="900">
        <f t="shared" si="80"/>
        <v>1232622</v>
      </c>
      <c r="I112" s="900">
        <f t="shared" si="80"/>
        <v>0</v>
      </c>
      <c r="J112" s="900">
        <f t="shared" si="80"/>
        <v>20179602.309999999</v>
      </c>
      <c r="K112" s="900">
        <f t="shared" si="80"/>
        <v>19884602.309999999</v>
      </c>
      <c r="L112" s="900">
        <f t="shared" si="80"/>
        <v>295000</v>
      </c>
      <c r="M112" s="900">
        <f t="shared" si="80"/>
        <v>104000</v>
      </c>
      <c r="N112" s="900">
        <f t="shared" si="80"/>
        <v>137000</v>
      </c>
      <c r="O112" s="900">
        <f t="shared" si="80"/>
        <v>19884602.309999999</v>
      </c>
      <c r="P112" s="900">
        <f t="shared" si="80"/>
        <v>175560896.31</v>
      </c>
      <c r="Q112" s="197"/>
      <c r="R112" s="892"/>
      <c r="T112" s="125"/>
    </row>
    <row r="113" spans="1:20" s="79" customFormat="1" ht="276" thickTop="1" thickBot="1" x14ac:dyDescent="0.25">
      <c r="A113" s="445" t="s">
        <v>889</v>
      </c>
      <c r="B113" s="365" t="s">
        <v>890</v>
      </c>
      <c r="C113" s="365"/>
      <c r="D113" s="365" t="s">
        <v>891</v>
      </c>
      <c r="E113" s="446">
        <f>SUM(E114:E118)</f>
        <v>74624700</v>
      </c>
      <c r="F113" s="446">
        <f t="shared" ref="F113:P113" si="81">SUM(F114:F118)</f>
        <v>74624700</v>
      </c>
      <c r="G113" s="446">
        <f t="shared" si="81"/>
        <v>0</v>
      </c>
      <c r="H113" s="446">
        <f t="shared" si="81"/>
        <v>0</v>
      </c>
      <c r="I113" s="367">
        <f t="shared" si="81"/>
        <v>0</v>
      </c>
      <c r="J113" s="367">
        <f t="shared" si="81"/>
        <v>199000</v>
      </c>
      <c r="K113" s="367">
        <f t="shared" si="81"/>
        <v>199000</v>
      </c>
      <c r="L113" s="367">
        <f t="shared" si="81"/>
        <v>0</v>
      </c>
      <c r="M113" s="367">
        <f t="shared" si="81"/>
        <v>0</v>
      </c>
      <c r="N113" s="367">
        <f t="shared" si="81"/>
        <v>0</v>
      </c>
      <c r="O113" s="367">
        <f t="shared" si="81"/>
        <v>199000</v>
      </c>
      <c r="P113" s="367">
        <f t="shared" si="81"/>
        <v>74823700</v>
      </c>
      <c r="Q113" s="223"/>
      <c r="R113" s="443"/>
      <c r="T113" s="444"/>
    </row>
    <row r="114" spans="1:20" s="39" customFormat="1" ht="138.75" thickTop="1" thickBot="1" x14ac:dyDescent="0.25">
      <c r="A114" s="898" t="s">
        <v>287</v>
      </c>
      <c r="B114" s="898" t="s">
        <v>288</v>
      </c>
      <c r="C114" s="898" t="s">
        <v>223</v>
      </c>
      <c r="D114" s="280" t="s">
        <v>289</v>
      </c>
      <c r="E114" s="900">
        <f>F114</f>
        <v>270000</v>
      </c>
      <c r="F114" s="323">
        <f>(570000)-300000</f>
        <v>270000</v>
      </c>
      <c r="G114" s="323"/>
      <c r="H114" s="323"/>
      <c r="I114" s="313"/>
      <c r="J114" s="894">
        <f t="shared" si="76"/>
        <v>199000</v>
      </c>
      <c r="K114" s="313">
        <v>199000</v>
      </c>
      <c r="L114" s="313"/>
      <c r="M114" s="313"/>
      <c r="N114" s="313"/>
      <c r="O114" s="896">
        <f t="shared" ref="O114:O133" si="82">K114</f>
        <v>199000</v>
      </c>
      <c r="P114" s="894">
        <f t="shared" si="79"/>
        <v>469000</v>
      </c>
      <c r="Q114" s="194"/>
      <c r="R114" s="892" t="b">
        <f>K114='d6'!J120</f>
        <v>0</v>
      </c>
    </row>
    <row r="115" spans="1:20" s="39" customFormat="1" ht="138.75" thickTop="1" thickBot="1" x14ac:dyDescent="0.25">
      <c r="A115" s="898" t="s">
        <v>290</v>
      </c>
      <c r="B115" s="898" t="s">
        <v>291</v>
      </c>
      <c r="C115" s="898" t="s">
        <v>224</v>
      </c>
      <c r="D115" s="898" t="s">
        <v>6</v>
      </c>
      <c r="E115" s="900">
        <f t="shared" ref="E115:E161" si="83">F115</f>
        <v>1350000</v>
      </c>
      <c r="F115" s="323">
        <v>1350000</v>
      </c>
      <c r="G115" s="323"/>
      <c r="H115" s="323"/>
      <c r="I115" s="323"/>
      <c r="J115" s="894">
        <f t="shared" si="76"/>
        <v>0</v>
      </c>
      <c r="K115" s="313"/>
      <c r="L115" s="313"/>
      <c r="M115" s="313"/>
      <c r="N115" s="313"/>
      <c r="O115" s="896">
        <f t="shared" si="82"/>
        <v>0</v>
      </c>
      <c r="P115" s="894">
        <f t="shared" si="79"/>
        <v>1350000</v>
      </c>
      <c r="Q115" s="194"/>
      <c r="R115" s="198"/>
    </row>
    <row r="116" spans="1:20" s="39" customFormat="1" ht="184.5" thickTop="1" thickBot="1" x14ac:dyDescent="0.25">
      <c r="A116" s="898" t="s">
        <v>293</v>
      </c>
      <c r="B116" s="898" t="s">
        <v>294</v>
      </c>
      <c r="C116" s="898" t="s">
        <v>224</v>
      </c>
      <c r="D116" s="898" t="s">
        <v>7</v>
      </c>
      <c r="E116" s="900">
        <f t="shared" si="83"/>
        <v>14700000</v>
      </c>
      <c r="F116" s="323">
        <f>(11250000)+3450000</f>
        <v>14700000</v>
      </c>
      <c r="G116" s="323"/>
      <c r="H116" s="323"/>
      <c r="I116" s="323"/>
      <c r="J116" s="894">
        <f t="shared" si="76"/>
        <v>0</v>
      </c>
      <c r="K116" s="313"/>
      <c r="L116" s="313"/>
      <c r="M116" s="313"/>
      <c r="N116" s="313"/>
      <c r="O116" s="896">
        <f t="shared" si="82"/>
        <v>0</v>
      </c>
      <c r="P116" s="894">
        <f t="shared" si="79"/>
        <v>14700000</v>
      </c>
      <c r="Q116" s="194"/>
      <c r="R116" s="198"/>
    </row>
    <row r="117" spans="1:20" s="39" customFormat="1" ht="184.5" thickTop="1" thickBot="1" x14ac:dyDescent="0.25">
      <c r="A117" s="898" t="s">
        <v>295</v>
      </c>
      <c r="B117" s="898" t="s">
        <v>292</v>
      </c>
      <c r="C117" s="898" t="s">
        <v>224</v>
      </c>
      <c r="D117" s="898" t="s">
        <v>8</v>
      </c>
      <c r="E117" s="900">
        <f t="shared" si="83"/>
        <v>500000</v>
      </c>
      <c r="F117" s="323">
        <v>500000</v>
      </c>
      <c r="G117" s="323"/>
      <c r="H117" s="323"/>
      <c r="I117" s="323"/>
      <c r="J117" s="894">
        <f t="shared" si="76"/>
        <v>0</v>
      </c>
      <c r="K117" s="313"/>
      <c r="L117" s="313"/>
      <c r="M117" s="313"/>
      <c r="N117" s="313"/>
      <c r="O117" s="896">
        <f t="shared" si="82"/>
        <v>0</v>
      </c>
      <c r="P117" s="894">
        <f t="shared" si="79"/>
        <v>500000</v>
      </c>
      <c r="Q117" s="194"/>
      <c r="R117" s="198"/>
    </row>
    <row r="118" spans="1:20" s="39" customFormat="1" ht="184.5" thickTop="1" thickBot="1" x14ac:dyDescent="0.25">
      <c r="A118" s="898" t="s">
        <v>296</v>
      </c>
      <c r="B118" s="898" t="s">
        <v>297</v>
      </c>
      <c r="C118" s="898" t="s">
        <v>224</v>
      </c>
      <c r="D118" s="898" t="s">
        <v>9</v>
      </c>
      <c r="E118" s="900">
        <f t="shared" si="83"/>
        <v>57804700</v>
      </c>
      <c r="F118" s="323">
        <f>(74942240)-17137540</f>
        <v>57804700</v>
      </c>
      <c r="G118" s="323"/>
      <c r="H118" s="323"/>
      <c r="I118" s="323"/>
      <c r="J118" s="894">
        <f t="shared" si="76"/>
        <v>0</v>
      </c>
      <c r="K118" s="313"/>
      <c r="L118" s="313"/>
      <c r="M118" s="313"/>
      <c r="N118" s="313"/>
      <c r="O118" s="896">
        <f t="shared" si="82"/>
        <v>0</v>
      </c>
      <c r="P118" s="894">
        <f t="shared" si="79"/>
        <v>57804700</v>
      </c>
      <c r="Q118" s="194"/>
      <c r="R118" s="198"/>
    </row>
    <row r="119" spans="1:20" s="39" customFormat="1" ht="184.5" thickTop="1" thickBot="1" x14ac:dyDescent="0.25">
      <c r="A119" s="898" t="s">
        <v>522</v>
      </c>
      <c r="B119" s="898" t="s">
        <v>523</v>
      </c>
      <c r="C119" s="898" t="s">
        <v>224</v>
      </c>
      <c r="D119" s="898" t="s">
        <v>524</v>
      </c>
      <c r="E119" s="900">
        <f t="shared" si="83"/>
        <v>206796</v>
      </c>
      <c r="F119" s="323">
        <v>206796</v>
      </c>
      <c r="G119" s="323"/>
      <c r="H119" s="323"/>
      <c r="I119" s="323"/>
      <c r="J119" s="894">
        <f t="shared" si="76"/>
        <v>0</v>
      </c>
      <c r="K119" s="313"/>
      <c r="L119" s="313"/>
      <c r="M119" s="313"/>
      <c r="N119" s="313"/>
      <c r="O119" s="896">
        <f t="shared" si="82"/>
        <v>0</v>
      </c>
      <c r="P119" s="894">
        <f t="shared" si="79"/>
        <v>206796</v>
      </c>
      <c r="Q119" s="194"/>
      <c r="R119" s="198"/>
    </row>
    <row r="120" spans="1:20" s="39" customFormat="1" ht="138.75" thickTop="1" thickBot="1" x14ac:dyDescent="0.25">
      <c r="A120" s="898" t="s">
        <v>1137</v>
      </c>
      <c r="B120" s="898" t="s">
        <v>1138</v>
      </c>
      <c r="C120" s="898" t="s">
        <v>224</v>
      </c>
      <c r="D120" s="898" t="s">
        <v>1139</v>
      </c>
      <c r="E120" s="900">
        <f t="shared" si="83"/>
        <v>180000</v>
      </c>
      <c r="F120" s="323">
        <v>180000</v>
      </c>
      <c r="G120" s="323"/>
      <c r="H120" s="323"/>
      <c r="I120" s="323"/>
      <c r="J120" s="894">
        <f t="shared" si="76"/>
        <v>0</v>
      </c>
      <c r="K120" s="313"/>
      <c r="L120" s="313"/>
      <c r="M120" s="313"/>
      <c r="N120" s="313"/>
      <c r="O120" s="896">
        <f t="shared" si="82"/>
        <v>0</v>
      </c>
      <c r="P120" s="894">
        <f t="shared" si="79"/>
        <v>180000</v>
      </c>
      <c r="Q120" s="194"/>
      <c r="R120" s="198"/>
    </row>
    <row r="121" spans="1:20" ht="138.75" thickTop="1" thickBot="1" x14ac:dyDescent="0.25">
      <c r="A121" s="898" t="s">
        <v>525</v>
      </c>
      <c r="B121" s="898" t="s">
        <v>526</v>
      </c>
      <c r="C121" s="898" t="s">
        <v>223</v>
      </c>
      <c r="D121" s="898" t="s">
        <v>527</v>
      </c>
      <c r="E121" s="900">
        <f t="shared" si="83"/>
        <v>353047</v>
      </c>
      <c r="F121" s="323">
        <v>353047</v>
      </c>
      <c r="G121" s="323"/>
      <c r="H121" s="323"/>
      <c r="I121" s="323"/>
      <c r="J121" s="894">
        <f t="shared" si="76"/>
        <v>0</v>
      </c>
      <c r="K121" s="313"/>
      <c r="L121" s="313"/>
      <c r="M121" s="313"/>
      <c r="N121" s="313"/>
      <c r="O121" s="896">
        <f>K121</f>
        <v>0</v>
      </c>
      <c r="P121" s="894">
        <f t="shared" si="79"/>
        <v>353047</v>
      </c>
      <c r="R121" s="198"/>
    </row>
    <row r="122" spans="1:20" s="39" customFormat="1" ht="276" thickTop="1" thickBot="1" x14ac:dyDescent="0.25">
      <c r="A122" s="445" t="s">
        <v>892</v>
      </c>
      <c r="B122" s="445" t="s">
        <v>893</v>
      </c>
      <c r="C122" s="445"/>
      <c r="D122" s="445" t="s">
        <v>894</v>
      </c>
      <c r="E122" s="446">
        <f>SUM(E123:E124)</f>
        <v>36030285</v>
      </c>
      <c r="F122" s="446">
        <f t="shared" ref="F122:P122" si="84">SUM(F123:F124)</f>
        <v>36030285</v>
      </c>
      <c r="G122" s="446">
        <f t="shared" si="84"/>
        <v>25148685</v>
      </c>
      <c r="H122" s="446">
        <f t="shared" si="84"/>
        <v>742295</v>
      </c>
      <c r="I122" s="446">
        <f t="shared" si="84"/>
        <v>0</v>
      </c>
      <c r="J122" s="367">
        <f t="shared" si="84"/>
        <v>321440</v>
      </c>
      <c r="K122" s="367">
        <f t="shared" si="84"/>
        <v>171440</v>
      </c>
      <c r="L122" s="367">
        <f t="shared" si="84"/>
        <v>150000</v>
      </c>
      <c r="M122" s="367">
        <f t="shared" si="84"/>
        <v>100000</v>
      </c>
      <c r="N122" s="367">
        <f t="shared" si="84"/>
        <v>3000</v>
      </c>
      <c r="O122" s="367">
        <f t="shared" si="84"/>
        <v>171440</v>
      </c>
      <c r="P122" s="367">
        <f t="shared" si="84"/>
        <v>36351725</v>
      </c>
      <c r="Q122" s="194"/>
      <c r="R122" s="447"/>
    </row>
    <row r="123" spans="1:20" ht="276" thickTop="1" thickBot="1" x14ac:dyDescent="0.25">
      <c r="A123" s="898" t="s">
        <v>285</v>
      </c>
      <c r="B123" s="898" t="s">
        <v>283</v>
      </c>
      <c r="C123" s="898" t="s">
        <v>218</v>
      </c>
      <c r="D123" s="898" t="s">
        <v>17</v>
      </c>
      <c r="E123" s="900">
        <f t="shared" si="83"/>
        <v>28469120</v>
      </c>
      <c r="F123" s="323">
        <f>108000+400000+((27960820)-25000+2060+10800+12440)</f>
        <v>28469120</v>
      </c>
      <c r="G123" s="323">
        <v>19746545</v>
      </c>
      <c r="H123" s="323">
        <f>(266000+30800+72660+10800)+2060+10800+12440</f>
        <v>405560</v>
      </c>
      <c r="I123" s="323"/>
      <c r="J123" s="894">
        <f t="shared" si="76"/>
        <v>278000</v>
      </c>
      <c r="K123" s="313">
        <f>58000+15000+25000+30000</f>
        <v>128000</v>
      </c>
      <c r="L123" s="313">
        <f>(100000+22000+15000+4000+6000+1500+500+1000)</f>
        <v>150000</v>
      </c>
      <c r="M123" s="313">
        <v>100000</v>
      </c>
      <c r="N123" s="313">
        <f>(1500+500+1000)</f>
        <v>3000</v>
      </c>
      <c r="O123" s="896">
        <f t="shared" si="82"/>
        <v>128000</v>
      </c>
      <c r="P123" s="894">
        <f t="shared" si="79"/>
        <v>28747120</v>
      </c>
      <c r="R123" s="892" t="b">
        <f>K123='d6'!J121</f>
        <v>1</v>
      </c>
    </row>
    <row r="124" spans="1:20" ht="138.75" thickTop="1" thickBot="1" x14ac:dyDescent="0.25">
      <c r="A124" s="898" t="s">
        <v>286</v>
      </c>
      <c r="B124" s="898" t="s">
        <v>284</v>
      </c>
      <c r="C124" s="898" t="s">
        <v>217</v>
      </c>
      <c r="D124" s="898" t="s">
        <v>491</v>
      </c>
      <c r="E124" s="900">
        <f t="shared" si="83"/>
        <v>7561165</v>
      </c>
      <c r="F124" s="323">
        <f>14525+4550+((7298180)+112800+1570+107500+19900+2140)</f>
        <v>7561165</v>
      </c>
      <c r="G124" s="323">
        <f>(3013390+2388750)</f>
        <v>5402140</v>
      </c>
      <c r="H124" s="323">
        <f>(133610+1950+28250+148195+4870+19620+240)</f>
        <v>336735</v>
      </c>
      <c r="I124" s="313"/>
      <c r="J124" s="894">
        <f t="shared" si="76"/>
        <v>43440</v>
      </c>
      <c r="K124" s="313">
        <v>43440</v>
      </c>
      <c r="L124" s="313"/>
      <c r="M124" s="313"/>
      <c r="N124" s="313"/>
      <c r="O124" s="896">
        <f t="shared" si="82"/>
        <v>43440</v>
      </c>
      <c r="P124" s="894">
        <f t="shared" si="79"/>
        <v>7604605</v>
      </c>
      <c r="R124" s="892" t="b">
        <f>K124='d6'!J122</f>
        <v>1</v>
      </c>
    </row>
    <row r="125" spans="1:20" ht="138.75" thickTop="1" thickBot="1" x14ac:dyDescent="0.25">
      <c r="A125" s="445" t="s">
        <v>1354</v>
      </c>
      <c r="B125" s="445" t="s">
        <v>925</v>
      </c>
      <c r="C125" s="445"/>
      <c r="D125" s="445" t="s">
        <v>926</v>
      </c>
      <c r="E125" s="446">
        <f>E126</f>
        <v>267380</v>
      </c>
      <c r="F125" s="446">
        <f t="shared" ref="F125:P125" si="85">F126</f>
        <v>267380</v>
      </c>
      <c r="G125" s="446">
        <f t="shared" si="85"/>
        <v>0</v>
      </c>
      <c r="H125" s="446">
        <f t="shared" si="85"/>
        <v>0</v>
      </c>
      <c r="I125" s="446">
        <f t="shared" si="85"/>
        <v>0</v>
      </c>
      <c r="J125" s="367">
        <f t="shared" si="85"/>
        <v>2304215</v>
      </c>
      <c r="K125" s="367">
        <f t="shared" si="85"/>
        <v>2304215</v>
      </c>
      <c r="L125" s="367">
        <f t="shared" si="85"/>
        <v>0</v>
      </c>
      <c r="M125" s="367">
        <f t="shared" si="85"/>
        <v>0</v>
      </c>
      <c r="N125" s="367">
        <f t="shared" si="85"/>
        <v>0</v>
      </c>
      <c r="O125" s="367">
        <f t="shared" si="85"/>
        <v>2304215</v>
      </c>
      <c r="P125" s="367">
        <f t="shared" si="85"/>
        <v>2571595</v>
      </c>
      <c r="R125" s="892"/>
    </row>
    <row r="126" spans="1:20" ht="276" thickTop="1" thickBot="1" x14ac:dyDescent="0.25">
      <c r="A126" s="898" t="s">
        <v>1355</v>
      </c>
      <c r="B126" s="898" t="s">
        <v>1356</v>
      </c>
      <c r="C126" s="898" t="s">
        <v>203</v>
      </c>
      <c r="D126" s="898" t="s">
        <v>1357</v>
      </c>
      <c r="E126" s="900">
        <f t="shared" ref="E126" si="86">F126</f>
        <v>267380</v>
      </c>
      <c r="F126" s="323">
        <v>267380</v>
      </c>
      <c r="G126" s="323"/>
      <c r="H126" s="323"/>
      <c r="I126" s="323"/>
      <c r="J126" s="894">
        <f t="shared" ref="J126" si="87">L126+O126</f>
        <v>2304215</v>
      </c>
      <c r="K126" s="313">
        <f>166110+1240000+898105</f>
        <v>2304215</v>
      </c>
      <c r="L126" s="313"/>
      <c r="M126" s="313"/>
      <c r="N126" s="313"/>
      <c r="O126" s="896">
        <f t="shared" ref="O126" si="88">K126</f>
        <v>2304215</v>
      </c>
      <c r="P126" s="894">
        <f t="shared" ref="P126" si="89">E126+J126</f>
        <v>2571595</v>
      </c>
      <c r="R126" s="892" t="b">
        <f>K126='d6'!J123+'d6'!J124</f>
        <v>1</v>
      </c>
    </row>
    <row r="127" spans="1:20" ht="409.6" thickTop="1" thickBot="1" x14ac:dyDescent="0.25">
      <c r="A127" s="898" t="s">
        <v>281</v>
      </c>
      <c r="B127" s="898" t="s">
        <v>282</v>
      </c>
      <c r="C127" s="898" t="s">
        <v>217</v>
      </c>
      <c r="D127" s="898" t="s">
        <v>489</v>
      </c>
      <c r="E127" s="900">
        <f t="shared" si="83"/>
        <v>2246695</v>
      </c>
      <c r="F127" s="313">
        <f>((1242695)+1000000)+4000</f>
        <v>2246695</v>
      </c>
      <c r="G127" s="323"/>
      <c r="H127" s="323"/>
      <c r="I127" s="323"/>
      <c r="J127" s="894">
        <f t="shared" si="76"/>
        <v>0</v>
      </c>
      <c r="K127" s="894"/>
      <c r="L127" s="313"/>
      <c r="M127" s="313"/>
      <c r="N127" s="313"/>
      <c r="O127" s="896">
        <f t="shared" si="82"/>
        <v>0</v>
      </c>
      <c r="P127" s="894">
        <f>+J127+E127</f>
        <v>2246695</v>
      </c>
      <c r="R127" s="198"/>
    </row>
    <row r="128" spans="1:20" ht="138.75" thickTop="1" thickBot="1" x14ac:dyDescent="0.25">
      <c r="A128" s="445" t="s">
        <v>1055</v>
      </c>
      <c r="B128" s="445" t="s">
        <v>1056</v>
      </c>
      <c r="C128" s="445"/>
      <c r="D128" s="445" t="s">
        <v>1057</v>
      </c>
      <c r="E128" s="446">
        <f t="shared" si="83"/>
        <v>147491</v>
      </c>
      <c r="F128" s="446">
        <f>F129</f>
        <v>147491</v>
      </c>
      <c r="G128" s="446">
        <f t="shared" ref="G128:I128" si="90">G129</f>
        <v>0</v>
      </c>
      <c r="H128" s="446">
        <f t="shared" si="90"/>
        <v>0</v>
      </c>
      <c r="I128" s="446">
        <f t="shared" si="90"/>
        <v>0</v>
      </c>
      <c r="J128" s="367">
        <f t="shared" si="76"/>
        <v>0</v>
      </c>
      <c r="K128" s="367">
        <f t="shared" ref="K128:N128" si="91">K129</f>
        <v>0</v>
      </c>
      <c r="L128" s="367">
        <f t="shared" si="91"/>
        <v>0</v>
      </c>
      <c r="M128" s="367">
        <f t="shared" si="91"/>
        <v>0</v>
      </c>
      <c r="N128" s="367">
        <f t="shared" si="91"/>
        <v>0</v>
      </c>
      <c r="O128" s="367">
        <f t="shared" si="82"/>
        <v>0</v>
      </c>
      <c r="P128" s="367">
        <f>+J128+E128</f>
        <v>147491</v>
      </c>
      <c r="R128" s="198"/>
    </row>
    <row r="129" spans="1:18" ht="276" thickTop="1" thickBot="1" x14ac:dyDescent="0.25">
      <c r="A129" s="898" t="s">
        <v>528</v>
      </c>
      <c r="B129" s="898" t="s">
        <v>529</v>
      </c>
      <c r="C129" s="898" t="s">
        <v>217</v>
      </c>
      <c r="D129" s="898" t="s">
        <v>530</v>
      </c>
      <c r="E129" s="900">
        <f t="shared" si="83"/>
        <v>147491</v>
      </c>
      <c r="F129" s="323">
        <v>147491</v>
      </c>
      <c r="G129" s="323"/>
      <c r="H129" s="323"/>
      <c r="I129" s="323"/>
      <c r="J129" s="894">
        <f t="shared" si="76"/>
        <v>0</v>
      </c>
      <c r="K129" s="894"/>
      <c r="L129" s="313"/>
      <c r="M129" s="313"/>
      <c r="N129" s="313"/>
      <c r="O129" s="896">
        <f t="shared" si="82"/>
        <v>0</v>
      </c>
      <c r="P129" s="894">
        <f>+J129+E129</f>
        <v>147491</v>
      </c>
      <c r="R129" s="198"/>
    </row>
    <row r="130" spans="1:18" ht="367.5" thickTop="1" thickBot="1" x14ac:dyDescent="0.25">
      <c r="A130" s="898" t="s">
        <v>374</v>
      </c>
      <c r="B130" s="898" t="s">
        <v>373</v>
      </c>
      <c r="C130" s="898" t="s">
        <v>52</v>
      </c>
      <c r="D130" s="898" t="s">
        <v>490</v>
      </c>
      <c r="E130" s="900">
        <f t="shared" si="83"/>
        <v>2625425</v>
      </c>
      <c r="F130" s="323">
        <v>2625425</v>
      </c>
      <c r="G130" s="323"/>
      <c r="H130" s="323"/>
      <c r="I130" s="323"/>
      <c r="J130" s="894">
        <f t="shared" si="76"/>
        <v>0</v>
      </c>
      <c r="K130" s="894"/>
      <c r="L130" s="313"/>
      <c r="M130" s="313"/>
      <c r="N130" s="313"/>
      <c r="O130" s="896">
        <f t="shared" si="82"/>
        <v>0</v>
      </c>
      <c r="P130" s="894">
        <f>E130+J130</f>
        <v>2625425</v>
      </c>
      <c r="R130" s="198"/>
    </row>
    <row r="131" spans="1:18" s="39" customFormat="1" ht="93" thickTop="1" thickBot="1" x14ac:dyDescent="0.25">
      <c r="A131" s="445" t="s">
        <v>895</v>
      </c>
      <c r="B131" s="445" t="s">
        <v>896</v>
      </c>
      <c r="C131" s="445"/>
      <c r="D131" s="445" t="s">
        <v>897</v>
      </c>
      <c r="E131" s="446">
        <f>E132</f>
        <v>500000</v>
      </c>
      <c r="F131" s="446">
        <f t="shared" ref="F131:P131" si="92">F132</f>
        <v>500000</v>
      </c>
      <c r="G131" s="446">
        <f t="shared" si="92"/>
        <v>0</v>
      </c>
      <c r="H131" s="446">
        <f t="shared" si="92"/>
        <v>0</v>
      </c>
      <c r="I131" s="446">
        <f t="shared" si="92"/>
        <v>0</v>
      </c>
      <c r="J131" s="367">
        <f t="shared" si="92"/>
        <v>0</v>
      </c>
      <c r="K131" s="367">
        <f t="shared" si="92"/>
        <v>0</v>
      </c>
      <c r="L131" s="367">
        <f t="shared" si="92"/>
        <v>0</v>
      </c>
      <c r="M131" s="367">
        <f t="shared" si="92"/>
        <v>0</v>
      </c>
      <c r="N131" s="367">
        <f t="shared" si="92"/>
        <v>0</v>
      </c>
      <c r="O131" s="367">
        <f t="shared" si="92"/>
        <v>0</v>
      </c>
      <c r="P131" s="367">
        <f t="shared" si="92"/>
        <v>500000</v>
      </c>
      <c r="Q131" s="194"/>
      <c r="R131" s="447"/>
    </row>
    <row r="132" spans="1:18" ht="230.25" thickTop="1" thickBot="1" x14ac:dyDescent="0.25">
      <c r="A132" s="898" t="s">
        <v>350</v>
      </c>
      <c r="B132" s="898" t="s">
        <v>351</v>
      </c>
      <c r="C132" s="898" t="s">
        <v>223</v>
      </c>
      <c r="D132" s="898" t="s">
        <v>793</v>
      </c>
      <c r="E132" s="900">
        <f t="shared" si="83"/>
        <v>500000</v>
      </c>
      <c r="F132" s="323">
        <f>(500000)</f>
        <v>500000</v>
      </c>
      <c r="G132" s="323"/>
      <c r="H132" s="323"/>
      <c r="I132" s="323"/>
      <c r="J132" s="894">
        <f t="shared" si="76"/>
        <v>0</v>
      </c>
      <c r="K132" s="313"/>
      <c r="L132" s="313"/>
      <c r="M132" s="313"/>
      <c r="N132" s="313"/>
      <c r="O132" s="896">
        <f t="shared" si="82"/>
        <v>0</v>
      </c>
      <c r="P132" s="894">
        <f>E132+J132</f>
        <v>500000</v>
      </c>
      <c r="R132" s="198"/>
    </row>
    <row r="133" spans="1:18" ht="93" thickTop="1" thickBot="1" x14ac:dyDescent="0.25">
      <c r="A133" s="898" t="s">
        <v>456</v>
      </c>
      <c r="B133" s="898" t="s">
        <v>398</v>
      </c>
      <c r="C133" s="898" t="s">
        <v>399</v>
      </c>
      <c r="D133" s="898" t="s">
        <v>397</v>
      </c>
      <c r="E133" s="338">
        <f t="shared" si="83"/>
        <v>100040</v>
      </c>
      <c r="F133" s="323">
        <v>100040</v>
      </c>
      <c r="G133" s="323">
        <v>82000</v>
      </c>
      <c r="H133" s="323"/>
      <c r="I133" s="323"/>
      <c r="J133" s="894">
        <f t="shared" si="76"/>
        <v>0</v>
      </c>
      <c r="K133" s="313"/>
      <c r="L133" s="313"/>
      <c r="M133" s="313"/>
      <c r="N133" s="313"/>
      <c r="O133" s="896">
        <f t="shared" si="82"/>
        <v>0</v>
      </c>
      <c r="P133" s="894">
        <f>E133+J133</f>
        <v>100040</v>
      </c>
      <c r="R133" s="198"/>
    </row>
    <row r="134" spans="1:18" ht="230.25" thickTop="1" thickBot="1" x14ac:dyDescent="0.25">
      <c r="A134" s="445" t="s">
        <v>1416</v>
      </c>
      <c r="B134" s="445" t="s">
        <v>1417</v>
      </c>
      <c r="C134" s="445"/>
      <c r="D134" s="445" t="s">
        <v>1415</v>
      </c>
      <c r="E134" s="446">
        <f>E135+E138+E142+E145</f>
        <v>0</v>
      </c>
      <c r="F134" s="446">
        <f t="shared" ref="F134:P134" si="93">F135+F138+F142+F145</f>
        <v>0</v>
      </c>
      <c r="G134" s="446">
        <f t="shared" si="93"/>
        <v>0</v>
      </c>
      <c r="H134" s="446">
        <f t="shared" si="93"/>
        <v>0</v>
      </c>
      <c r="I134" s="446">
        <f t="shared" si="93"/>
        <v>0</v>
      </c>
      <c r="J134" s="446">
        <f t="shared" si="93"/>
        <v>16573607.309999999</v>
      </c>
      <c r="K134" s="446">
        <f t="shared" si="93"/>
        <v>16573607.309999999</v>
      </c>
      <c r="L134" s="446">
        <f t="shared" si="93"/>
        <v>0</v>
      </c>
      <c r="M134" s="446">
        <f t="shared" si="93"/>
        <v>0</v>
      </c>
      <c r="N134" s="446">
        <f t="shared" si="93"/>
        <v>0</v>
      </c>
      <c r="O134" s="446">
        <f t="shared" si="93"/>
        <v>16573607.309999999</v>
      </c>
      <c r="P134" s="446">
        <f t="shared" si="93"/>
        <v>16573607.309999999</v>
      </c>
      <c r="R134" s="198"/>
    </row>
    <row r="135" spans="1:18" ht="409.6" thickTop="1" x14ac:dyDescent="0.65">
      <c r="A135" s="1024" t="s">
        <v>1421</v>
      </c>
      <c r="B135" s="1024" t="s">
        <v>1422</v>
      </c>
      <c r="C135" s="1024" t="s">
        <v>52</v>
      </c>
      <c r="D135" s="862" t="s">
        <v>1418</v>
      </c>
      <c r="E135" s="1016">
        <f t="shared" ref="E135:E138" si="94">F135</f>
        <v>0</v>
      </c>
      <c r="F135" s="1016"/>
      <c r="G135" s="1016"/>
      <c r="H135" s="1016"/>
      <c r="I135" s="1016"/>
      <c r="J135" s="1016">
        <f t="shared" ref="J135:J138" si="95">L135+O135</f>
        <v>11298891.529999999</v>
      </c>
      <c r="K135" s="1019">
        <v>11298891.529999999</v>
      </c>
      <c r="L135" s="1016"/>
      <c r="M135" s="1016"/>
      <c r="N135" s="1016"/>
      <c r="O135" s="1019">
        <f t="shared" ref="O135:O138" si="96">K135</f>
        <v>11298891.529999999</v>
      </c>
      <c r="P135" s="1016">
        <f t="shared" ref="P135:P138" si="97">E135+J135</f>
        <v>11298891.529999999</v>
      </c>
      <c r="Q135" s="1030"/>
      <c r="R135" s="1022" t="b">
        <f>K135='d6'!J125</f>
        <v>1</v>
      </c>
    </row>
    <row r="136" spans="1:18" ht="409.5" x14ac:dyDescent="0.2">
      <c r="A136" s="1025"/>
      <c r="B136" s="1025"/>
      <c r="C136" s="1025"/>
      <c r="D136" s="861" t="s">
        <v>1419</v>
      </c>
      <c r="E136" s="1025"/>
      <c r="F136" s="1025"/>
      <c r="G136" s="1025"/>
      <c r="H136" s="1025"/>
      <c r="I136" s="1025"/>
      <c r="J136" s="1025"/>
      <c r="K136" s="1027"/>
      <c r="L136" s="1025"/>
      <c r="M136" s="1025"/>
      <c r="N136" s="1025"/>
      <c r="O136" s="1027"/>
      <c r="P136" s="1025"/>
      <c r="Q136" s="1031"/>
      <c r="R136" s="1023"/>
    </row>
    <row r="137" spans="1:18" ht="409.6" thickBot="1" x14ac:dyDescent="0.25">
      <c r="A137" s="1026"/>
      <c r="B137" s="1026"/>
      <c r="C137" s="1026"/>
      <c r="D137" s="863" t="s">
        <v>1420</v>
      </c>
      <c r="E137" s="1026"/>
      <c r="F137" s="1026"/>
      <c r="G137" s="1026"/>
      <c r="H137" s="1026"/>
      <c r="I137" s="1026"/>
      <c r="J137" s="1026"/>
      <c r="K137" s="1028"/>
      <c r="L137" s="1026"/>
      <c r="M137" s="1026"/>
      <c r="N137" s="1026"/>
      <c r="O137" s="1028"/>
      <c r="P137" s="1026"/>
      <c r="Q137" s="1031"/>
      <c r="R137" s="1023"/>
    </row>
    <row r="138" spans="1:18" ht="409.6" thickTop="1" x14ac:dyDescent="0.65">
      <c r="A138" s="1024" t="s">
        <v>1427</v>
      </c>
      <c r="B138" s="1024" t="s">
        <v>1428</v>
      </c>
      <c r="C138" s="1024" t="s">
        <v>52</v>
      </c>
      <c r="D138" s="862" t="s">
        <v>1423</v>
      </c>
      <c r="E138" s="1016">
        <f t="shared" si="94"/>
        <v>0</v>
      </c>
      <c r="F138" s="1016"/>
      <c r="G138" s="1016"/>
      <c r="H138" s="1016"/>
      <c r="I138" s="1016"/>
      <c r="J138" s="1016">
        <f t="shared" si="95"/>
        <v>1751965</v>
      </c>
      <c r="K138" s="1019">
        <v>1751965</v>
      </c>
      <c r="L138" s="1016"/>
      <c r="M138" s="1016"/>
      <c r="N138" s="1016"/>
      <c r="O138" s="1016">
        <f t="shared" si="96"/>
        <v>1751965</v>
      </c>
      <c r="P138" s="1016">
        <f t="shared" si="97"/>
        <v>1751965</v>
      </c>
      <c r="R138" s="1022" t="b">
        <f>K138='d6'!J128</f>
        <v>1</v>
      </c>
    </row>
    <row r="139" spans="1:18" ht="409.5" x14ac:dyDescent="0.2">
      <c r="A139" s="1025"/>
      <c r="B139" s="1025"/>
      <c r="C139" s="1025"/>
      <c r="D139" s="861" t="s">
        <v>1424</v>
      </c>
      <c r="E139" s="1025"/>
      <c r="F139" s="1025"/>
      <c r="G139" s="1025"/>
      <c r="H139" s="1025"/>
      <c r="I139" s="1025"/>
      <c r="J139" s="1025"/>
      <c r="K139" s="1027"/>
      <c r="L139" s="1025"/>
      <c r="M139" s="1025"/>
      <c r="N139" s="1025"/>
      <c r="O139" s="1025"/>
      <c r="P139" s="1025"/>
      <c r="R139" s="1029"/>
    </row>
    <row r="140" spans="1:18" ht="409.5" x14ac:dyDescent="0.2">
      <c r="A140" s="1025"/>
      <c r="B140" s="1025"/>
      <c r="C140" s="1025"/>
      <c r="D140" s="861" t="s">
        <v>1425</v>
      </c>
      <c r="E140" s="1025"/>
      <c r="F140" s="1025"/>
      <c r="G140" s="1025"/>
      <c r="H140" s="1025"/>
      <c r="I140" s="1025"/>
      <c r="J140" s="1025"/>
      <c r="K140" s="1027"/>
      <c r="L140" s="1025"/>
      <c r="M140" s="1025"/>
      <c r="N140" s="1025"/>
      <c r="O140" s="1025"/>
      <c r="P140" s="1025"/>
      <c r="R140" s="1029"/>
    </row>
    <row r="141" spans="1:18" ht="183.75" thickBot="1" x14ac:dyDescent="0.25">
      <c r="A141" s="1026"/>
      <c r="B141" s="1026"/>
      <c r="C141" s="1026"/>
      <c r="D141" s="863" t="s">
        <v>1426</v>
      </c>
      <c r="E141" s="1026"/>
      <c r="F141" s="1026"/>
      <c r="G141" s="1026"/>
      <c r="H141" s="1026"/>
      <c r="I141" s="1026"/>
      <c r="J141" s="1026"/>
      <c r="K141" s="1028"/>
      <c r="L141" s="1026"/>
      <c r="M141" s="1026"/>
      <c r="N141" s="1026"/>
      <c r="O141" s="1026"/>
      <c r="P141" s="1026"/>
      <c r="R141" s="1029"/>
    </row>
    <row r="142" spans="1:18" ht="409.6" thickTop="1" x14ac:dyDescent="0.65">
      <c r="A142" s="1024" t="s">
        <v>1429</v>
      </c>
      <c r="B142" s="1024" t="s">
        <v>1430</v>
      </c>
      <c r="C142" s="1024" t="s">
        <v>52</v>
      </c>
      <c r="D142" s="862" t="s">
        <v>1431</v>
      </c>
      <c r="E142" s="1016">
        <f t="shared" ref="E142" si="98">F142</f>
        <v>0</v>
      </c>
      <c r="F142" s="1016"/>
      <c r="G142" s="1016"/>
      <c r="H142" s="1016"/>
      <c r="I142" s="1016"/>
      <c r="J142" s="1016">
        <f t="shared" ref="J142" si="99">L142+O142</f>
        <v>1093438.78</v>
      </c>
      <c r="K142" s="1019">
        <v>1093438.78</v>
      </c>
      <c r="L142" s="1016"/>
      <c r="M142" s="1016"/>
      <c r="N142" s="1016"/>
      <c r="O142" s="1019">
        <f t="shared" ref="O142" si="100">K142</f>
        <v>1093438.78</v>
      </c>
      <c r="P142" s="1016">
        <f t="shared" ref="P142" si="101">E142+J142</f>
        <v>1093438.78</v>
      </c>
      <c r="R142" s="1022" t="b">
        <f>K142='d6'!J132</f>
        <v>1</v>
      </c>
    </row>
    <row r="143" spans="1:18" ht="409.5" x14ac:dyDescent="0.2">
      <c r="A143" s="1025"/>
      <c r="B143" s="1025"/>
      <c r="C143" s="1025"/>
      <c r="D143" s="861" t="s">
        <v>1432</v>
      </c>
      <c r="E143" s="1025"/>
      <c r="F143" s="1025"/>
      <c r="G143" s="1025"/>
      <c r="H143" s="1025"/>
      <c r="I143" s="1025"/>
      <c r="J143" s="1025"/>
      <c r="K143" s="1027"/>
      <c r="L143" s="1025"/>
      <c r="M143" s="1025"/>
      <c r="N143" s="1025"/>
      <c r="O143" s="1027"/>
      <c r="P143" s="1025"/>
      <c r="R143" s="1023"/>
    </row>
    <row r="144" spans="1:18" ht="138" thickBot="1" x14ac:dyDescent="0.25">
      <c r="A144" s="1026"/>
      <c r="B144" s="1026"/>
      <c r="C144" s="1026"/>
      <c r="D144" s="863" t="s">
        <v>1433</v>
      </c>
      <c r="E144" s="1026"/>
      <c r="F144" s="1026"/>
      <c r="G144" s="1026"/>
      <c r="H144" s="1026"/>
      <c r="I144" s="1026"/>
      <c r="J144" s="1026"/>
      <c r="K144" s="1028"/>
      <c r="L144" s="1026"/>
      <c r="M144" s="1026"/>
      <c r="N144" s="1026"/>
      <c r="O144" s="1028"/>
      <c r="P144" s="1026"/>
      <c r="R144" s="1023"/>
    </row>
    <row r="145" spans="1:18" ht="409.6" thickTop="1" x14ac:dyDescent="0.65">
      <c r="A145" s="1024" t="s">
        <v>1437</v>
      </c>
      <c r="B145" s="1024" t="s">
        <v>1438</v>
      </c>
      <c r="C145" s="1024" t="s">
        <v>52</v>
      </c>
      <c r="D145" s="862" t="s">
        <v>1434</v>
      </c>
      <c r="E145" s="1016">
        <f t="shared" ref="E145" si="102">F145</f>
        <v>0</v>
      </c>
      <c r="F145" s="1016"/>
      <c r="G145" s="1016"/>
      <c r="H145" s="1016"/>
      <c r="I145" s="1016"/>
      <c r="J145" s="1016">
        <f t="shared" ref="J145" si="103">L145+O145</f>
        <v>2429312</v>
      </c>
      <c r="K145" s="1019">
        <v>2429312</v>
      </c>
      <c r="L145" s="1016"/>
      <c r="M145" s="1016"/>
      <c r="N145" s="1016"/>
      <c r="O145" s="1019">
        <f t="shared" ref="O145" si="104">K145</f>
        <v>2429312</v>
      </c>
      <c r="P145" s="1016">
        <f t="shared" ref="P145" si="105">E145+J145</f>
        <v>2429312</v>
      </c>
      <c r="R145" s="1022" t="b">
        <f>K145='d6'!J135</f>
        <v>1</v>
      </c>
    </row>
    <row r="146" spans="1:18" ht="352.5" customHeight="1" x14ac:dyDescent="0.2">
      <c r="A146" s="1025"/>
      <c r="B146" s="1025"/>
      <c r="C146" s="1025"/>
      <c r="D146" s="861" t="s">
        <v>1435</v>
      </c>
      <c r="E146" s="1025"/>
      <c r="F146" s="1025"/>
      <c r="G146" s="1025"/>
      <c r="H146" s="1025"/>
      <c r="I146" s="1025"/>
      <c r="J146" s="1017"/>
      <c r="K146" s="1020"/>
      <c r="L146" s="1017"/>
      <c r="M146" s="1017"/>
      <c r="N146" s="1017"/>
      <c r="O146" s="1020"/>
      <c r="P146" s="1017"/>
      <c r="R146" s="1023"/>
    </row>
    <row r="147" spans="1:18" ht="92.25" thickBot="1" x14ac:dyDescent="0.25">
      <c r="A147" s="1026"/>
      <c r="B147" s="1026"/>
      <c r="C147" s="1026"/>
      <c r="D147" s="863" t="s">
        <v>1436</v>
      </c>
      <c r="E147" s="1026"/>
      <c r="F147" s="1026"/>
      <c r="G147" s="1026"/>
      <c r="H147" s="1026"/>
      <c r="I147" s="1026"/>
      <c r="J147" s="1018"/>
      <c r="K147" s="1021"/>
      <c r="L147" s="1018"/>
      <c r="M147" s="1018"/>
      <c r="N147" s="1018"/>
      <c r="O147" s="1021"/>
      <c r="P147" s="1018"/>
      <c r="R147" s="1023"/>
    </row>
    <row r="148" spans="1:18" s="39" customFormat="1" ht="48" thickTop="1" thickBot="1" x14ac:dyDescent="0.25">
      <c r="A148" s="445" t="s">
        <v>898</v>
      </c>
      <c r="B148" s="445" t="s">
        <v>899</v>
      </c>
      <c r="C148" s="445"/>
      <c r="D148" s="445" t="s">
        <v>900</v>
      </c>
      <c r="E148" s="446">
        <f>SUM(E149:E150)</f>
        <v>38099435</v>
      </c>
      <c r="F148" s="446">
        <f t="shared" ref="F148:P148" si="106">SUM(F149:F150)</f>
        <v>38099435</v>
      </c>
      <c r="G148" s="446">
        <f t="shared" si="106"/>
        <v>4244615</v>
      </c>
      <c r="H148" s="446">
        <f t="shared" si="106"/>
        <v>490327</v>
      </c>
      <c r="I148" s="446">
        <f t="shared" si="106"/>
        <v>0</v>
      </c>
      <c r="J148" s="367">
        <f t="shared" si="106"/>
        <v>781340</v>
      </c>
      <c r="K148" s="367">
        <f t="shared" si="106"/>
        <v>636340</v>
      </c>
      <c r="L148" s="367">
        <f t="shared" si="106"/>
        <v>145000</v>
      </c>
      <c r="M148" s="367">
        <f t="shared" si="106"/>
        <v>4000</v>
      </c>
      <c r="N148" s="367">
        <f t="shared" si="106"/>
        <v>134000</v>
      </c>
      <c r="O148" s="367">
        <f t="shared" si="106"/>
        <v>636340</v>
      </c>
      <c r="P148" s="367">
        <f t="shared" si="106"/>
        <v>38880775</v>
      </c>
      <c r="Q148" s="194"/>
      <c r="R148" s="447"/>
    </row>
    <row r="149" spans="1:18" ht="184.5" thickTop="1" thickBot="1" x14ac:dyDescent="0.25">
      <c r="A149" s="898" t="s">
        <v>352</v>
      </c>
      <c r="B149" s="898" t="s">
        <v>354</v>
      </c>
      <c r="C149" s="898" t="s">
        <v>209</v>
      </c>
      <c r="D149" s="337" t="s">
        <v>356</v>
      </c>
      <c r="E149" s="894">
        <f t="shared" si="83"/>
        <v>7868312</v>
      </c>
      <c r="F149" s="323">
        <f>9000+5940+6350+((8173362-388340)+17000+45000)</f>
        <v>7868312</v>
      </c>
      <c r="G149" s="170">
        <f>(1948670+2295945)</f>
        <v>4244615</v>
      </c>
      <c r="H149" s="170">
        <f>(245557+131600+6000+27000+40000+39000+1170)</f>
        <v>490327</v>
      </c>
      <c r="I149" s="323"/>
      <c r="J149" s="894">
        <f t="shared" ref="J149:J161" si="107">L149+O149</f>
        <v>631340</v>
      </c>
      <c r="K149" s="313">
        <f>98000+((72894+138259+40788+136399))</f>
        <v>486340</v>
      </c>
      <c r="L149" s="313">
        <f>(4000+900+6100+23000+65000+45000+1000)</f>
        <v>145000</v>
      </c>
      <c r="M149" s="313">
        <v>4000</v>
      </c>
      <c r="N149" s="313">
        <f>(23000+65000+45000+1000)</f>
        <v>134000</v>
      </c>
      <c r="O149" s="896">
        <f t="shared" ref="O149:O161" si="108">K149</f>
        <v>486340</v>
      </c>
      <c r="P149" s="894">
        <f t="shared" ref="P149:P161" si="109">E149+J149</f>
        <v>8499652</v>
      </c>
      <c r="R149" s="892" t="b">
        <f>K149='d6'!J138+'d6'!J139</f>
        <v>1</v>
      </c>
    </row>
    <row r="150" spans="1:18" ht="138.75" thickTop="1" thickBot="1" x14ac:dyDescent="0.25">
      <c r="A150" s="898" t="s">
        <v>353</v>
      </c>
      <c r="B150" s="898" t="s">
        <v>355</v>
      </c>
      <c r="C150" s="898" t="s">
        <v>209</v>
      </c>
      <c r="D150" s="337" t="s">
        <v>357</v>
      </c>
      <c r="E150" s="900">
        <f t="shared" si="83"/>
        <v>30231123</v>
      </c>
      <c r="F150" s="323">
        <f>2000000+400000+52000+((27403151)+44000+81972+200000+50000)</f>
        <v>30231123</v>
      </c>
      <c r="G150" s="323"/>
      <c r="H150" s="323"/>
      <c r="I150" s="323"/>
      <c r="J150" s="894">
        <f t="shared" si="107"/>
        <v>150000</v>
      </c>
      <c r="K150" s="313">
        <v>150000</v>
      </c>
      <c r="L150" s="313"/>
      <c r="M150" s="313"/>
      <c r="N150" s="313"/>
      <c r="O150" s="896">
        <f t="shared" si="108"/>
        <v>150000</v>
      </c>
      <c r="P150" s="894">
        <f t="shared" si="109"/>
        <v>30381123</v>
      </c>
      <c r="R150" s="892" t="b">
        <f>K150='d6'!J140</f>
        <v>0</v>
      </c>
    </row>
    <row r="151" spans="1:18" ht="91.5" thickTop="1" thickBot="1" x14ac:dyDescent="0.25">
      <c r="A151" s="173" t="s">
        <v>901</v>
      </c>
      <c r="B151" s="173" t="s">
        <v>902</v>
      </c>
      <c r="C151" s="173"/>
      <c r="D151" s="449" t="s">
        <v>903</v>
      </c>
      <c r="E151" s="900">
        <f>SUM(E152)</f>
        <v>0</v>
      </c>
      <c r="F151" s="900">
        <f t="shared" ref="F151:P151" si="110">SUM(F152)</f>
        <v>0</v>
      </c>
      <c r="G151" s="900">
        <f t="shared" si="110"/>
        <v>0</v>
      </c>
      <c r="H151" s="900">
        <f t="shared" si="110"/>
        <v>0</v>
      </c>
      <c r="I151" s="900">
        <f t="shared" si="110"/>
        <v>0</v>
      </c>
      <c r="J151" s="894">
        <f>SUM(J152)</f>
        <v>7577034</v>
      </c>
      <c r="K151" s="894">
        <f t="shared" si="110"/>
        <v>7577034</v>
      </c>
      <c r="L151" s="894">
        <f t="shared" si="110"/>
        <v>0</v>
      </c>
      <c r="M151" s="894">
        <f t="shared" si="110"/>
        <v>0</v>
      </c>
      <c r="N151" s="894">
        <f t="shared" si="110"/>
        <v>0</v>
      </c>
      <c r="O151" s="894">
        <f t="shared" si="110"/>
        <v>7577034</v>
      </c>
      <c r="P151" s="894">
        <f t="shared" si="110"/>
        <v>7577034</v>
      </c>
      <c r="R151" s="892"/>
    </row>
    <row r="152" spans="1:18" s="39" customFormat="1" ht="93" thickTop="1" thickBot="1" x14ac:dyDescent="0.25">
      <c r="A152" s="445" t="s">
        <v>904</v>
      </c>
      <c r="B152" s="445" t="s">
        <v>905</v>
      </c>
      <c r="C152" s="445"/>
      <c r="D152" s="451" t="s">
        <v>906</v>
      </c>
      <c r="E152" s="446">
        <f>SUM(E153:E154)</f>
        <v>0</v>
      </c>
      <c r="F152" s="446">
        <f>SUM(F153:F154)</f>
        <v>0</v>
      </c>
      <c r="G152" s="446">
        <f>SUM(G153:G154)</f>
        <v>0</v>
      </c>
      <c r="H152" s="446">
        <f>SUM(H153:H154)</f>
        <v>0</v>
      </c>
      <c r="I152" s="446">
        <f>SUM(I153:I154)</f>
        <v>0</v>
      </c>
      <c r="J152" s="367">
        <f t="shared" ref="J152:O152" si="111">SUM(J153:J154)</f>
        <v>7577034</v>
      </c>
      <c r="K152" s="367">
        <f t="shared" si="111"/>
        <v>7577034</v>
      </c>
      <c r="L152" s="367">
        <f t="shared" si="111"/>
        <v>0</v>
      </c>
      <c r="M152" s="367">
        <f t="shared" si="111"/>
        <v>0</v>
      </c>
      <c r="N152" s="367">
        <f t="shared" si="111"/>
        <v>0</v>
      </c>
      <c r="O152" s="367">
        <f t="shared" si="111"/>
        <v>7577034</v>
      </c>
      <c r="P152" s="367">
        <f>SUM(P153:P154)</f>
        <v>7577034</v>
      </c>
      <c r="Q152" s="194"/>
      <c r="R152" s="453"/>
    </row>
    <row r="153" spans="1:18" ht="138.75" thickTop="1" thickBot="1" x14ac:dyDescent="0.25">
      <c r="A153" s="898" t="s">
        <v>393</v>
      </c>
      <c r="B153" s="898" t="s">
        <v>391</v>
      </c>
      <c r="C153" s="898" t="s">
        <v>365</v>
      </c>
      <c r="D153" s="337" t="s">
        <v>392</v>
      </c>
      <c r="E153" s="900">
        <f t="shared" si="83"/>
        <v>0</v>
      </c>
      <c r="F153" s="323"/>
      <c r="G153" s="323"/>
      <c r="H153" s="323"/>
      <c r="I153" s="323"/>
      <c r="J153" s="894">
        <f t="shared" si="107"/>
        <v>4000000</v>
      </c>
      <c r="K153" s="313">
        <v>4000000</v>
      </c>
      <c r="L153" s="313"/>
      <c r="M153" s="313"/>
      <c r="N153" s="313"/>
      <c r="O153" s="896">
        <f t="shared" si="108"/>
        <v>4000000</v>
      </c>
      <c r="P153" s="894">
        <f t="shared" si="109"/>
        <v>4000000</v>
      </c>
      <c r="R153" s="892" t="b">
        <f>K153='d6'!J142</f>
        <v>1</v>
      </c>
    </row>
    <row r="154" spans="1:18" ht="409.6" thickTop="1" thickBot="1" x14ac:dyDescent="0.25">
      <c r="A154" s="898" t="s">
        <v>1439</v>
      </c>
      <c r="B154" s="898" t="s">
        <v>1440</v>
      </c>
      <c r="C154" s="898" t="s">
        <v>365</v>
      </c>
      <c r="D154" s="337" t="s">
        <v>1441</v>
      </c>
      <c r="E154" s="900">
        <f t="shared" si="83"/>
        <v>0</v>
      </c>
      <c r="F154" s="323"/>
      <c r="G154" s="323"/>
      <c r="H154" s="323"/>
      <c r="I154" s="323"/>
      <c r="J154" s="894">
        <f t="shared" si="107"/>
        <v>3577034</v>
      </c>
      <c r="K154" s="313">
        <v>3577034</v>
      </c>
      <c r="L154" s="313"/>
      <c r="M154" s="313"/>
      <c r="N154" s="313"/>
      <c r="O154" s="896">
        <f t="shared" si="108"/>
        <v>3577034</v>
      </c>
      <c r="P154" s="894">
        <f t="shared" si="109"/>
        <v>3577034</v>
      </c>
      <c r="R154" s="892" t="b">
        <f>K154='d6'!J143</f>
        <v>1</v>
      </c>
    </row>
    <row r="155" spans="1:18" ht="47.25" thickTop="1" thickBot="1" x14ac:dyDescent="0.25">
      <c r="A155" s="455" t="s">
        <v>911</v>
      </c>
      <c r="B155" s="454" t="s">
        <v>908</v>
      </c>
      <c r="C155" s="454"/>
      <c r="D155" s="454" t="s">
        <v>909</v>
      </c>
      <c r="E155" s="900">
        <f t="shared" ref="E155:P155" si="112">E159+E156</f>
        <v>0</v>
      </c>
      <c r="F155" s="900">
        <f t="shared" si="112"/>
        <v>0</v>
      </c>
      <c r="G155" s="900">
        <f t="shared" si="112"/>
        <v>0</v>
      </c>
      <c r="H155" s="900">
        <f t="shared" si="112"/>
        <v>0</v>
      </c>
      <c r="I155" s="900">
        <f t="shared" si="112"/>
        <v>0</v>
      </c>
      <c r="J155" s="894">
        <f t="shared" si="112"/>
        <v>542000</v>
      </c>
      <c r="K155" s="894">
        <f t="shared" si="112"/>
        <v>220000</v>
      </c>
      <c r="L155" s="894">
        <f t="shared" si="112"/>
        <v>322000</v>
      </c>
      <c r="M155" s="894">
        <f t="shared" si="112"/>
        <v>0</v>
      </c>
      <c r="N155" s="894">
        <f t="shared" si="112"/>
        <v>0</v>
      </c>
      <c r="O155" s="894">
        <f t="shared" si="112"/>
        <v>220000</v>
      </c>
      <c r="P155" s="894">
        <f t="shared" si="112"/>
        <v>542000</v>
      </c>
      <c r="R155" s="892"/>
    </row>
    <row r="156" spans="1:18" ht="91.5" thickTop="1" thickBot="1" x14ac:dyDescent="0.25">
      <c r="A156" s="404" t="s">
        <v>1146</v>
      </c>
      <c r="B156" s="405" t="s">
        <v>964</v>
      </c>
      <c r="C156" s="405"/>
      <c r="D156" s="405" t="s">
        <v>965</v>
      </c>
      <c r="E156" s="448">
        <f>E157</f>
        <v>0</v>
      </c>
      <c r="F156" s="448">
        <f t="shared" ref="F156:P160" si="113">F157</f>
        <v>0</v>
      </c>
      <c r="G156" s="448">
        <f t="shared" si="113"/>
        <v>0</v>
      </c>
      <c r="H156" s="448">
        <f t="shared" si="113"/>
        <v>0</v>
      </c>
      <c r="I156" s="448">
        <f t="shared" si="113"/>
        <v>0</v>
      </c>
      <c r="J156" s="366">
        <f t="shared" si="113"/>
        <v>220000</v>
      </c>
      <c r="K156" s="366">
        <f t="shared" si="113"/>
        <v>220000</v>
      </c>
      <c r="L156" s="366">
        <f t="shared" si="113"/>
        <v>0</v>
      </c>
      <c r="M156" s="366">
        <f t="shared" si="113"/>
        <v>0</v>
      </c>
      <c r="N156" s="366">
        <f t="shared" si="113"/>
        <v>0</v>
      </c>
      <c r="O156" s="366">
        <f t="shared" si="113"/>
        <v>220000</v>
      </c>
      <c r="P156" s="366">
        <f t="shared" si="113"/>
        <v>220000</v>
      </c>
      <c r="R156" s="892"/>
    </row>
    <row r="157" spans="1:18" ht="146.25" thickTop="1" thickBot="1" x14ac:dyDescent="0.25">
      <c r="A157" s="365" t="s">
        <v>1142</v>
      </c>
      <c r="B157" s="365" t="s">
        <v>983</v>
      </c>
      <c r="C157" s="365"/>
      <c r="D157" s="365" t="s">
        <v>984</v>
      </c>
      <c r="E157" s="367">
        <f>E158</f>
        <v>0</v>
      </c>
      <c r="F157" s="367">
        <f t="shared" si="113"/>
        <v>0</v>
      </c>
      <c r="G157" s="367">
        <f t="shared" si="113"/>
        <v>0</v>
      </c>
      <c r="H157" s="367">
        <f t="shared" si="113"/>
        <v>0</v>
      </c>
      <c r="I157" s="367">
        <f t="shared" si="113"/>
        <v>0</v>
      </c>
      <c r="J157" s="367">
        <f t="shared" si="113"/>
        <v>220000</v>
      </c>
      <c r="K157" s="367">
        <f t="shared" si="113"/>
        <v>220000</v>
      </c>
      <c r="L157" s="367">
        <f t="shared" si="113"/>
        <v>0</v>
      </c>
      <c r="M157" s="367">
        <f t="shared" si="113"/>
        <v>0</v>
      </c>
      <c r="N157" s="367">
        <f t="shared" si="113"/>
        <v>0</v>
      </c>
      <c r="O157" s="367">
        <f t="shared" si="113"/>
        <v>220000</v>
      </c>
      <c r="P157" s="367">
        <f t="shared" si="113"/>
        <v>220000</v>
      </c>
      <c r="R157" s="892"/>
    </row>
    <row r="158" spans="1:18" ht="99.75" thickTop="1" thickBot="1" x14ac:dyDescent="0.25">
      <c r="A158" s="893" t="s">
        <v>1143</v>
      </c>
      <c r="B158" s="893" t="s">
        <v>1144</v>
      </c>
      <c r="C158" s="893" t="s">
        <v>323</v>
      </c>
      <c r="D158" s="893" t="s">
        <v>1145</v>
      </c>
      <c r="E158" s="894">
        <f>E159</f>
        <v>0</v>
      </c>
      <c r="F158" s="313"/>
      <c r="G158" s="313"/>
      <c r="H158" s="313"/>
      <c r="I158" s="313"/>
      <c r="J158" s="894">
        <f>L158+O158</f>
        <v>220000</v>
      </c>
      <c r="K158" s="313">
        <f>180000+40000</f>
        <v>220000</v>
      </c>
      <c r="L158" s="313"/>
      <c r="M158" s="313"/>
      <c r="N158" s="313"/>
      <c r="O158" s="896">
        <f>K158</f>
        <v>220000</v>
      </c>
      <c r="P158" s="894">
        <f>E158+J158</f>
        <v>220000</v>
      </c>
      <c r="R158" s="892" t="b">
        <f>K158='d6'!J144</f>
        <v>1</v>
      </c>
    </row>
    <row r="159" spans="1:18" ht="136.5" thickTop="1" thickBot="1" x14ac:dyDescent="0.25">
      <c r="A159" s="404" t="s">
        <v>913</v>
      </c>
      <c r="B159" s="405" t="s">
        <v>850</v>
      </c>
      <c r="C159" s="405"/>
      <c r="D159" s="405" t="s">
        <v>848</v>
      </c>
      <c r="E159" s="448">
        <f>E160</f>
        <v>0</v>
      </c>
      <c r="F159" s="448">
        <f t="shared" si="113"/>
        <v>0</v>
      </c>
      <c r="G159" s="448">
        <f t="shared" si="113"/>
        <v>0</v>
      </c>
      <c r="H159" s="448">
        <f t="shared" si="113"/>
        <v>0</v>
      </c>
      <c r="I159" s="448">
        <f t="shared" si="113"/>
        <v>0</v>
      </c>
      <c r="J159" s="366">
        <f t="shared" si="113"/>
        <v>322000</v>
      </c>
      <c r="K159" s="366">
        <f t="shared" si="113"/>
        <v>0</v>
      </c>
      <c r="L159" s="366">
        <f t="shared" si="113"/>
        <v>322000</v>
      </c>
      <c r="M159" s="366">
        <f t="shared" si="113"/>
        <v>0</v>
      </c>
      <c r="N159" s="366">
        <f t="shared" si="113"/>
        <v>0</v>
      </c>
      <c r="O159" s="366">
        <f t="shared" si="113"/>
        <v>0</v>
      </c>
      <c r="P159" s="366">
        <f t="shared" si="113"/>
        <v>322000</v>
      </c>
      <c r="R159" s="892"/>
    </row>
    <row r="160" spans="1:18" ht="48" thickTop="1" thickBot="1" x14ac:dyDescent="0.25">
      <c r="A160" s="403" t="s">
        <v>912</v>
      </c>
      <c r="B160" s="403" t="s">
        <v>853</v>
      </c>
      <c r="C160" s="403"/>
      <c r="D160" s="451" t="s">
        <v>851</v>
      </c>
      <c r="E160" s="446">
        <f>E161</f>
        <v>0</v>
      </c>
      <c r="F160" s="446">
        <f t="shared" si="113"/>
        <v>0</v>
      </c>
      <c r="G160" s="446">
        <f t="shared" si="113"/>
        <v>0</v>
      </c>
      <c r="H160" s="446">
        <f t="shared" si="113"/>
        <v>0</v>
      </c>
      <c r="I160" s="446">
        <f t="shared" si="113"/>
        <v>0</v>
      </c>
      <c r="J160" s="367">
        <f t="shared" si="113"/>
        <v>322000</v>
      </c>
      <c r="K160" s="367">
        <f t="shared" si="113"/>
        <v>0</v>
      </c>
      <c r="L160" s="367">
        <f t="shared" si="113"/>
        <v>322000</v>
      </c>
      <c r="M160" s="367">
        <f t="shared" si="113"/>
        <v>0</v>
      </c>
      <c r="N160" s="367">
        <f t="shared" si="113"/>
        <v>0</v>
      </c>
      <c r="O160" s="367">
        <f t="shared" si="113"/>
        <v>0</v>
      </c>
      <c r="P160" s="367">
        <f t="shared" si="113"/>
        <v>322000</v>
      </c>
      <c r="R160" s="892"/>
    </row>
    <row r="161" spans="1:18" ht="409.6" thickTop="1" thickBot="1" x14ac:dyDescent="0.7">
      <c r="A161" s="1048" t="s">
        <v>451</v>
      </c>
      <c r="B161" s="1048" t="s">
        <v>363</v>
      </c>
      <c r="C161" s="1048" t="s">
        <v>184</v>
      </c>
      <c r="D161" s="326" t="s">
        <v>473</v>
      </c>
      <c r="E161" s="1058">
        <f t="shared" si="83"/>
        <v>0</v>
      </c>
      <c r="F161" s="1055"/>
      <c r="G161" s="1055"/>
      <c r="H161" s="1055"/>
      <c r="I161" s="1055"/>
      <c r="J161" s="1038">
        <f t="shared" si="107"/>
        <v>322000</v>
      </c>
      <c r="K161" s="1039"/>
      <c r="L161" s="1039">
        <v>322000</v>
      </c>
      <c r="M161" s="1039"/>
      <c r="N161" s="1039"/>
      <c r="O161" s="1041">
        <f t="shared" si="108"/>
        <v>0</v>
      </c>
      <c r="P161" s="1032">
        <f t="shared" si="109"/>
        <v>322000</v>
      </c>
      <c r="R161" s="198"/>
    </row>
    <row r="162" spans="1:18" ht="184.5" thickTop="1" thickBot="1" x14ac:dyDescent="0.25">
      <c r="A162" s="1049"/>
      <c r="B162" s="1050"/>
      <c r="C162" s="1049"/>
      <c r="D162" s="329" t="s">
        <v>474</v>
      </c>
      <c r="E162" s="1049"/>
      <c r="F162" s="1056"/>
      <c r="G162" s="1056"/>
      <c r="H162" s="1056"/>
      <c r="I162" s="1056"/>
      <c r="J162" s="1047"/>
      <c r="K162" s="1047"/>
      <c r="L162" s="1052"/>
      <c r="M162" s="1052"/>
      <c r="N162" s="1052"/>
      <c r="O162" s="1053"/>
      <c r="P162" s="1054"/>
      <c r="R162" s="198"/>
    </row>
    <row r="163" spans="1:18" ht="181.5" thickTop="1" thickBot="1" x14ac:dyDescent="0.25">
      <c r="A163" s="853">
        <v>1000000</v>
      </c>
      <c r="B163" s="853"/>
      <c r="C163" s="853"/>
      <c r="D163" s="854" t="s">
        <v>24</v>
      </c>
      <c r="E163" s="855">
        <f>E164</f>
        <v>125824028</v>
      </c>
      <c r="F163" s="856">
        <f t="shared" ref="F163:G163" si="114">F164</f>
        <v>125824028</v>
      </c>
      <c r="G163" s="856">
        <f t="shared" si="114"/>
        <v>90762390</v>
      </c>
      <c r="H163" s="856">
        <f>H164</f>
        <v>3908556</v>
      </c>
      <c r="I163" s="856">
        <f>I164</f>
        <v>0</v>
      </c>
      <c r="J163" s="855">
        <f>J164</f>
        <v>17477025</v>
      </c>
      <c r="K163" s="856">
        <f>K164</f>
        <v>7646625</v>
      </c>
      <c r="L163" s="856">
        <f>L164</f>
        <v>9724400</v>
      </c>
      <c r="M163" s="856">
        <f t="shared" ref="M163" si="115">M164</f>
        <v>7345900</v>
      </c>
      <c r="N163" s="856">
        <f>N164</f>
        <v>257400</v>
      </c>
      <c r="O163" s="855">
        <f>O164</f>
        <v>7752625</v>
      </c>
      <c r="P163" s="856">
        <f t="shared" ref="P163" si="116">P164</f>
        <v>143301053</v>
      </c>
    </row>
    <row r="164" spans="1:18" ht="181.5" thickTop="1" thickBot="1" x14ac:dyDescent="0.25">
      <c r="A164" s="857">
        <v>1010000</v>
      </c>
      <c r="B164" s="857"/>
      <c r="C164" s="857"/>
      <c r="D164" s="858" t="s">
        <v>41</v>
      </c>
      <c r="E164" s="859">
        <f>E165+E167+E180+E175</f>
        <v>125824028</v>
      </c>
      <c r="F164" s="859">
        <f>F165+F167+F180+F175</f>
        <v>125824028</v>
      </c>
      <c r="G164" s="859">
        <f>G165+G167+G180+G175</f>
        <v>90762390</v>
      </c>
      <c r="H164" s="859">
        <f>H165+H167+H180+H175</f>
        <v>3908556</v>
      </c>
      <c r="I164" s="859">
        <f>I165+I167+I180+I175</f>
        <v>0</v>
      </c>
      <c r="J164" s="859">
        <f t="shared" ref="J164:J174" si="117">L164+O164</f>
        <v>17477025</v>
      </c>
      <c r="K164" s="859">
        <f>K165+K167+K180+K175</f>
        <v>7646625</v>
      </c>
      <c r="L164" s="859">
        <f>L165+L167+L180+L175</f>
        <v>9724400</v>
      </c>
      <c r="M164" s="859">
        <f>M165+M167+M180+M175</f>
        <v>7345900</v>
      </c>
      <c r="N164" s="859">
        <f>N165+N167+N180+N175</f>
        <v>257400</v>
      </c>
      <c r="O164" s="859">
        <f>O165+O167+O180+O175</f>
        <v>7752625</v>
      </c>
      <c r="P164" s="859">
        <f t="shared" ref="P164:P174" si="118">E164+J164</f>
        <v>143301053</v>
      </c>
      <c r="Q164" s="125" t="b">
        <f>P164=P166+P168+P169+P170+P171+P173+P174+P182+P179+P178</f>
        <v>1</v>
      </c>
      <c r="R164" s="892" t="b">
        <f>K164='d6'!J145</f>
        <v>0</v>
      </c>
    </row>
    <row r="165" spans="1:18" ht="47.25" thickTop="1" thickBot="1" x14ac:dyDescent="0.25">
      <c r="A165" s="455" t="s">
        <v>914</v>
      </c>
      <c r="B165" s="455" t="s">
        <v>867</v>
      </c>
      <c r="C165" s="455"/>
      <c r="D165" s="455" t="s">
        <v>868</v>
      </c>
      <c r="E165" s="894">
        <f>E166</f>
        <v>69368356</v>
      </c>
      <c r="F165" s="894">
        <f t="shared" ref="F165:P165" si="119">F166</f>
        <v>69368356</v>
      </c>
      <c r="G165" s="894">
        <f t="shared" si="119"/>
        <v>54485440</v>
      </c>
      <c r="H165" s="894">
        <f t="shared" si="119"/>
        <v>2249246</v>
      </c>
      <c r="I165" s="894">
        <f t="shared" si="119"/>
        <v>0</v>
      </c>
      <c r="J165" s="894">
        <f t="shared" si="119"/>
        <v>10111100</v>
      </c>
      <c r="K165" s="894">
        <f t="shared" si="119"/>
        <v>1049000</v>
      </c>
      <c r="L165" s="894">
        <f t="shared" si="119"/>
        <v>9029100</v>
      </c>
      <c r="M165" s="894">
        <f t="shared" si="119"/>
        <v>6977500</v>
      </c>
      <c r="N165" s="894">
        <f t="shared" si="119"/>
        <v>190100</v>
      </c>
      <c r="O165" s="894">
        <f t="shared" si="119"/>
        <v>1082000</v>
      </c>
      <c r="P165" s="894">
        <f t="shared" si="119"/>
        <v>79479456</v>
      </c>
      <c r="Q165" s="125"/>
      <c r="R165" s="892"/>
    </row>
    <row r="166" spans="1:18" ht="93" thickTop="1" thickBot="1" x14ac:dyDescent="0.25">
      <c r="A166" s="893" t="s">
        <v>794</v>
      </c>
      <c r="B166" s="893" t="s">
        <v>795</v>
      </c>
      <c r="C166" s="893" t="s">
        <v>199</v>
      </c>
      <c r="D166" s="893" t="s">
        <v>546</v>
      </c>
      <c r="E166" s="894">
        <f>F166</f>
        <v>69368356</v>
      </c>
      <c r="F166" s="313">
        <f>320540+76800+1220+13+198+(54164900+11916270+176295+394855+51550+1849900+30235+235500+100600+31580+17900)</f>
        <v>69368356</v>
      </c>
      <c r="G166" s="313">
        <f>(54164900)+320540</f>
        <v>54485440</v>
      </c>
      <c r="H166" s="313">
        <f>(1849900+30235+235500+100600+31580)+1220+13+198</f>
        <v>2249246</v>
      </c>
      <c r="I166" s="313"/>
      <c r="J166" s="894">
        <f t="shared" si="117"/>
        <v>10111100</v>
      </c>
      <c r="K166" s="313">
        <f>(1000000)+49000</f>
        <v>1049000</v>
      </c>
      <c r="L166" s="313">
        <f>(6977500+1530200+218650+101550+5500+190100+4000+1600)</f>
        <v>9029100</v>
      </c>
      <c r="M166" s="313">
        <v>6977500</v>
      </c>
      <c r="N166" s="313">
        <f>(160400+4900+18800+6000)</f>
        <v>190100</v>
      </c>
      <c r="O166" s="896">
        <f>K166+33000</f>
        <v>1082000</v>
      </c>
      <c r="P166" s="894">
        <f t="shared" si="118"/>
        <v>79479456</v>
      </c>
      <c r="R166" s="892" t="b">
        <f>K166='d6'!J148+'d6'!J147</f>
        <v>1</v>
      </c>
    </row>
    <row r="167" spans="1:18" s="2" customFormat="1" ht="47.25" thickTop="1" thickBot="1" x14ac:dyDescent="0.25">
      <c r="A167" s="455" t="s">
        <v>915</v>
      </c>
      <c r="B167" s="455" t="s">
        <v>916</v>
      </c>
      <c r="C167" s="455"/>
      <c r="D167" s="455" t="s">
        <v>917</v>
      </c>
      <c r="E167" s="894">
        <f>SUM(E168:E174)-E172</f>
        <v>55747535</v>
      </c>
      <c r="F167" s="894">
        <f t="shared" ref="F167:P167" si="120">SUM(F168:F174)-F172</f>
        <v>55747535</v>
      </c>
      <c r="G167" s="894">
        <f t="shared" si="120"/>
        <v>36276950</v>
      </c>
      <c r="H167" s="894">
        <f t="shared" si="120"/>
        <v>1659310</v>
      </c>
      <c r="I167" s="894">
        <f t="shared" si="120"/>
        <v>0</v>
      </c>
      <c r="J167" s="894">
        <f t="shared" si="120"/>
        <v>7065925</v>
      </c>
      <c r="K167" s="894">
        <f t="shared" si="120"/>
        <v>6297625</v>
      </c>
      <c r="L167" s="894">
        <f t="shared" si="120"/>
        <v>695300</v>
      </c>
      <c r="M167" s="894">
        <f t="shared" si="120"/>
        <v>368400</v>
      </c>
      <c r="N167" s="894">
        <f t="shared" si="120"/>
        <v>67300</v>
      </c>
      <c r="O167" s="894">
        <f t="shared" si="120"/>
        <v>6370625</v>
      </c>
      <c r="P167" s="894">
        <f t="shared" si="120"/>
        <v>62813460</v>
      </c>
      <c r="Q167" s="190"/>
      <c r="R167" s="198"/>
    </row>
    <row r="168" spans="1:18" ht="48" thickTop="1" thickBot="1" x14ac:dyDescent="0.25">
      <c r="A168" s="893" t="s">
        <v>185</v>
      </c>
      <c r="B168" s="893" t="s">
        <v>186</v>
      </c>
      <c r="C168" s="893" t="s">
        <v>188</v>
      </c>
      <c r="D168" s="893" t="s">
        <v>189</v>
      </c>
      <c r="E168" s="894">
        <f t="shared" ref="E168:E171" si="121">F168</f>
        <v>1030790</v>
      </c>
      <c r="F168" s="313">
        <f>(964300)+66490</f>
        <v>1030790</v>
      </c>
      <c r="G168" s="313"/>
      <c r="H168" s="313"/>
      <c r="I168" s="313"/>
      <c r="J168" s="894">
        <f t="shared" si="117"/>
        <v>0</v>
      </c>
      <c r="K168" s="313"/>
      <c r="L168" s="313"/>
      <c r="M168" s="313"/>
      <c r="N168" s="313"/>
      <c r="O168" s="896">
        <f t="shared" ref="O168:O174" si="122">K168</f>
        <v>0</v>
      </c>
      <c r="P168" s="894">
        <f t="shared" si="118"/>
        <v>1030790</v>
      </c>
      <c r="R168" s="198"/>
    </row>
    <row r="169" spans="1:18" ht="93" thickTop="1" thickBot="1" x14ac:dyDescent="0.25">
      <c r="A169" s="893" t="s">
        <v>190</v>
      </c>
      <c r="B169" s="893" t="s">
        <v>191</v>
      </c>
      <c r="C169" s="893" t="s">
        <v>192</v>
      </c>
      <c r="D169" s="893" t="s">
        <v>193</v>
      </c>
      <c r="E169" s="894">
        <f t="shared" si="121"/>
        <v>13805895</v>
      </c>
      <c r="F169" s="313">
        <f>49500+((10344300+2275745+143250+311400+5000+399000+9000+108420+19500+19280+56000+55000)+10500)</f>
        <v>13805895</v>
      </c>
      <c r="G169" s="313">
        <v>10344300</v>
      </c>
      <c r="H169" s="313">
        <f>(399000+9000+108420+19500+19280)</f>
        <v>555200</v>
      </c>
      <c r="I169" s="313"/>
      <c r="J169" s="894">
        <f t="shared" si="117"/>
        <v>1050000</v>
      </c>
      <c r="K169" s="313">
        <f>(10000+84000+28000+67000)+766000</f>
        <v>955000</v>
      </c>
      <c r="L169" s="313">
        <f>(15600+4400+29500+26200+19000+300)</f>
        <v>95000</v>
      </c>
      <c r="M169" s="313">
        <v>15600</v>
      </c>
      <c r="N169" s="313">
        <f>(17500+500+1000)</f>
        <v>19000</v>
      </c>
      <c r="O169" s="896">
        <f t="shared" si="122"/>
        <v>955000</v>
      </c>
      <c r="P169" s="894">
        <f t="shared" si="118"/>
        <v>14855895</v>
      </c>
      <c r="R169" s="892" t="b">
        <f>K169='d6'!J149+'d6'!J150+'d6'!J151</f>
        <v>1</v>
      </c>
    </row>
    <row r="170" spans="1:18" ht="93" thickTop="1" thickBot="1" x14ac:dyDescent="0.25">
      <c r="A170" s="893" t="s">
        <v>194</v>
      </c>
      <c r="B170" s="893" t="s">
        <v>195</v>
      </c>
      <c r="C170" s="893" t="s">
        <v>192</v>
      </c>
      <c r="D170" s="893" t="s">
        <v>500</v>
      </c>
      <c r="E170" s="894">
        <f t="shared" si="121"/>
        <v>1856955</v>
      </c>
      <c r="F170" s="313">
        <f>(1328500+292270+14055+20330+139800+4305+53715+3980)</f>
        <v>1856955</v>
      </c>
      <c r="G170" s="313">
        <v>1328500</v>
      </c>
      <c r="H170" s="313">
        <f>(139800+4305+53715+3980)</f>
        <v>201800</v>
      </c>
      <c r="I170" s="313"/>
      <c r="J170" s="894">
        <f t="shared" si="117"/>
        <v>5245100</v>
      </c>
      <c r="K170" s="313">
        <f>(3000000)+2000000+14900+150000</f>
        <v>5164900</v>
      </c>
      <c r="L170" s="313">
        <f>(8100+1900+35800+27700+5700+1000)</f>
        <v>80200</v>
      </c>
      <c r="M170" s="313">
        <v>8100</v>
      </c>
      <c r="N170" s="313">
        <f>(3800+400+1500)</f>
        <v>5700</v>
      </c>
      <c r="O170" s="896">
        <f t="shared" si="122"/>
        <v>5164900</v>
      </c>
      <c r="P170" s="894">
        <f t="shared" si="118"/>
        <v>7102055</v>
      </c>
      <c r="R170" s="892" t="b">
        <f>K170='d6'!J152+'d6'!J153</f>
        <v>1</v>
      </c>
    </row>
    <row r="171" spans="1:18" ht="184.5" thickTop="1" thickBot="1" x14ac:dyDescent="0.25">
      <c r="A171" s="893" t="s">
        <v>196</v>
      </c>
      <c r="B171" s="893" t="s">
        <v>187</v>
      </c>
      <c r="C171" s="893" t="s">
        <v>197</v>
      </c>
      <c r="D171" s="893" t="s">
        <v>198</v>
      </c>
      <c r="E171" s="894">
        <f t="shared" si="121"/>
        <v>13555465</v>
      </c>
      <c r="F171" s="313">
        <f>39000+8550+15000+((8640350+1900875+330000+342570+7900+428200+11375+288695+93120+37570+3760+24800)+7500+7000+1122300+246900)</f>
        <v>13555465</v>
      </c>
      <c r="G171" s="313">
        <f>39000+((8640350)+1122300)</f>
        <v>9801650</v>
      </c>
      <c r="H171" s="313">
        <f>(428200+11375+288695+93120+37570)</f>
        <v>858960</v>
      </c>
      <c r="I171" s="313"/>
      <c r="J171" s="894">
        <f t="shared" si="117"/>
        <v>602200</v>
      </c>
      <c r="K171" s="313">
        <f>(124500)+16500+5100</f>
        <v>146100</v>
      </c>
      <c r="L171" s="313">
        <f>(334300+73600+5500+42600+100)</f>
        <v>456100</v>
      </c>
      <c r="M171" s="313">
        <v>334300</v>
      </c>
      <c r="N171" s="313">
        <f>(32600+800+9200)</f>
        <v>42600</v>
      </c>
      <c r="O171" s="896">
        <f>K171</f>
        <v>146100</v>
      </c>
      <c r="P171" s="894">
        <f t="shared" si="118"/>
        <v>14157665</v>
      </c>
      <c r="R171" s="892" t="b">
        <f>K171='d6'!J154</f>
        <v>1</v>
      </c>
    </row>
    <row r="172" spans="1:18" ht="93" thickTop="1" thickBot="1" x14ac:dyDescent="0.25">
      <c r="A172" s="365" t="s">
        <v>918</v>
      </c>
      <c r="B172" s="365" t="s">
        <v>919</v>
      </c>
      <c r="C172" s="365"/>
      <c r="D172" s="365" t="s">
        <v>920</v>
      </c>
      <c r="E172" s="367">
        <f>SUM(E173:E174)</f>
        <v>25498430</v>
      </c>
      <c r="F172" s="367">
        <f t="shared" ref="F172:P172" si="123">SUM(F173:F174)</f>
        <v>25498430</v>
      </c>
      <c r="G172" s="367">
        <f t="shared" si="123"/>
        <v>14802500</v>
      </c>
      <c r="H172" s="367">
        <f t="shared" si="123"/>
        <v>43350</v>
      </c>
      <c r="I172" s="367">
        <f t="shared" si="123"/>
        <v>0</v>
      </c>
      <c r="J172" s="367">
        <f t="shared" si="123"/>
        <v>168625</v>
      </c>
      <c r="K172" s="367">
        <f t="shared" si="123"/>
        <v>31625</v>
      </c>
      <c r="L172" s="367">
        <f t="shared" si="123"/>
        <v>64000</v>
      </c>
      <c r="M172" s="367">
        <f t="shared" si="123"/>
        <v>10400</v>
      </c>
      <c r="N172" s="367">
        <f t="shared" si="123"/>
        <v>0</v>
      </c>
      <c r="O172" s="367">
        <f t="shared" si="123"/>
        <v>104625</v>
      </c>
      <c r="P172" s="367">
        <f t="shared" si="123"/>
        <v>25667055</v>
      </c>
      <c r="R172" s="892"/>
    </row>
    <row r="173" spans="1:18" ht="138.75" thickTop="1" thickBot="1" x14ac:dyDescent="0.25">
      <c r="A173" s="893" t="s">
        <v>358</v>
      </c>
      <c r="B173" s="893" t="s">
        <v>359</v>
      </c>
      <c r="C173" s="893" t="s">
        <v>200</v>
      </c>
      <c r="D173" s="893" t="s">
        <v>501</v>
      </c>
      <c r="E173" s="894">
        <f>F173</f>
        <v>19182270</v>
      </c>
      <c r="F173" s="313">
        <f>(14802500+3256550+131640+99230+39000+3900+450+804000)+45000</f>
        <v>19182270</v>
      </c>
      <c r="G173" s="313">
        <v>14802500</v>
      </c>
      <c r="H173" s="313">
        <f>(39000+3900+450)</f>
        <v>43350</v>
      </c>
      <c r="I173" s="313"/>
      <c r="J173" s="894">
        <f t="shared" si="117"/>
        <v>168625</v>
      </c>
      <c r="K173" s="313">
        <v>31625</v>
      </c>
      <c r="L173" s="313">
        <f>(10400+2200+6000+45400)</f>
        <v>64000</v>
      </c>
      <c r="M173" s="313">
        <v>10400</v>
      </c>
      <c r="N173" s="313"/>
      <c r="O173" s="896">
        <f>K173+73000</f>
        <v>104625</v>
      </c>
      <c r="P173" s="894">
        <f t="shared" si="118"/>
        <v>19350895</v>
      </c>
      <c r="R173" s="892" t="b">
        <f>K173='d6'!J155</f>
        <v>1</v>
      </c>
    </row>
    <row r="174" spans="1:18" ht="93" thickTop="1" thickBot="1" x14ac:dyDescent="0.25">
      <c r="A174" s="893" t="s">
        <v>360</v>
      </c>
      <c r="B174" s="893" t="s">
        <v>361</v>
      </c>
      <c r="C174" s="893" t="s">
        <v>200</v>
      </c>
      <c r="D174" s="893" t="s">
        <v>502</v>
      </c>
      <c r="E174" s="894">
        <f>F174</f>
        <v>6316160</v>
      </c>
      <c r="F174" s="313">
        <f>(1195320+2805840+315000)+2000000</f>
        <v>6316160</v>
      </c>
      <c r="G174" s="313"/>
      <c r="H174" s="313"/>
      <c r="I174" s="313"/>
      <c r="J174" s="894">
        <f t="shared" si="117"/>
        <v>0</v>
      </c>
      <c r="K174" s="313"/>
      <c r="L174" s="313"/>
      <c r="M174" s="313"/>
      <c r="N174" s="313"/>
      <c r="O174" s="896">
        <f t="shared" si="122"/>
        <v>0</v>
      </c>
      <c r="P174" s="894">
        <f t="shared" si="118"/>
        <v>6316160</v>
      </c>
      <c r="R174" s="198"/>
    </row>
    <row r="175" spans="1:18" ht="47.25" thickTop="1" thickBot="1" x14ac:dyDescent="0.25">
      <c r="A175" s="455" t="s">
        <v>1124</v>
      </c>
      <c r="B175" s="454" t="s">
        <v>908</v>
      </c>
      <c r="C175" s="454"/>
      <c r="D175" s="454" t="s">
        <v>909</v>
      </c>
      <c r="E175" s="894">
        <f>SUM(E176)</f>
        <v>150000</v>
      </c>
      <c r="F175" s="894">
        <f t="shared" ref="F175:P175" si="124">SUM(F176)</f>
        <v>150000</v>
      </c>
      <c r="G175" s="894">
        <f t="shared" si="124"/>
        <v>0</v>
      </c>
      <c r="H175" s="894">
        <f t="shared" si="124"/>
        <v>0</v>
      </c>
      <c r="I175" s="894">
        <f t="shared" si="124"/>
        <v>0</v>
      </c>
      <c r="J175" s="894">
        <f t="shared" si="124"/>
        <v>300000</v>
      </c>
      <c r="K175" s="894">
        <f t="shared" si="124"/>
        <v>300000</v>
      </c>
      <c r="L175" s="894">
        <f t="shared" si="124"/>
        <v>0</v>
      </c>
      <c r="M175" s="894">
        <f t="shared" si="124"/>
        <v>0</v>
      </c>
      <c r="N175" s="894">
        <f t="shared" si="124"/>
        <v>0</v>
      </c>
      <c r="O175" s="894">
        <f t="shared" si="124"/>
        <v>300000</v>
      </c>
      <c r="P175" s="894">
        <f t="shared" si="124"/>
        <v>450000</v>
      </c>
      <c r="R175" s="198"/>
    </row>
    <row r="176" spans="1:18" ht="136.5" thickTop="1" thickBot="1" x14ac:dyDescent="0.25">
      <c r="A176" s="404" t="s">
        <v>1125</v>
      </c>
      <c r="B176" s="404" t="s">
        <v>850</v>
      </c>
      <c r="C176" s="404"/>
      <c r="D176" s="404" t="s">
        <v>848</v>
      </c>
      <c r="E176" s="366">
        <f>E177+E179</f>
        <v>150000</v>
      </c>
      <c r="F176" s="366">
        <f t="shared" ref="F176:O176" si="125">F177+F179</f>
        <v>150000</v>
      </c>
      <c r="G176" s="366">
        <f t="shared" si="125"/>
        <v>0</v>
      </c>
      <c r="H176" s="366">
        <f t="shared" si="125"/>
        <v>0</v>
      </c>
      <c r="I176" s="366">
        <f t="shared" si="125"/>
        <v>0</v>
      </c>
      <c r="J176" s="366">
        <f t="shared" si="125"/>
        <v>300000</v>
      </c>
      <c r="K176" s="366">
        <f t="shared" si="125"/>
        <v>300000</v>
      </c>
      <c r="L176" s="366">
        <f t="shared" si="125"/>
        <v>0</v>
      </c>
      <c r="M176" s="366">
        <f t="shared" si="125"/>
        <v>0</v>
      </c>
      <c r="N176" s="366">
        <f t="shared" si="125"/>
        <v>0</v>
      </c>
      <c r="O176" s="366">
        <f t="shared" si="125"/>
        <v>300000</v>
      </c>
      <c r="P176" s="366">
        <f>P177+P179</f>
        <v>450000</v>
      </c>
      <c r="R176" s="198"/>
    </row>
    <row r="177" spans="1:18" ht="93" thickTop="1" thickBot="1" x14ac:dyDescent="0.25">
      <c r="A177" s="365" t="s">
        <v>1378</v>
      </c>
      <c r="B177" s="365" t="s">
        <v>1379</v>
      </c>
      <c r="C177" s="365"/>
      <c r="D177" s="365" t="s">
        <v>1377</v>
      </c>
      <c r="E177" s="367">
        <f>E178</f>
        <v>150000</v>
      </c>
      <c r="F177" s="367">
        <f t="shared" ref="F177:P177" si="126">F178</f>
        <v>150000</v>
      </c>
      <c r="G177" s="367">
        <f t="shared" si="126"/>
        <v>0</v>
      </c>
      <c r="H177" s="367">
        <f t="shared" si="126"/>
        <v>0</v>
      </c>
      <c r="I177" s="367">
        <f t="shared" si="126"/>
        <v>0</v>
      </c>
      <c r="J177" s="367">
        <f t="shared" si="126"/>
        <v>0</v>
      </c>
      <c r="K177" s="367">
        <f t="shared" si="126"/>
        <v>0</v>
      </c>
      <c r="L177" s="367">
        <f t="shared" si="126"/>
        <v>0</v>
      </c>
      <c r="M177" s="367">
        <f t="shared" si="126"/>
        <v>0</v>
      </c>
      <c r="N177" s="367">
        <f t="shared" si="126"/>
        <v>0</v>
      </c>
      <c r="O177" s="367">
        <f t="shared" si="126"/>
        <v>0</v>
      </c>
      <c r="P177" s="367">
        <f t="shared" si="126"/>
        <v>150000</v>
      </c>
      <c r="R177" s="198"/>
    </row>
    <row r="178" spans="1:18" ht="153" customHeight="1" thickTop="1" thickBot="1" x14ac:dyDescent="0.25">
      <c r="A178" s="893" t="s">
        <v>1381</v>
      </c>
      <c r="B178" s="893" t="s">
        <v>1382</v>
      </c>
      <c r="C178" s="893" t="s">
        <v>231</v>
      </c>
      <c r="D178" s="893" t="s">
        <v>1380</v>
      </c>
      <c r="E178" s="894">
        <f t="shared" ref="E178:E179" si="127">F178</f>
        <v>150000</v>
      </c>
      <c r="F178" s="313">
        <v>150000</v>
      </c>
      <c r="G178" s="313"/>
      <c r="H178" s="313"/>
      <c r="I178" s="313"/>
      <c r="J178" s="894">
        <f>L178+O178</f>
        <v>0</v>
      </c>
      <c r="K178" s="313"/>
      <c r="L178" s="313"/>
      <c r="M178" s="313"/>
      <c r="N178" s="313"/>
      <c r="O178" s="896">
        <f>K178</f>
        <v>0</v>
      </c>
      <c r="P178" s="894">
        <f>E178+J178</f>
        <v>150000</v>
      </c>
      <c r="R178" s="198"/>
    </row>
    <row r="179" spans="1:18" ht="93" thickTop="1" thickBot="1" x14ac:dyDescent="0.25">
      <c r="A179" s="893" t="s">
        <v>1126</v>
      </c>
      <c r="B179" s="893" t="s">
        <v>215</v>
      </c>
      <c r="C179" s="893" t="s">
        <v>184</v>
      </c>
      <c r="D179" s="893" t="s">
        <v>36</v>
      </c>
      <c r="E179" s="894">
        <f t="shared" si="127"/>
        <v>0</v>
      </c>
      <c r="F179" s="313"/>
      <c r="G179" s="313"/>
      <c r="H179" s="313"/>
      <c r="I179" s="313"/>
      <c r="J179" s="894">
        <f t="shared" ref="J179" si="128">L179+O179</f>
        <v>300000</v>
      </c>
      <c r="K179" s="313">
        <f>200000+100000</f>
        <v>300000</v>
      </c>
      <c r="L179" s="313"/>
      <c r="M179" s="313"/>
      <c r="N179" s="313"/>
      <c r="O179" s="896">
        <f t="shared" ref="O179" si="129">K179</f>
        <v>300000</v>
      </c>
      <c r="P179" s="894">
        <f t="shared" ref="P179" si="130">E179+J179</f>
        <v>300000</v>
      </c>
      <c r="R179" s="892" t="b">
        <f>K179='d6'!J156+'d6'!J157</f>
        <v>0</v>
      </c>
    </row>
    <row r="180" spans="1:18" ht="47.25" thickTop="1" thickBot="1" x14ac:dyDescent="0.25">
      <c r="A180" s="455" t="s">
        <v>921</v>
      </c>
      <c r="B180" s="455" t="s">
        <v>861</v>
      </c>
      <c r="C180" s="455"/>
      <c r="D180" s="455" t="s">
        <v>862</v>
      </c>
      <c r="E180" s="894">
        <f>E181</f>
        <v>558137</v>
      </c>
      <c r="F180" s="894">
        <f t="shared" ref="F180:P181" si="131">F181</f>
        <v>558137</v>
      </c>
      <c r="G180" s="894">
        <f t="shared" si="131"/>
        <v>0</v>
      </c>
      <c r="H180" s="894">
        <f t="shared" si="131"/>
        <v>0</v>
      </c>
      <c r="I180" s="894">
        <f t="shared" si="131"/>
        <v>0</v>
      </c>
      <c r="J180" s="894">
        <f t="shared" si="131"/>
        <v>0</v>
      </c>
      <c r="K180" s="894">
        <f t="shared" si="131"/>
        <v>0</v>
      </c>
      <c r="L180" s="894">
        <f t="shared" si="131"/>
        <v>0</v>
      </c>
      <c r="M180" s="894">
        <f t="shared" si="131"/>
        <v>0</v>
      </c>
      <c r="N180" s="894">
        <f t="shared" si="131"/>
        <v>0</v>
      </c>
      <c r="O180" s="894">
        <f t="shared" si="131"/>
        <v>0</v>
      </c>
      <c r="P180" s="894">
        <f t="shared" si="131"/>
        <v>558137</v>
      </c>
      <c r="R180" s="198"/>
    </row>
    <row r="181" spans="1:18" ht="271.5" thickTop="1" thickBot="1" x14ac:dyDescent="0.25">
      <c r="A181" s="404" t="s">
        <v>922</v>
      </c>
      <c r="B181" s="404" t="s">
        <v>864</v>
      </c>
      <c r="C181" s="404"/>
      <c r="D181" s="404" t="s">
        <v>865</v>
      </c>
      <c r="E181" s="366">
        <f>E182</f>
        <v>558137</v>
      </c>
      <c r="F181" s="366">
        <f t="shared" si="131"/>
        <v>558137</v>
      </c>
      <c r="G181" s="366">
        <f t="shared" si="131"/>
        <v>0</v>
      </c>
      <c r="H181" s="366">
        <f t="shared" si="131"/>
        <v>0</v>
      </c>
      <c r="I181" s="366">
        <f t="shared" si="131"/>
        <v>0</v>
      </c>
      <c r="J181" s="366">
        <f t="shared" si="131"/>
        <v>0</v>
      </c>
      <c r="K181" s="366">
        <f t="shared" si="131"/>
        <v>0</v>
      </c>
      <c r="L181" s="366">
        <f t="shared" si="131"/>
        <v>0</v>
      </c>
      <c r="M181" s="366">
        <f t="shared" si="131"/>
        <v>0</v>
      </c>
      <c r="N181" s="366">
        <f t="shared" si="131"/>
        <v>0</v>
      </c>
      <c r="O181" s="366">
        <f t="shared" si="131"/>
        <v>0</v>
      </c>
      <c r="P181" s="366">
        <f t="shared" si="131"/>
        <v>558137</v>
      </c>
      <c r="R181" s="198"/>
    </row>
    <row r="182" spans="1:18" ht="93" thickTop="1" thickBot="1" x14ac:dyDescent="0.25">
      <c r="A182" s="893" t="s">
        <v>715</v>
      </c>
      <c r="B182" s="893" t="s">
        <v>389</v>
      </c>
      <c r="C182" s="893" t="s">
        <v>45</v>
      </c>
      <c r="D182" s="893" t="s">
        <v>390</v>
      </c>
      <c r="E182" s="894">
        <f t="shared" ref="E182" si="132">F182</f>
        <v>558137</v>
      </c>
      <c r="F182" s="313">
        <v>558137</v>
      </c>
      <c r="G182" s="313"/>
      <c r="H182" s="313"/>
      <c r="I182" s="313"/>
      <c r="J182" s="894">
        <f>L182+O182</f>
        <v>0</v>
      </c>
      <c r="K182" s="313"/>
      <c r="L182" s="313"/>
      <c r="M182" s="313"/>
      <c r="N182" s="313"/>
      <c r="O182" s="896">
        <f>K182</f>
        <v>0</v>
      </c>
      <c r="P182" s="894">
        <f>E182+J182</f>
        <v>558137</v>
      </c>
      <c r="R182" s="198"/>
    </row>
    <row r="183" spans="1:18" ht="136.5" thickTop="1" thickBot="1" x14ac:dyDescent="0.25">
      <c r="A183" s="853" t="s">
        <v>22</v>
      </c>
      <c r="B183" s="853"/>
      <c r="C183" s="853"/>
      <c r="D183" s="854" t="s">
        <v>23</v>
      </c>
      <c r="E183" s="855">
        <f>E184</f>
        <v>94491048.530000001</v>
      </c>
      <c r="F183" s="856">
        <f t="shared" ref="F183:G183" si="133">F184</f>
        <v>94491048.530000001</v>
      </c>
      <c r="G183" s="856">
        <f t="shared" si="133"/>
        <v>42269095</v>
      </c>
      <c r="H183" s="856">
        <f>H184</f>
        <v>2293040</v>
      </c>
      <c r="I183" s="856">
        <f t="shared" ref="I183" si="134">I184</f>
        <v>0</v>
      </c>
      <c r="J183" s="855">
        <f>J184</f>
        <v>7374431</v>
      </c>
      <c r="K183" s="856">
        <f>K184</f>
        <v>5470186</v>
      </c>
      <c r="L183" s="856">
        <f>L184</f>
        <v>1894298</v>
      </c>
      <c r="M183" s="856">
        <f t="shared" ref="M183" si="135">M184</f>
        <v>880762</v>
      </c>
      <c r="N183" s="856">
        <f>N184</f>
        <v>290578</v>
      </c>
      <c r="O183" s="855">
        <f>O184</f>
        <v>5480133</v>
      </c>
      <c r="P183" s="856">
        <f t="shared" ref="P183" si="136">P184</f>
        <v>101865479.53</v>
      </c>
    </row>
    <row r="184" spans="1:18" ht="136.5" thickTop="1" thickBot="1" x14ac:dyDescent="0.25">
      <c r="A184" s="857" t="s">
        <v>21</v>
      </c>
      <c r="B184" s="857"/>
      <c r="C184" s="857"/>
      <c r="D184" s="858" t="s">
        <v>37</v>
      </c>
      <c r="E184" s="859">
        <f>E185+E191+E204+E207</f>
        <v>94491048.530000001</v>
      </c>
      <c r="F184" s="859">
        <f t="shared" ref="F184:I184" si="137">F185+F191+F204+F207</f>
        <v>94491048.530000001</v>
      </c>
      <c r="G184" s="859">
        <f t="shared" si="137"/>
        <v>42269095</v>
      </c>
      <c r="H184" s="859">
        <f t="shared" si="137"/>
        <v>2293040</v>
      </c>
      <c r="I184" s="859">
        <f t="shared" si="137"/>
        <v>0</v>
      </c>
      <c r="J184" s="859">
        <f>L184+O184</f>
        <v>7374431</v>
      </c>
      <c r="K184" s="859">
        <f t="shared" ref="K184:N184" si="138">K185+K191+K204+K207</f>
        <v>5470186</v>
      </c>
      <c r="L184" s="859">
        <f t="shared" si="138"/>
        <v>1894298</v>
      </c>
      <c r="M184" s="859">
        <f t="shared" si="138"/>
        <v>880762</v>
      </c>
      <c r="N184" s="859">
        <f t="shared" si="138"/>
        <v>290578</v>
      </c>
      <c r="O184" s="859">
        <f>O185+O191+O204+O207</f>
        <v>5480133</v>
      </c>
      <c r="P184" s="859">
        <f>E184+J184</f>
        <v>101865479.53</v>
      </c>
      <c r="Q184" s="125" t="b">
        <f>P184=P187+P189+P190+P193+P194+P196+P198+P199+P201+P202+P203+P206+P209</f>
        <v>1</v>
      </c>
      <c r="R184" s="892" t="b">
        <f>K184='d6'!J159</f>
        <v>0</v>
      </c>
    </row>
    <row r="185" spans="1:18" ht="91.5" thickTop="1" thickBot="1" x14ac:dyDescent="0.25">
      <c r="A185" s="455" t="s">
        <v>923</v>
      </c>
      <c r="B185" s="455" t="s">
        <v>870</v>
      </c>
      <c r="C185" s="455"/>
      <c r="D185" s="455" t="s">
        <v>871</v>
      </c>
      <c r="E185" s="465">
        <f>SUM(E186:E190)-E186-E188</f>
        <v>16783772</v>
      </c>
      <c r="F185" s="465">
        <f t="shared" ref="F185:P185" si="139">SUM(F186:F190)-F186-F188</f>
        <v>16783772</v>
      </c>
      <c r="G185" s="465">
        <f t="shared" si="139"/>
        <v>7871695</v>
      </c>
      <c r="H185" s="465">
        <f t="shared" si="139"/>
        <v>636305</v>
      </c>
      <c r="I185" s="465">
        <f t="shared" si="139"/>
        <v>0</v>
      </c>
      <c r="J185" s="470">
        <f t="shared" si="139"/>
        <v>1061957</v>
      </c>
      <c r="K185" s="470">
        <f t="shared" si="139"/>
        <v>733957</v>
      </c>
      <c r="L185" s="470">
        <f t="shared" si="139"/>
        <v>318053</v>
      </c>
      <c r="M185" s="470">
        <f t="shared" si="139"/>
        <v>175000</v>
      </c>
      <c r="N185" s="470">
        <f t="shared" si="139"/>
        <v>78200</v>
      </c>
      <c r="O185" s="470">
        <f t="shared" si="139"/>
        <v>743904</v>
      </c>
      <c r="P185" s="470">
        <f t="shared" si="139"/>
        <v>17845729</v>
      </c>
      <c r="Q185" s="125"/>
      <c r="R185" s="892"/>
    </row>
    <row r="186" spans="1:18" s="39" customFormat="1" ht="138.75" thickTop="1" thickBot="1" x14ac:dyDescent="0.25">
      <c r="A186" s="365" t="s">
        <v>924</v>
      </c>
      <c r="B186" s="365" t="s">
        <v>925</v>
      </c>
      <c r="C186" s="365"/>
      <c r="D186" s="365" t="s">
        <v>926</v>
      </c>
      <c r="E186" s="462">
        <f>E187</f>
        <v>5308676</v>
      </c>
      <c r="F186" s="462">
        <f t="shared" ref="F186:P186" si="140">F187</f>
        <v>5308676</v>
      </c>
      <c r="G186" s="462">
        <f t="shared" si="140"/>
        <v>4125520</v>
      </c>
      <c r="H186" s="462">
        <f t="shared" si="140"/>
        <v>90420</v>
      </c>
      <c r="I186" s="462">
        <f t="shared" si="140"/>
        <v>0</v>
      </c>
      <c r="J186" s="881">
        <f t="shared" si="140"/>
        <v>0</v>
      </c>
      <c r="K186" s="881">
        <f t="shared" si="140"/>
        <v>0</v>
      </c>
      <c r="L186" s="881">
        <f t="shared" si="140"/>
        <v>0</v>
      </c>
      <c r="M186" s="881">
        <f t="shared" si="140"/>
        <v>0</v>
      </c>
      <c r="N186" s="881">
        <f t="shared" si="140"/>
        <v>0</v>
      </c>
      <c r="O186" s="881">
        <f t="shared" si="140"/>
        <v>0</v>
      </c>
      <c r="P186" s="881">
        <f t="shared" si="140"/>
        <v>5308676</v>
      </c>
      <c r="Q186" s="461"/>
      <c r="R186" s="453"/>
    </row>
    <row r="187" spans="1:18" ht="138.75" thickTop="1" thickBot="1" x14ac:dyDescent="0.25">
      <c r="A187" s="893" t="s">
        <v>201</v>
      </c>
      <c r="B187" s="893" t="s">
        <v>202</v>
      </c>
      <c r="C187" s="893" t="s">
        <v>203</v>
      </c>
      <c r="D187" s="893" t="s">
        <v>796</v>
      </c>
      <c r="E187" s="324">
        <f t="shared" ref="E187:E202" si="141">F187</f>
        <v>5308676</v>
      </c>
      <c r="F187" s="170">
        <f>((4125520+907615+59600+79015+35280+49795+2585+34440+3600+2145)+3500)+3301+2280</f>
        <v>5308676</v>
      </c>
      <c r="G187" s="170">
        <v>4125520</v>
      </c>
      <c r="H187" s="170">
        <f>(49795+2585+34440+3600)</f>
        <v>90420</v>
      </c>
      <c r="I187" s="170"/>
      <c r="J187" s="894">
        <f t="shared" ref="J187:J209" si="142">L187+O187</f>
        <v>0</v>
      </c>
      <c r="K187" s="170"/>
      <c r="L187" s="847"/>
      <c r="M187" s="847"/>
      <c r="N187" s="847"/>
      <c r="O187" s="896">
        <f t="shared" ref="O187:O209" si="143">K187</f>
        <v>0</v>
      </c>
      <c r="P187" s="894">
        <f>+J187+E187</f>
        <v>5308676</v>
      </c>
      <c r="Q187" s="198"/>
      <c r="R187" s="198"/>
    </row>
    <row r="188" spans="1:18" s="39" customFormat="1" ht="93" thickTop="1" thickBot="1" x14ac:dyDescent="0.25">
      <c r="A188" s="365" t="s">
        <v>927</v>
      </c>
      <c r="B188" s="365" t="s">
        <v>928</v>
      </c>
      <c r="C188" s="365"/>
      <c r="D188" s="365" t="s">
        <v>929</v>
      </c>
      <c r="E188" s="464">
        <f>SUM(E189:E190)</f>
        <v>11475096</v>
      </c>
      <c r="F188" s="464">
        <f t="shared" ref="F188:P188" si="144">SUM(F189:F190)</f>
        <v>11475096</v>
      </c>
      <c r="G188" s="464">
        <f t="shared" si="144"/>
        <v>3746175</v>
      </c>
      <c r="H188" s="464">
        <f t="shared" si="144"/>
        <v>545885</v>
      </c>
      <c r="I188" s="464">
        <f t="shared" si="144"/>
        <v>0</v>
      </c>
      <c r="J188" s="464">
        <f t="shared" si="144"/>
        <v>1061957</v>
      </c>
      <c r="K188" s="464">
        <f t="shared" si="144"/>
        <v>733957</v>
      </c>
      <c r="L188" s="464">
        <f t="shared" si="144"/>
        <v>318053</v>
      </c>
      <c r="M188" s="464">
        <f t="shared" si="144"/>
        <v>175000</v>
      </c>
      <c r="N188" s="464">
        <f t="shared" si="144"/>
        <v>78200</v>
      </c>
      <c r="O188" s="464">
        <f t="shared" si="144"/>
        <v>743904</v>
      </c>
      <c r="P188" s="464">
        <f t="shared" si="144"/>
        <v>12537053</v>
      </c>
      <c r="Q188" s="447"/>
      <c r="R188" s="447"/>
    </row>
    <row r="189" spans="1:18" s="501" customFormat="1" ht="93" thickTop="1" thickBot="1" x14ac:dyDescent="0.25">
      <c r="A189" s="893" t="s">
        <v>207</v>
      </c>
      <c r="B189" s="893" t="s">
        <v>208</v>
      </c>
      <c r="C189" s="893" t="s">
        <v>203</v>
      </c>
      <c r="D189" s="893" t="s">
        <v>10</v>
      </c>
      <c r="E189" s="324">
        <f t="shared" si="141"/>
        <v>4435310</v>
      </c>
      <c r="F189" s="170">
        <f>(2725415+599590+377485+251835+384905+4560+86670+3450+1400)</f>
        <v>4435310</v>
      </c>
      <c r="G189" s="170">
        <v>2725415</v>
      </c>
      <c r="H189" s="170">
        <f>(384905+4560+86670+3450)</f>
        <v>479585</v>
      </c>
      <c r="I189" s="170"/>
      <c r="J189" s="894">
        <f t="shared" si="142"/>
        <v>1058957</v>
      </c>
      <c r="K189" s="170">
        <f>(733957)</f>
        <v>733957</v>
      </c>
      <c r="L189" s="847">
        <f>(175000+38500+27300+5000+36500+4800+35400+1500+1000)-9947</f>
        <v>315053</v>
      </c>
      <c r="M189" s="847">
        <v>175000</v>
      </c>
      <c r="N189" s="847">
        <f>(36500+4800+35400+1500)</f>
        <v>78200</v>
      </c>
      <c r="O189" s="896">
        <f>K189+9947</f>
        <v>743904</v>
      </c>
      <c r="P189" s="894">
        <f t="shared" ref="P189:P209" si="145">E189+J189</f>
        <v>5494267</v>
      </c>
      <c r="Q189" s="499"/>
      <c r="R189" s="502" t="b">
        <f>K189='d6'!J161+'d6'!J160</f>
        <v>1</v>
      </c>
    </row>
    <row r="190" spans="1:18" s="505" customFormat="1" ht="93" thickTop="1" thickBot="1" x14ac:dyDescent="0.25">
      <c r="A190" s="893" t="s">
        <v>377</v>
      </c>
      <c r="B190" s="893" t="s">
        <v>378</v>
      </c>
      <c r="C190" s="893" t="s">
        <v>203</v>
      </c>
      <c r="D190" s="893" t="s">
        <v>379</v>
      </c>
      <c r="E190" s="324">
        <f t="shared" si="141"/>
        <v>7039786</v>
      </c>
      <c r="F190" s="170">
        <f>200000+60000+((83645+830710+1020760+224570+61795+14860+37320+2075+23905+3000+2478500+545270+473390+27940+536310+404810)+10926)</f>
        <v>7039786</v>
      </c>
      <c r="G190" s="170">
        <v>1020760</v>
      </c>
      <c r="H190" s="170">
        <f>(37320+2075+23905+3000)</f>
        <v>66300</v>
      </c>
      <c r="I190" s="170"/>
      <c r="J190" s="894">
        <f t="shared" si="142"/>
        <v>3000</v>
      </c>
      <c r="K190" s="170"/>
      <c r="L190" s="847">
        <v>3000</v>
      </c>
      <c r="M190" s="847"/>
      <c r="N190" s="847"/>
      <c r="O190" s="896">
        <f t="shared" si="143"/>
        <v>0</v>
      </c>
      <c r="P190" s="894">
        <f t="shared" si="145"/>
        <v>7042786</v>
      </c>
      <c r="Q190" s="503"/>
      <c r="R190" s="504"/>
    </row>
    <row r="191" spans="1:18" ht="47.25" thickTop="1" thickBot="1" x14ac:dyDescent="0.25">
      <c r="A191" s="455" t="s">
        <v>930</v>
      </c>
      <c r="B191" s="455" t="s">
        <v>931</v>
      </c>
      <c r="C191" s="893"/>
      <c r="D191" s="455" t="s">
        <v>932</v>
      </c>
      <c r="E191" s="324">
        <f>SUM(E192:E203)-E192-E195-E197-E200</f>
        <v>77681852</v>
      </c>
      <c r="F191" s="324">
        <f t="shared" ref="F191:P191" si="146">SUM(F192:F203)-F192-F195-F197-F200</f>
        <v>77681852</v>
      </c>
      <c r="G191" s="324">
        <f t="shared" si="146"/>
        <v>34397400</v>
      </c>
      <c r="H191" s="324">
        <f t="shared" si="146"/>
        <v>1656735</v>
      </c>
      <c r="I191" s="324">
        <f t="shared" si="146"/>
        <v>0</v>
      </c>
      <c r="J191" s="324">
        <f t="shared" si="146"/>
        <v>5291000</v>
      </c>
      <c r="K191" s="324">
        <f t="shared" si="146"/>
        <v>3714755</v>
      </c>
      <c r="L191" s="324">
        <f t="shared" si="146"/>
        <v>1576245</v>
      </c>
      <c r="M191" s="324">
        <f t="shared" si="146"/>
        <v>705762</v>
      </c>
      <c r="N191" s="324">
        <f t="shared" si="146"/>
        <v>212378</v>
      </c>
      <c r="O191" s="324">
        <f t="shared" si="146"/>
        <v>3714755</v>
      </c>
      <c r="P191" s="324">
        <f t="shared" si="146"/>
        <v>82972852</v>
      </c>
      <c r="R191" s="892"/>
    </row>
    <row r="192" spans="1:18" s="39" customFormat="1" ht="93" thickTop="1" thickBot="1" x14ac:dyDescent="0.25">
      <c r="A192" s="365" t="s">
        <v>933</v>
      </c>
      <c r="B192" s="365" t="s">
        <v>934</v>
      </c>
      <c r="C192" s="365"/>
      <c r="D192" s="365" t="s">
        <v>935</v>
      </c>
      <c r="E192" s="464">
        <f>SUM(E193:E194)</f>
        <v>17074487</v>
      </c>
      <c r="F192" s="464">
        <f t="shared" ref="F192:P192" si="147">SUM(F193:F194)</f>
        <v>17074487</v>
      </c>
      <c r="G192" s="464">
        <f t="shared" si="147"/>
        <v>0</v>
      </c>
      <c r="H192" s="464">
        <f t="shared" si="147"/>
        <v>0</v>
      </c>
      <c r="I192" s="464">
        <f t="shared" si="147"/>
        <v>0</v>
      </c>
      <c r="J192" s="464">
        <f t="shared" si="147"/>
        <v>0</v>
      </c>
      <c r="K192" s="464">
        <f t="shared" si="147"/>
        <v>0</v>
      </c>
      <c r="L192" s="464">
        <f t="shared" si="147"/>
        <v>0</v>
      </c>
      <c r="M192" s="464">
        <f t="shared" si="147"/>
        <v>0</v>
      </c>
      <c r="N192" s="464">
        <f t="shared" si="147"/>
        <v>0</v>
      </c>
      <c r="O192" s="464">
        <f t="shared" si="147"/>
        <v>0</v>
      </c>
      <c r="P192" s="464">
        <f t="shared" si="147"/>
        <v>17074487</v>
      </c>
      <c r="Q192" s="194"/>
      <c r="R192" s="453"/>
    </row>
    <row r="193" spans="1:18" s="501" customFormat="1" ht="138.75" thickTop="1" thickBot="1" x14ac:dyDescent="0.25">
      <c r="A193" s="893" t="s">
        <v>46</v>
      </c>
      <c r="B193" s="893" t="s">
        <v>204</v>
      </c>
      <c r="C193" s="893" t="s">
        <v>213</v>
      </c>
      <c r="D193" s="893" t="s">
        <v>47</v>
      </c>
      <c r="E193" s="324">
        <f t="shared" si="141"/>
        <v>15164902</v>
      </c>
      <c r="F193" s="170">
        <f>3000000+((171260+11395570)+500000+98072)</f>
        <v>15164902</v>
      </c>
      <c r="G193" s="313"/>
      <c r="H193" s="313"/>
      <c r="I193" s="313"/>
      <c r="J193" s="894">
        <f t="shared" si="142"/>
        <v>0</v>
      </c>
      <c r="K193" s="313"/>
      <c r="L193" s="313"/>
      <c r="M193" s="313"/>
      <c r="N193" s="313"/>
      <c r="O193" s="896">
        <f t="shared" si="143"/>
        <v>0</v>
      </c>
      <c r="P193" s="894">
        <f t="shared" si="145"/>
        <v>15164902</v>
      </c>
      <c r="Q193" s="499"/>
      <c r="R193" s="502"/>
    </row>
    <row r="194" spans="1:18" s="501" customFormat="1" ht="138.75" thickTop="1" thickBot="1" x14ac:dyDescent="0.25">
      <c r="A194" s="893" t="s">
        <v>48</v>
      </c>
      <c r="B194" s="893" t="s">
        <v>205</v>
      </c>
      <c r="C194" s="893" t="s">
        <v>213</v>
      </c>
      <c r="D194" s="893" t="s">
        <v>4</v>
      </c>
      <c r="E194" s="324">
        <f t="shared" si="141"/>
        <v>1909585</v>
      </c>
      <c r="F194" s="170">
        <f>(99315+1810270)</f>
        <v>1909585</v>
      </c>
      <c r="G194" s="313"/>
      <c r="H194" s="313"/>
      <c r="I194" s="313"/>
      <c r="J194" s="894">
        <f t="shared" si="142"/>
        <v>0</v>
      </c>
      <c r="K194" s="313"/>
      <c r="L194" s="313"/>
      <c r="M194" s="313"/>
      <c r="N194" s="313"/>
      <c r="O194" s="896">
        <f t="shared" si="143"/>
        <v>0</v>
      </c>
      <c r="P194" s="894">
        <f t="shared" si="145"/>
        <v>1909585</v>
      </c>
      <c r="Q194" s="499"/>
      <c r="R194" s="502"/>
    </row>
    <row r="195" spans="1:18" s="39" customFormat="1" ht="184.5" thickTop="1" thickBot="1" x14ac:dyDescent="0.25">
      <c r="A195" s="365" t="s">
        <v>936</v>
      </c>
      <c r="B195" s="365" t="s">
        <v>937</v>
      </c>
      <c r="C195" s="365"/>
      <c r="D195" s="365" t="s">
        <v>938</v>
      </c>
      <c r="E195" s="464">
        <f>E196</f>
        <v>60300</v>
      </c>
      <c r="F195" s="464">
        <f t="shared" ref="F195:P195" si="148">F196</f>
        <v>60300</v>
      </c>
      <c r="G195" s="464">
        <f t="shared" si="148"/>
        <v>0</v>
      </c>
      <c r="H195" s="464">
        <f t="shared" si="148"/>
        <v>0</v>
      </c>
      <c r="I195" s="464">
        <f t="shared" si="148"/>
        <v>0</v>
      </c>
      <c r="J195" s="464">
        <f t="shared" si="148"/>
        <v>0</v>
      </c>
      <c r="K195" s="464">
        <f t="shared" si="148"/>
        <v>0</v>
      </c>
      <c r="L195" s="464">
        <f t="shared" si="148"/>
        <v>0</v>
      </c>
      <c r="M195" s="464">
        <f t="shared" si="148"/>
        <v>0</v>
      </c>
      <c r="N195" s="464">
        <f t="shared" si="148"/>
        <v>0</v>
      </c>
      <c r="O195" s="464">
        <f t="shared" si="148"/>
        <v>0</v>
      </c>
      <c r="P195" s="464">
        <f t="shared" si="148"/>
        <v>60300</v>
      </c>
      <c r="Q195" s="194"/>
      <c r="R195" s="452"/>
    </row>
    <row r="196" spans="1:18" s="501" customFormat="1" ht="184.5" thickTop="1" thickBot="1" x14ac:dyDescent="0.25">
      <c r="A196" s="893" t="s">
        <v>49</v>
      </c>
      <c r="B196" s="893" t="s">
        <v>206</v>
      </c>
      <c r="C196" s="893" t="s">
        <v>213</v>
      </c>
      <c r="D196" s="893" t="s">
        <v>375</v>
      </c>
      <c r="E196" s="324">
        <f>F196</f>
        <v>60300</v>
      </c>
      <c r="F196" s="170">
        <f>(4295+56005)</f>
        <v>60300</v>
      </c>
      <c r="G196" s="170"/>
      <c r="H196" s="170"/>
      <c r="I196" s="313"/>
      <c r="J196" s="894">
        <f t="shared" si="142"/>
        <v>0</v>
      </c>
      <c r="K196" s="313"/>
      <c r="L196" s="170"/>
      <c r="M196" s="170"/>
      <c r="N196" s="170"/>
      <c r="O196" s="896">
        <f t="shared" si="143"/>
        <v>0</v>
      </c>
      <c r="P196" s="894">
        <f t="shared" si="145"/>
        <v>60300</v>
      </c>
      <c r="Q196" s="499"/>
      <c r="R196" s="502"/>
    </row>
    <row r="197" spans="1:18" ht="93" thickTop="1" thickBot="1" x14ac:dyDescent="0.25">
      <c r="A197" s="365" t="s">
        <v>939</v>
      </c>
      <c r="B197" s="365" t="s">
        <v>940</v>
      </c>
      <c r="C197" s="365"/>
      <c r="D197" s="365" t="s">
        <v>941</v>
      </c>
      <c r="E197" s="464">
        <f>SUM(E198:E199)</f>
        <v>56032394</v>
      </c>
      <c r="F197" s="464">
        <f t="shared" ref="F197:P197" si="149">SUM(F198:F199)</f>
        <v>56032394</v>
      </c>
      <c r="G197" s="464">
        <f t="shared" si="149"/>
        <v>33190670</v>
      </c>
      <c r="H197" s="464">
        <f t="shared" si="149"/>
        <v>1656735</v>
      </c>
      <c r="I197" s="464">
        <f t="shared" si="149"/>
        <v>0</v>
      </c>
      <c r="J197" s="464">
        <f t="shared" si="149"/>
        <v>5261000</v>
      </c>
      <c r="K197" s="464">
        <f t="shared" si="149"/>
        <v>3684755</v>
      </c>
      <c r="L197" s="464">
        <f t="shared" si="149"/>
        <v>1576245</v>
      </c>
      <c r="M197" s="464">
        <f t="shared" si="149"/>
        <v>705762</v>
      </c>
      <c r="N197" s="464">
        <f t="shared" si="149"/>
        <v>212378</v>
      </c>
      <c r="O197" s="464">
        <f t="shared" si="149"/>
        <v>3684755</v>
      </c>
      <c r="P197" s="464">
        <f t="shared" si="149"/>
        <v>61293394</v>
      </c>
      <c r="R197" s="892"/>
    </row>
    <row r="198" spans="1:18" s="501" customFormat="1" ht="184.5" thickTop="1" thickBot="1" x14ac:dyDescent="0.25">
      <c r="A198" s="893" t="s">
        <v>28</v>
      </c>
      <c r="B198" s="893" t="s">
        <v>210</v>
      </c>
      <c r="C198" s="893" t="s">
        <v>213</v>
      </c>
      <c r="D198" s="893" t="s">
        <v>50</v>
      </c>
      <c r="E198" s="324">
        <f t="shared" si="141"/>
        <v>46954824</v>
      </c>
      <c r="F198" s="170">
        <f>2790+1414400+311200-31612+300000+243614+78694-2840+14875+35000+((44066325)+254271+54363+132144+3050+3780+5880+7980+8760+19000+19150+14000)</f>
        <v>46954824</v>
      </c>
      <c r="G198" s="170">
        <f>(31776270)+1414400</f>
        <v>33190670</v>
      </c>
      <c r="H198" s="170">
        <f>(559555+134000+494595+408705+10005)+14875+35000</f>
        <v>1656735</v>
      </c>
      <c r="I198" s="170"/>
      <c r="J198" s="894">
        <f t="shared" si="142"/>
        <v>5245800</v>
      </c>
      <c r="K198" s="170">
        <f>-200000+500000+31970-74322+611040+180000+154040+((91670+32400+77910+16200+405800+200000)+4838-255801+48600+1509600+86000+33250+216360)</f>
        <v>3669555</v>
      </c>
      <c r="L198" s="170">
        <f>(691362+141099+226744+1030+112354+105648+5500+230778+2000+59730)</f>
        <v>1576245</v>
      </c>
      <c r="M198" s="170">
        <f>(691362)+14400</f>
        <v>705762</v>
      </c>
      <c r="N198" s="170">
        <f>(92672+44368+72322+15587+5829)-18400</f>
        <v>212378</v>
      </c>
      <c r="O198" s="896">
        <f>(K198)</f>
        <v>3669555</v>
      </c>
      <c r="P198" s="894">
        <f t="shared" si="145"/>
        <v>52200624</v>
      </c>
      <c r="Q198" s="499"/>
      <c r="R198" s="502" t="b">
        <f>K198='d6'!J162+'d6'!J164+'d6'!J165+'d6'!J166+'d6'!J167+'d6'!J168</f>
        <v>0</v>
      </c>
    </row>
    <row r="199" spans="1:18" s="501" customFormat="1" ht="184.5" thickTop="1" thickBot="1" x14ac:dyDescent="0.25">
      <c r="A199" s="893" t="s">
        <v>29</v>
      </c>
      <c r="B199" s="893" t="s">
        <v>211</v>
      </c>
      <c r="C199" s="893" t="s">
        <v>213</v>
      </c>
      <c r="D199" s="893" t="s">
        <v>51</v>
      </c>
      <c r="E199" s="324">
        <f t="shared" si="141"/>
        <v>9077570</v>
      </c>
      <c r="F199" s="170">
        <f>581625+44400+353955+(8097590)</f>
        <v>9077570</v>
      </c>
      <c r="G199" s="170"/>
      <c r="H199" s="170"/>
      <c r="I199" s="170"/>
      <c r="J199" s="894">
        <f t="shared" si="142"/>
        <v>15200</v>
      </c>
      <c r="K199" s="170">
        <f>(15200)</f>
        <v>15200</v>
      </c>
      <c r="L199" s="170"/>
      <c r="M199" s="170"/>
      <c r="N199" s="170"/>
      <c r="O199" s="896">
        <f t="shared" si="143"/>
        <v>15200</v>
      </c>
      <c r="P199" s="894">
        <f t="shared" si="145"/>
        <v>9092770</v>
      </c>
      <c r="Q199" s="499"/>
      <c r="R199" s="502" t="b">
        <f>K199='d6'!J170</f>
        <v>0</v>
      </c>
    </row>
    <row r="200" spans="1:18" ht="93" thickTop="1" thickBot="1" x14ac:dyDescent="0.25">
      <c r="A200" s="466" t="s">
        <v>942</v>
      </c>
      <c r="B200" s="365" t="s">
        <v>943</v>
      </c>
      <c r="C200" s="365"/>
      <c r="D200" s="365" t="s">
        <v>944</v>
      </c>
      <c r="E200" s="464">
        <f>SUM(E201:E203)</f>
        <v>4514671</v>
      </c>
      <c r="F200" s="464">
        <f t="shared" ref="F200:P200" si="150">SUM(F201:F203)</f>
        <v>4514671</v>
      </c>
      <c r="G200" s="464">
        <f t="shared" si="150"/>
        <v>1206730</v>
      </c>
      <c r="H200" s="464">
        <f t="shared" si="150"/>
        <v>0</v>
      </c>
      <c r="I200" s="464">
        <f t="shared" si="150"/>
        <v>0</v>
      </c>
      <c r="J200" s="464">
        <f t="shared" si="150"/>
        <v>30000</v>
      </c>
      <c r="K200" s="464">
        <f t="shared" si="150"/>
        <v>30000</v>
      </c>
      <c r="L200" s="464">
        <f t="shared" si="150"/>
        <v>0</v>
      </c>
      <c r="M200" s="464">
        <f t="shared" si="150"/>
        <v>0</v>
      </c>
      <c r="N200" s="464">
        <f t="shared" si="150"/>
        <v>0</v>
      </c>
      <c r="O200" s="464">
        <f t="shared" si="150"/>
        <v>30000</v>
      </c>
      <c r="P200" s="464">
        <f t="shared" si="150"/>
        <v>4544671</v>
      </c>
      <c r="R200" s="892"/>
    </row>
    <row r="201" spans="1:18" s="501" customFormat="1" ht="276" thickTop="1" thickBot="1" x14ac:dyDescent="0.25">
      <c r="A201" s="516" t="s">
        <v>30</v>
      </c>
      <c r="B201" s="516" t="s">
        <v>212</v>
      </c>
      <c r="C201" s="516" t="s">
        <v>213</v>
      </c>
      <c r="D201" s="893" t="s">
        <v>31</v>
      </c>
      <c r="E201" s="324">
        <f t="shared" si="141"/>
        <v>768820</v>
      </c>
      <c r="F201" s="170">
        <f>(48380+64440)+500000+156000</f>
        <v>768820</v>
      </c>
      <c r="G201" s="313"/>
      <c r="H201" s="313"/>
      <c r="I201" s="313"/>
      <c r="J201" s="894">
        <f t="shared" si="142"/>
        <v>0</v>
      </c>
      <c r="K201" s="313"/>
      <c r="L201" s="313"/>
      <c r="M201" s="313"/>
      <c r="N201" s="313"/>
      <c r="O201" s="896">
        <f t="shared" si="143"/>
        <v>0</v>
      </c>
      <c r="P201" s="894">
        <f t="shared" si="145"/>
        <v>768820</v>
      </c>
      <c r="Q201" s="499"/>
      <c r="R201" s="502"/>
    </row>
    <row r="202" spans="1:18" s="501" customFormat="1" ht="184.5" thickTop="1" thickBot="1" x14ac:dyDescent="0.25">
      <c r="A202" s="516" t="s">
        <v>559</v>
      </c>
      <c r="B202" s="516" t="s">
        <v>557</v>
      </c>
      <c r="C202" s="516" t="s">
        <v>213</v>
      </c>
      <c r="D202" s="893" t="s">
        <v>558</v>
      </c>
      <c r="E202" s="324">
        <f t="shared" si="141"/>
        <v>1969086</v>
      </c>
      <c r="F202" s="170">
        <f>(1968927)-98072+98231</f>
        <v>1969086</v>
      </c>
      <c r="G202" s="313"/>
      <c r="H202" s="313"/>
      <c r="I202" s="313"/>
      <c r="J202" s="894">
        <f t="shared" si="142"/>
        <v>0</v>
      </c>
      <c r="K202" s="313"/>
      <c r="L202" s="313"/>
      <c r="M202" s="313"/>
      <c r="N202" s="313"/>
      <c r="O202" s="896">
        <f t="shared" si="143"/>
        <v>0</v>
      </c>
      <c r="P202" s="894">
        <f t="shared" si="145"/>
        <v>1969086</v>
      </c>
      <c r="Q202" s="499"/>
      <c r="R202" s="502"/>
    </row>
    <row r="203" spans="1:18" s="501" customFormat="1" ht="93" thickTop="1" thickBot="1" x14ac:dyDescent="0.25">
      <c r="A203" s="516" t="s">
        <v>32</v>
      </c>
      <c r="B203" s="516" t="s">
        <v>214</v>
      </c>
      <c r="C203" s="516" t="s">
        <v>213</v>
      </c>
      <c r="D203" s="893" t="s">
        <v>33</v>
      </c>
      <c r="E203" s="324">
        <f>F203</f>
        <v>1776765</v>
      </c>
      <c r="F203" s="170">
        <f>5100+60000+(1206730+265480+98410+141045)</f>
        <v>1776765</v>
      </c>
      <c r="G203" s="313">
        <v>1206730</v>
      </c>
      <c r="H203" s="313"/>
      <c r="I203" s="313"/>
      <c r="J203" s="894">
        <f t="shared" si="142"/>
        <v>30000</v>
      </c>
      <c r="K203" s="313">
        <f>(30000)</f>
        <v>30000</v>
      </c>
      <c r="L203" s="313"/>
      <c r="M203" s="313"/>
      <c r="N203" s="313"/>
      <c r="O203" s="896">
        <f t="shared" si="143"/>
        <v>30000</v>
      </c>
      <c r="P203" s="894">
        <f t="shared" si="145"/>
        <v>1806765</v>
      </c>
      <c r="Q203" s="499"/>
      <c r="R203" s="502" t="b">
        <f>K203='d6'!J171</f>
        <v>1</v>
      </c>
    </row>
    <row r="204" spans="1:18" ht="91.5" thickTop="1" thickBot="1" x14ac:dyDescent="0.25">
      <c r="A204" s="173" t="s">
        <v>945</v>
      </c>
      <c r="B204" s="173" t="s">
        <v>902</v>
      </c>
      <c r="C204" s="173"/>
      <c r="D204" s="449" t="s">
        <v>903</v>
      </c>
      <c r="E204" s="324">
        <f>E205</f>
        <v>25424.53</v>
      </c>
      <c r="F204" s="324">
        <f t="shared" ref="F204:P205" si="151">F205</f>
        <v>25424.53</v>
      </c>
      <c r="G204" s="324">
        <f t="shared" si="151"/>
        <v>0</v>
      </c>
      <c r="H204" s="324">
        <f t="shared" si="151"/>
        <v>0</v>
      </c>
      <c r="I204" s="324">
        <f t="shared" si="151"/>
        <v>0</v>
      </c>
      <c r="J204" s="324">
        <f t="shared" si="151"/>
        <v>0</v>
      </c>
      <c r="K204" s="324">
        <f t="shared" si="151"/>
        <v>0</v>
      </c>
      <c r="L204" s="324">
        <f t="shared" si="151"/>
        <v>0</v>
      </c>
      <c r="M204" s="324">
        <f t="shared" si="151"/>
        <v>0</v>
      </c>
      <c r="N204" s="324">
        <f t="shared" si="151"/>
        <v>0</v>
      </c>
      <c r="O204" s="324">
        <f t="shared" si="151"/>
        <v>0</v>
      </c>
      <c r="P204" s="324">
        <f t="shared" si="151"/>
        <v>25424.53</v>
      </c>
      <c r="R204" s="892"/>
    </row>
    <row r="205" spans="1:18" ht="93" thickTop="1" thickBot="1" x14ac:dyDescent="0.25">
      <c r="A205" s="466" t="s">
        <v>946</v>
      </c>
      <c r="B205" s="466" t="s">
        <v>905</v>
      </c>
      <c r="C205" s="466"/>
      <c r="D205" s="365" t="s">
        <v>906</v>
      </c>
      <c r="E205" s="464">
        <f>E206</f>
        <v>25424.53</v>
      </c>
      <c r="F205" s="464">
        <f t="shared" si="151"/>
        <v>25424.53</v>
      </c>
      <c r="G205" s="464">
        <f t="shared" si="151"/>
        <v>0</v>
      </c>
      <c r="H205" s="464">
        <f t="shared" si="151"/>
        <v>0</v>
      </c>
      <c r="I205" s="464">
        <f t="shared" si="151"/>
        <v>0</v>
      </c>
      <c r="J205" s="464">
        <f t="shared" si="151"/>
        <v>0</v>
      </c>
      <c r="K205" s="464">
        <f t="shared" si="151"/>
        <v>0</v>
      </c>
      <c r="L205" s="464">
        <f t="shared" si="151"/>
        <v>0</v>
      </c>
      <c r="M205" s="464">
        <f t="shared" si="151"/>
        <v>0</v>
      </c>
      <c r="N205" s="464">
        <f t="shared" si="151"/>
        <v>0</v>
      </c>
      <c r="O205" s="464">
        <f t="shared" si="151"/>
        <v>0</v>
      </c>
      <c r="P205" s="464">
        <f t="shared" si="151"/>
        <v>25424.53</v>
      </c>
      <c r="R205" s="892"/>
    </row>
    <row r="206" spans="1:18" s="501" customFormat="1" ht="276" thickTop="1" thickBot="1" x14ac:dyDescent="0.25">
      <c r="A206" s="516" t="s">
        <v>367</v>
      </c>
      <c r="B206" s="516" t="s">
        <v>366</v>
      </c>
      <c r="C206" s="516" t="s">
        <v>365</v>
      </c>
      <c r="D206" s="893" t="s">
        <v>797</v>
      </c>
      <c r="E206" s="324">
        <f>F206</f>
        <v>25424.53</v>
      </c>
      <c r="F206" s="170">
        <f>(18000)+7424.53</f>
        <v>25424.53</v>
      </c>
      <c r="G206" s="313"/>
      <c r="H206" s="313"/>
      <c r="I206" s="313"/>
      <c r="J206" s="894">
        <f t="shared" si="142"/>
        <v>0</v>
      </c>
      <c r="K206" s="313"/>
      <c r="L206" s="313"/>
      <c r="M206" s="313"/>
      <c r="N206" s="313"/>
      <c r="O206" s="896">
        <f t="shared" si="143"/>
        <v>0</v>
      </c>
      <c r="P206" s="894">
        <f t="shared" si="145"/>
        <v>25424.53</v>
      </c>
      <c r="Q206" s="499"/>
      <c r="R206" s="500"/>
    </row>
    <row r="207" spans="1:18" ht="47.25" thickTop="1" thickBot="1" x14ac:dyDescent="0.25">
      <c r="A207" s="455" t="s">
        <v>947</v>
      </c>
      <c r="B207" s="454" t="s">
        <v>908</v>
      </c>
      <c r="C207" s="454"/>
      <c r="D207" s="454" t="s">
        <v>909</v>
      </c>
      <c r="E207" s="324">
        <f>E208</f>
        <v>0</v>
      </c>
      <c r="F207" s="324">
        <f t="shared" ref="F207:P208" si="152">F208</f>
        <v>0</v>
      </c>
      <c r="G207" s="324">
        <f t="shared" si="152"/>
        <v>0</v>
      </c>
      <c r="H207" s="324">
        <f t="shared" si="152"/>
        <v>0</v>
      </c>
      <c r="I207" s="324">
        <f t="shared" si="152"/>
        <v>0</v>
      </c>
      <c r="J207" s="324">
        <f t="shared" si="152"/>
        <v>1021474</v>
      </c>
      <c r="K207" s="324">
        <f t="shared" si="152"/>
        <v>1021474</v>
      </c>
      <c r="L207" s="324">
        <f t="shared" si="152"/>
        <v>0</v>
      </c>
      <c r="M207" s="324">
        <f t="shared" si="152"/>
        <v>0</v>
      </c>
      <c r="N207" s="324">
        <f t="shared" si="152"/>
        <v>0</v>
      </c>
      <c r="O207" s="324">
        <f t="shared" si="152"/>
        <v>1021474</v>
      </c>
      <c r="P207" s="324">
        <f t="shared" si="152"/>
        <v>1021474</v>
      </c>
      <c r="R207" s="198"/>
    </row>
    <row r="208" spans="1:18" ht="136.5" thickTop="1" thickBot="1" x14ac:dyDescent="0.25">
      <c r="A208" s="404" t="s">
        <v>948</v>
      </c>
      <c r="B208" s="404" t="s">
        <v>850</v>
      </c>
      <c r="C208" s="404"/>
      <c r="D208" s="404" t="s">
        <v>848</v>
      </c>
      <c r="E208" s="463">
        <f>E209</f>
        <v>0</v>
      </c>
      <c r="F208" s="463">
        <f t="shared" si="152"/>
        <v>0</v>
      </c>
      <c r="G208" s="463">
        <f t="shared" si="152"/>
        <v>0</v>
      </c>
      <c r="H208" s="463">
        <f t="shared" si="152"/>
        <v>0</v>
      </c>
      <c r="I208" s="463">
        <f t="shared" si="152"/>
        <v>0</v>
      </c>
      <c r="J208" s="463">
        <f t="shared" si="152"/>
        <v>1021474</v>
      </c>
      <c r="K208" s="463">
        <f t="shared" si="152"/>
        <v>1021474</v>
      </c>
      <c r="L208" s="463">
        <f t="shared" si="152"/>
        <v>0</v>
      </c>
      <c r="M208" s="463">
        <f t="shared" si="152"/>
        <v>0</v>
      </c>
      <c r="N208" s="463">
        <f t="shared" si="152"/>
        <v>0</v>
      </c>
      <c r="O208" s="463">
        <f t="shared" si="152"/>
        <v>1021474</v>
      </c>
      <c r="P208" s="463">
        <f t="shared" si="152"/>
        <v>1021474</v>
      </c>
      <c r="R208" s="198"/>
    </row>
    <row r="209" spans="1:18" s="501" customFormat="1" ht="93" thickTop="1" thickBot="1" x14ac:dyDescent="0.25">
      <c r="A209" s="893" t="s">
        <v>744</v>
      </c>
      <c r="B209" s="893" t="s">
        <v>215</v>
      </c>
      <c r="C209" s="893" t="s">
        <v>184</v>
      </c>
      <c r="D209" s="893" t="s">
        <v>36</v>
      </c>
      <c r="E209" s="894">
        <f t="shared" ref="E209" si="153">F209</f>
        <v>0</v>
      </c>
      <c r="F209" s="313"/>
      <c r="G209" s="313"/>
      <c r="H209" s="313"/>
      <c r="I209" s="313"/>
      <c r="J209" s="894">
        <f t="shared" si="142"/>
        <v>1021474</v>
      </c>
      <c r="K209" s="313">
        <f>(45144)+976330</f>
        <v>1021474</v>
      </c>
      <c r="L209" s="313"/>
      <c r="M209" s="313"/>
      <c r="N209" s="313"/>
      <c r="O209" s="896">
        <f t="shared" si="143"/>
        <v>1021474</v>
      </c>
      <c r="P209" s="894">
        <f t="shared" si="145"/>
        <v>1021474</v>
      </c>
      <c r="Q209" s="499"/>
      <c r="R209" s="502" t="b">
        <f>K209='d6'!J173</f>
        <v>1</v>
      </c>
    </row>
    <row r="210" spans="1:18" ht="181.5" thickTop="1" thickBot="1" x14ac:dyDescent="0.25">
      <c r="A210" s="853" t="s">
        <v>172</v>
      </c>
      <c r="B210" s="853"/>
      <c r="C210" s="853"/>
      <c r="D210" s="854" t="s">
        <v>673</v>
      </c>
      <c r="E210" s="855">
        <f>E211</f>
        <v>25062295</v>
      </c>
      <c r="F210" s="856">
        <f t="shared" ref="F210:G210" si="154">F211</f>
        <v>25062295</v>
      </c>
      <c r="G210" s="856">
        <f t="shared" si="154"/>
        <v>5441675</v>
      </c>
      <c r="H210" s="856">
        <f>H211</f>
        <v>137385</v>
      </c>
      <c r="I210" s="856">
        <f t="shared" ref="I210" si="155">I211</f>
        <v>0</v>
      </c>
      <c r="J210" s="855">
        <f>J211</f>
        <v>31565149</v>
      </c>
      <c r="K210" s="856">
        <f>K211</f>
        <v>30575149</v>
      </c>
      <c r="L210" s="856">
        <f>L211</f>
        <v>990000</v>
      </c>
      <c r="M210" s="856">
        <f t="shared" ref="M210" si="156">M211</f>
        <v>0</v>
      </c>
      <c r="N210" s="856">
        <f>N211</f>
        <v>0</v>
      </c>
      <c r="O210" s="855">
        <f>O211</f>
        <v>30575149</v>
      </c>
      <c r="P210" s="856">
        <f>P211</f>
        <v>56627444</v>
      </c>
      <c r="R210" s="198"/>
    </row>
    <row r="211" spans="1:18" ht="181.5" thickTop="1" thickBot="1" x14ac:dyDescent="0.25">
      <c r="A211" s="857" t="s">
        <v>173</v>
      </c>
      <c r="B211" s="857"/>
      <c r="C211" s="857"/>
      <c r="D211" s="858" t="s">
        <v>674</v>
      </c>
      <c r="E211" s="859">
        <f>E212+E215+E222</f>
        <v>25062295</v>
      </c>
      <c r="F211" s="859">
        <f t="shared" ref="F211:I211" si="157">F212+F215+F222</f>
        <v>25062295</v>
      </c>
      <c r="G211" s="859">
        <f t="shared" si="157"/>
        <v>5441675</v>
      </c>
      <c r="H211" s="859">
        <f t="shared" si="157"/>
        <v>137385</v>
      </c>
      <c r="I211" s="859">
        <f t="shared" si="157"/>
        <v>0</v>
      </c>
      <c r="J211" s="859">
        <f t="shared" ref="J211:J227" si="158">L211+O211</f>
        <v>31565149</v>
      </c>
      <c r="K211" s="859">
        <f t="shared" ref="K211:O211" si="159">K212+K215+K222</f>
        <v>30575149</v>
      </c>
      <c r="L211" s="859">
        <f t="shared" si="159"/>
        <v>990000</v>
      </c>
      <c r="M211" s="859">
        <f t="shared" si="159"/>
        <v>0</v>
      </c>
      <c r="N211" s="859">
        <f t="shared" si="159"/>
        <v>0</v>
      </c>
      <c r="O211" s="859">
        <f t="shared" si="159"/>
        <v>30575149</v>
      </c>
      <c r="P211" s="859">
        <f>E211+J211</f>
        <v>56627444</v>
      </c>
      <c r="Q211" s="257" t="b">
        <f>P211=P213+P217+P218+P219+P221+P224+P227+P214+P225+P220</f>
        <v>1</v>
      </c>
      <c r="R211" s="257" t="b">
        <f>K211='d6'!J175</f>
        <v>0</v>
      </c>
    </row>
    <row r="212" spans="1:18" ht="47.25" thickTop="1" thickBot="1" x14ac:dyDescent="0.25">
      <c r="A212" s="455" t="s">
        <v>949</v>
      </c>
      <c r="B212" s="455" t="s">
        <v>843</v>
      </c>
      <c r="C212" s="455"/>
      <c r="D212" s="455" t="s">
        <v>844</v>
      </c>
      <c r="E212" s="894">
        <f>SUM(E213:E214)</f>
        <v>7556995</v>
      </c>
      <c r="F212" s="894">
        <f t="shared" ref="F212:N212" si="160">SUM(F213:F214)</f>
        <v>7556995</v>
      </c>
      <c r="G212" s="894">
        <f t="shared" si="160"/>
        <v>5441675</v>
      </c>
      <c r="H212" s="894">
        <f t="shared" si="160"/>
        <v>137385</v>
      </c>
      <c r="I212" s="894">
        <f t="shared" si="160"/>
        <v>0</v>
      </c>
      <c r="J212" s="894">
        <f t="shared" si="160"/>
        <v>163248</v>
      </c>
      <c r="K212" s="894">
        <f t="shared" si="160"/>
        <v>163248</v>
      </c>
      <c r="L212" s="894">
        <f t="shared" si="160"/>
        <v>0</v>
      </c>
      <c r="M212" s="894">
        <f t="shared" si="160"/>
        <v>0</v>
      </c>
      <c r="N212" s="894">
        <f t="shared" si="160"/>
        <v>0</v>
      </c>
      <c r="O212" s="894">
        <f>SUM(O213:O214)</f>
        <v>163248</v>
      </c>
      <c r="P212" s="894">
        <f t="shared" ref="P212" si="161">SUM(P213:P214)</f>
        <v>7720243</v>
      </c>
      <c r="Q212" s="257"/>
      <c r="R212" s="257"/>
    </row>
    <row r="213" spans="1:18" ht="230.25" thickTop="1" thickBot="1" x14ac:dyDescent="0.25">
      <c r="A213" s="898" t="s">
        <v>449</v>
      </c>
      <c r="B213" s="898" t="s">
        <v>254</v>
      </c>
      <c r="C213" s="898" t="s">
        <v>252</v>
      </c>
      <c r="D213" s="898" t="s">
        <v>253</v>
      </c>
      <c r="E213" s="324">
        <f>F213</f>
        <v>7544995</v>
      </c>
      <c r="F213" s="170">
        <f>(5441675+1197170+253395+210390+14760+39015+5208+25686+4476+3400+34020-12000)+199000+65800+39500+23500</f>
        <v>7544995</v>
      </c>
      <c r="G213" s="170">
        <v>5441675</v>
      </c>
      <c r="H213" s="170">
        <f>(39015+5208+25686+4476)+39500+23500</f>
        <v>137385</v>
      </c>
      <c r="I213" s="170"/>
      <c r="J213" s="894">
        <f t="shared" si="158"/>
        <v>163248</v>
      </c>
      <c r="K213" s="170">
        <f>(36000)+31812+95436</f>
        <v>163248</v>
      </c>
      <c r="L213" s="847"/>
      <c r="M213" s="847"/>
      <c r="N213" s="847"/>
      <c r="O213" s="896">
        <f t="shared" ref="O213:O225" si="162">K213</f>
        <v>163248</v>
      </c>
      <c r="P213" s="894">
        <f t="shared" ref="P213:P220" si="163">+J213+E213</f>
        <v>7708243</v>
      </c>
      <c r="R213" s="257" t="b">
        <f>K213='d6'!J176</f>
        <v>1</v>
      </c>
    </row>
    <row r="214" spans="1:18" ht="184.5" thickTop="1" thickBot="1" x14ac:dyDescent="0.25">
      <c r="A214" s="897" t="s">
        <v>785</v>
      </c>
      <c r="B214" s="897" t="s">
        <v>388</v>
      </c>
      <c r="C214" s="897" t="s">
        <v>778</v>
      </c>
      <c r="D214" s="897" t="s">
        <v>779</v>
      </c>
      <c r="E214" s="907">
        <f t="shared" ref="E214" si="164">F214</f>
        <v>12000</v>
      </c>
      <c r="F214" s="308">
        <v>12000</v>
      </c>
      <c r="G214" s="308"/>
      <c r="H214" s="308"/>
      <c r="I214" s="308"/>
      <c r="J214" s="907">
        <f t="shared" si="158"/>
        <v>0</v>
      </c>
      <c r="K214" s="308"/>
      <c r="L214" s="850"/>
      <c r="M214" s="851"/>
      <c r="N214" s="851"/>
      <c r="O214" s="852">
        <f t="shared" si="162"/>
        <v>0</v>
      </c>
      <c r="P214" s="907">
        <f>+J214+E214</f>
        <v>12000</v>
      </c>
      <c r="R214" s="257"/>
    </row>
    <row r="215" spans="1:18" ht="91.5" thickTop="1" thickBot="1" x14ac:dyDescent="0.25">
      <c r="A215" s="173" t="s">
        <v>950</v>
      </c>
      <c r="B215" s="454" t="s">
        <v>902</v>
      </c>
      <c r="C215" s="454"/>
      <c r="D215" s="449" t="s">
        <v>903</v>
      </c>
      <c r="E215" s="907">
        <f>SUM(E216:E221)-E216</f>
        <v>16355300</v>
      </c>
      <c r="F215" s="907">
        <f t="shared" ref="F215:P215" si="165">SUM(F216:F221)-F216</f>
        <v>16355300</v>
      </c>
      <c r="G215" s="907">
        <f t="shared" si="165"/>
        <v>0</v>
      </c>
      <c r="H215" s="907">
        <f t="shared" si="165"/>
        <v>0</v>
      </c>
      <c r="I215" s="907">
        <f t="shared" si="165"/>
        <v>0</v>
      </c>
      <c r="J215" s="907">
        <f t="shared" si="165"/>
        <v>30061901</v>
      </c>
      <c r="K215" s="907">
        <f t="shared" si="165"/>
        <v>30061901</v>
      </c>
      <c r="L215" s="907">
        <f t="shared" si="165"/>
        <v>0</v>
      </c>
      <c r="M215" s="907">
        <f t="shared" si="165"/>
        <v>0</v>
      </c>
      <c r="N215" s="907">
        <f t="shared" si="165"/>
        <v>0</v>
      </c>
      <c r="O215" s="907">
        <f t="shared" si="165"/>
        <v>30061901</v>
      </c>
      <c r="P215" s="907">
        <f t="shared" si="165"/>
        <v>46417201</v>
      </c>
      <c r="R215" s="257"/>
    </row>
    <row r="216" spans="1:18" s="39" customFormat="1" ht="184.5" thickTop="1" thickBot="1" x14ac:dyDescent="0.25">
      <c r="A216" s="445" t="s">
        <v>951</v>
      </c>
      <c r="B216" s="403" t="s">
        <v>952</v>
      </c>
      <c r="C216" s="403"/>
      <c r="D216" s="403" t="s">
        <v>953</v>
      </c>
      <c r="E216" s="467">
        <f>SUM(E217:E219)</f>
        <v>2025300</v>
      </c>
      <c r="F216" s="467">
        <f t="shared" ref="F216:P216" si="166">SUM(F217:F219)</f>
        <v>2025300</v>
      </c>
      <c r="G216" s="467">
        <f t="shared" si="166"/>
        <v>0</v>
      </c>
      <c r="H216" s="467">
        <f t="shared" si="166"/>
        <v>0</v>
      </c>
      <c r="I216" s="467">
        <f t="shared" si="166"/>
        <v>0</v>
      </c>
      <c r="J216" s="467">
        <f t="shared" si="166"/>
        <v>30061901</v>
      </c>
      <c r="K216" s="467">
        <f t="shared" si="166"/>
        <v>30061901</v>
      </c>
      <c r="L216" s="467">
        <f t="shared" si="166"/>
        <v>0</v>
      </c>
      <c r="M216" s="467">
        <f t="shared" si="166"/>
        <v>0</v>
      </c>
      <c r="N216" s="467">
        <f t="shared" si="166"/>
        <v>0</v>
      </c>
      <c r="O216" s="467">
        <f t="shared" si="166"/>
        <v>30061901</v>
      </c>
      <c r="P216" s="467">
        <f t="shared" si="166"/>
        <v>32087201</v>
      </c>
      <c r="Q216" s="194"/>
      <c r="R216" s="257"/>
    </row>
    <row r="217" spans="1:18" ht="138.75" thickTop="1" thickBot="1" x14ac:dyDescent="0.25">
      <c r="A217" s="898" t="s">
        <v>298</v>
      </c>
      <c r="B217" s="898" t="s">
        <v>299</v>
      </c>
      <c r="C217" s="898" t="s">
        <v>365</v>
      </c>
      <c r="D217" s="898" t="s">
        <v>300</v>
      </c>
      <c r="E217" s="324">
        <f t="shared" ref="E217:E227" si="167">F217</f>
        <v>1475300</v>
      </c>
      <c r="F217" s="170">
        <f>((2675300)-200000)-1000000</f>
        <v>1475300</v>
      </c>
      <c r="G217" s="170"/>
      <c r="H217" s="170"/>
      <c r="I217" s="170"/>
      <c r="J217" s="894">
        <f t="shared" si="158"/>
        <v>8993440</v>
      </c>
      <c r="K217" s="170">
        <f>(10345240)-1351800</f>
        <v>8993440</v>
      </c>
      <c r="L217" s="847"/>
      <c r="M217" s="847"/>
      <c r="N217" s="847"/>
      <c r="O217" s="896">
        <f t="shared" si="162"/>
        <v>8993440</v>
      </c>
      <c r="P217" s="894">
        <f t="shared" si="163"/>
        <v>10468740</v>
      </c>
      <c r="R217" s="257" t="b">
        <f>K217='d6'!J177</f>
        <v>0</v>
      </c>
    </row>
    <row r="218" spans="1:18" ht="138.75" thickTop="1" thickBot="1" x14ac:dyDescent="0.25">
      <c r="A218" s="898" t="s">
        <v>320</v>
      </c>
      <c r="B218" s="898" t="s">
        <v>321</v>
      </c>
      <c r="C218" s="898" t="s">
        <v>301</v>
      </c>
      <c r="D218" s="898" t="s">
        <v>322</v>
      </c>
      <c r="E218" s="324">
        <f t="shared" si="167"/>
        <v>0</v>
      </c>
      <c r="F218" s="170"/>
      <c r="G218" s="170"/>
      <c r="H218" s="170"/>
      <c r="I218" s="170"/>
      <c r="J218" s="894">
        <f t="shared" si="158"/>
        <v>8000000</v>
      </c>
      <c r="K218" s="170">
        <f>(5000000)+3000000</f>
        <v>8000000</v>
      </c>
      <c r="L218" s="847"/>
      <c r="M218" s="847"/>
      <c r="N218" s="847"/>
      <c r="O218" s="896">
        <f t="shared" si="162"/>
        <v>8000000</v>
      </c>
      <c r="P218" s="894">
        <f t="shared" si="163"/>
        <v>8000000</v>
      </c>
      <c r="R218" s="257" t="b">
        <f>K218='d6'!J178</f>
        <v>1</v>
      </c>
    </row>
    <row r="219" spans="1:18" ht="184.5" thickTop="1" thickBot="1" x14ac:dyDescent="0.25">
      <c r="A219" s="898" t="s">
        <v>302</v>
      </c>
      <c r="B219" s="898" t="s">
        <v>303</v>
      </c>
      <c r="C219" s="898" t="s">
        <v>301</v>
      </c>
      <c r="D219" s="898" t="s">
        <v>503</v>
      </c>
      <c r="E219" s="324">
        <f t="shared" si="167"/>
        <v>550000</v>
      </c>
      <c r="F219" s="170">
        <v>550000</v>
      </c>
      <c r="G219" s="170"/>
      <c r="H219" s="170"/>
      <c r="I219" s="170"/>
      <c r="J219" s="894">
        <f t="shared" si="158"/>
        <v>13068461</v>
      </c>
      <c r="K219" s="170">
        <f>(13120761)-52300</f>
        <v>13068461</v>
      </c>
      <c r="L219" s="847"/>
      <c r="M219" s="847"/>
      <c r="N219" s="847"/>
      <c r="O219" s="896">
        <f t="shared" si="162"/>
        <v>13068461</v>
      </c>
      <c r="P219" s="894">
        <f t="shared" si="163"/>
        <v>13618461</v>
      </c>
      <c r="R219" s="257" t="b">
        <f>K219='d6'!J180+'d6'!J181+'d6'!J182</f>
        <v>1</v>
      </c>
    </row>
    <row r="220" spans="1:18" ht="230.25" thickTop="1" thickBot="1" x14ac:dyDescent="0.25">
      <c r="A220" s="898" t="s">
        <v>1157</v>
      </c>
      <c r="B220" s="898" t="s">
        <v>316</v>
      </c>
      <c r="C220" s="898" t="s">
        <v>301</v>
      </c>
      <c r="D220" s="898" t="s">
        <v>317</v>
      </c>
      <c r="E220" s="324">
        <f t="shared" si="167"/>
        <v>230000</v>
      </c>
      <c r="F220" s="170">
        <f>(200000)+30000</f>
        <v>230000</v>
      </c>
      <c r="G220" s="170"/>
      <c r="H220" s="170"/>
      <c r="I220" s="170"/>
      <c r="J220" s="894">
        <f t="shared" si="158"/>
        <v>0</v>
      </c>
      <c r="K220" s="170"/>
      <c r="L220" s="847"/>
      <c r="M220" s="847"/>
      <c r="N220" s="847"/>
      <c r="O220" s="896">
        <f t="shared" si="162"/>
        <v>0</v>
      </c>
      <c r="P220" s="894">
        <f t="shared" si="163"/>
        <v>230000</v>
      </c>
      <c r="R220" s="257"/>
    </row>
    <row r="221" spans="1:18" ht="93" thickTop="1" thickBot="1" x14ac:dyDescent="0.25">
      <c r="A221" s="898" t="s">
        <v>306</v>
      </c>
      <c r="B221" s="898" t="s">
        <v>307</v>
      </c>
      <c r="C221" s="898" t="s">
        <v>301</v>
      </c>
      <c r="D221" s="898" t="s">
        <v>308</v>
      </c>
      <c r="E221" s="324">
        <f t="shared" si="167"/>
        <v>14100000</v>
      </c>
      <c r="F221" s="170">
        <v>14100000</v>
      </c>
      <c r="G221" s="170"/>
      <c r="H221" s="170"/>
      <c r="I221" s="170"/>
      <c r="J221" s="894">
        <f t="shared" si="158"/>
        <v>0</v>
      </c>
      <c r="K221" s="313"/>
      <c r="L221" s="170"/>
      <c r="M221" s="170"/>
      <c r="N221" s="170"/>
      <c r="O221" s="896">
        <f t="shared" si="162"/>
        <v>0</v>
      </c>
      <c r="P221" s="894">
        <f t="shared" ref="P221" si="168">E221+J221</f>
        <v>14100000</v>
      </c>
      <c r="R221" s="198"/>
    </row>
    <row r="222" spans="1:18" ht="47.25" thickTop="1" thickBot="1" x14ac:dyDescent="0.25">
      <c r="A222" s="173" t="s">
        <v>954</v>
      </c>
      <c r="B222" s="173" t="s">
        <v>908</v>
      </c>
      <c r="C222" s="173"/>
      <c r="D222" s="173" t="s">
        <v>955</v>
      </c>
      <c r="E222" s="324">
        <f>E223</f>
        <v>1150000</v>
      </c>
      <c r="F222" s="324">
        <f t="shared" ref="F222:P222" si="169">F223</f>
        <v>1150000</v>
      </c>
      <c r="G222" s="324">
        <f t="shared" si="169"/>
        <v>0</v>
      </c>
      <c r="H222" s="324">
        <f t="shared" si="169"/>
        <v>0</v>
      </c>
      <c r="I222" s="324">
        <f t="shared" si="169"/>
        <v>0</v>
      </c>
      <c r="J222" s="324">
        <f>J223</f>
        <v>1340000</v>
      </c>
      <c r="K222" s="324">
        <f t="shared" si="169"/>
        <v>350000</v>
      </c>
      <c r="L222" s="324">
        <f t="shared" si="169"/>
        <v>990000</v>
      </c>
      <c r="M222" s="324">
        <f t="shared" si="169"/>
        <v>0</v>
      </c>
      <c r="N222" s="324">
        <f t="shared" si="169"/>
        <v>0</v>
      </c>
      <c r="O222" s="324">
        <f t="shared" si="169"/>
        <v>350000</v>
      </c>
      <c r="P222" s="324">
        <f t="shared" si="169"/>
        <v>2490000</v>
      </c>
      <c r="R222" s="198"/>
    </row>
    <row r="223" spans="1:18" ht="136.5" thickTop="1" thickBot="1" x14ac:dyDescent="0.25">
      <c r="A223" s="450" t="s">
        <v>956</v>
      </c>
      <c r="B223" s="450" t="s">
        <v>850</v>
      </c>
      <c r="C223" s="450"/>
      <c r="D223" s="450" t="s">
        <v>848</v>
      </c>
      <c r="E223" s="463">
        <f t="shared" ref="E223:P223" si="170">E224+E226+E225</f>
        <v>1150000</v>
      </c>
      <c r="F223" s="463">
        <f t="shared" si="170"/>
        <v>1150000</v>
      </c>
      <c r="G223" s="463">
        <f t="shared" si="170"/>
        <v>0</v>
      </c>
      <c r="H223" s="463">
        <f t="shared" si="170"/>
        <v>0</v>
      </c>
      <c r="I223" s="463">
        <f t="shared" si="170"/>
        <v>0</v>
      </c>
      <c r="J223" s="463">
        <f t="shared" si="170"/>
        <v>1340000</v>
      </c>
      <c r="K223" s="463">
        <f t="shared" si="170"/>
        <v>350000</v>
      </c>
      <c r="L223" s="463">
        <f t="shared" si="170"/>
        <v>990000</v>
      </c>
      <c r="M223" s="463">
        <f t="shared" si="170"/>
        <v>0</v>
      </c>
      <c r="N223" s="463">
        <f t="shared" si="170"/>
        <v>0</v>
      </c>
      <c r="O223" s="463">
        <f t="shared" si="170"/>
        <v>350000</v>
      </c>
      <c r="P223" s="463">
        <f t="shared" si="170"/>
        <v>2490000</v>
      </c>
      <c r="R223" s="198"/>
    </row>
    <row r="224" spans="1:18" ht="48" thickTop="1" thickBot="1" x14ac:dyDescent="0.25">
      <c r="A224" s="898" t="s">
        <v>315</v>
      </c>
      <c r="B224" s="898" t="s">
        <v>230</v>
      </c>
      <c r="C224" s="898" t="s">
        <v>231</v>
      </c>
      <c r="D224" s="898" t="s">
        <v>43</v>
      </c>
      <c r="E224" s="324">
        <f t="shared" si="167"/>
        <v>1150000</v>
      </c>
      <c r="F224" s="170">
        <f>(500000)+650000</f>
        <v>1150000</v>
      </c>
      <c r="G224" s="170"/>
      <c r="H224" s="170"/>
      <c r="I224" s="170"/>
      <c r="J224" s="894">
        <f t="shared" si="158"/>
        <v>50000</v>
      </c>
      <c r="K224" s="313">
        <f>(2100000)-2050000</f>
        <v>50000</v>
      </c>
      <c r="L224" s="170"/>
      <c r="M224" s="170"/>
      <c r="N224" s="170"/>
      <c r="O224" s="896">
        <f t="shared" si="162"/>
        <v>50000</v>
      </c>
      <c r="P224" s="894">
        <f>E224+J224</f>
        <v>1200000</v>
      </c>
      <c r="R224" s="257" t="b">
        <f>K224='d6'!J184</f>
        <v>0</v>
      </c>
    </row>
    <row r="225" spans="1:18" ht="93" thickTop="1" thickBot="1" x14ac:dyDescent="0.25">
      <c r="A225" s="898" t="s">
        <v>1129</v>
      </c>
      <c r="B225" s="898" t="s">
        <v>215</v>
      </c>
      <c r="C225" s="898" t="s">
        <v>184</v>
      </c>
      <c r="D225" s="898" t="s">
        <v>36</v>
      </c>
      <c r="E225" s="324">
        <f t="shared" si="167"/>
        <v>0</v>
      </c>
      <c r="F225" s="170"/>
      <c r="G225" s="170"/>
      <c r="H225" s="170"/>
      <c r="I225" s="170"/>
      <c r="J225" s="894">
        <f t="shared" si="158"/>
        <v>300000</v>
      </c>
      <c r="K225" s="313">
        <f>(390000)-90000</f>
        <v>300000</v>
      </c>
      <c r="L225" s="170"/>
      <c r="M225" s="170"/>
      <c r="N225" s="170"/>
      <c r="O225" s="896">
        <f t="shared" si="162"/>
        <v>300000</v>
      </c>
      <c r="P225" s="894">
        <f>E225+J225</f>
        <v>300000</v>
      </c>
      <c r="R225" s="257" t="b">
        <f>K225='d6'!J186</f>
        <v>1</v>
      </c>
    </row>
    <row r="226" spans="1:18" ht="48" thickTop="1" thickBot="1" x14ac:dyDescent="0.25">
      <c r="A226" s="445" t="s">
        <v>957</v>
      </c>
      <c r="B226" s="445" t="s">
        <v>853</v>
      </c>
      <c r="C226" s="445"/>
      <c r="D226" s="445" t="s">
        <v>958</v>
      </c>
      <c r="E226" s="464">
        <f>E227</f>
        <v>0</v>
      </c>
      <c r="F226" s="464">
        <f t="shared" ref="F226:P226" si="171">F227</f>
        <v>0</v>
      </c>
      <c r="G226" s="464">
        <f t="shared" si="171"/>
        <v>0</v>
      </c>
      <c r="H226" s="464">
        <f t="shared" si="171"/>
        <v>0</v>
      </c>
      <c r="I226" s="464">
        <f t="shared" si="171"/>
        <v>0</v>
      </c>
      <c r="J226" s="464">
        <f t="shared" si="171"/>
        <v>990000</v>
      </c>
      <c r="K226" s="464">
        <f t="shared" si="171"/>
        <v>0</v>
      </c>
      <c r="L226" s="464">
        <f t="shared" si="171"/>
        <v>990000</v>
      </c>
      <c r="M226" s="464">
        <f t="shared" si="171"/>
        <v>0</v>
      </c>
      <c r="N226" s="464">
        <f t="shared" si="171"/>
        <v>0</v>
      </c>
      <c r="O226" s="464">
        <f t="shared" si="171"/>
        <v>0</v>
      </c>
      <c r="P226" s="464">
        <f t="shared" si="171"/>
        <v>990000</v>
      </c>
      <c r="R226" s="198"/>
    </row>
    <row r="227" spans="1:18" ht="409.6" thickTop="1" thickBot="1" x14ac:dyDescent="0.7">
      <c r="A227" s="1037" t="s">
        <v>452</v>
      </c>
      <c r="B227" s="1037" t="s">
        <v>363</v>
      </c>
      <c r="C227" s="1037" t="s">
        <v>184</v>
      </c>
      <c r="D227" s="326" t="s">
        <v>473</v>
      </c>
      <c r="E227" s="1038">
        <f t="shared" si="167"/>
        <v>0</v>
      </c>
      <c r="F227" s="1039"/>
      <c r="G227" s="1039"/>
      <c r="H227" s="1039"/>
      <c r="I227" s="1039"/>
      <c r="J227" s="1038">
        <f t="shared" si="158"/>
        <v>990000</v>
      </c>
      <c r="K227" s="1039"/>
      <c r="L227" s="1039">
        <f>(190000)+800000</f>
        <v>990000</v>
      </c>
      <c r="M227" s="1039"/>
      <c r="N227" s="1039"/>
      <c r="O227" s="1041">
        <f>K227+0</f>
        <v>0</v>
      </c>
      <c r="P227" s="1032">
        <f>E227+J227</f>
        <v>990000</v>
      </c>
      <c r="R227" s="198"/>
    </row>
    <row r="228" spans="1:18" ht="184.5" thickTop="1" thickBot="1" x14ac:dyDescent="0.25">
      <c r="A228" s="1037"/>
      <c r="B228" s="1037"/>
      <c r="C228" s="1037"/>
      <c r="D228" s="329" t="s">
        <v>474</v>
      </c>
      <c r="E228" s="1038"/>
      <c r="F228" s="1039"/>
      <c r="G228" s="1039"/>
      <c r="H228" s="1039"/>
      <c r="I228" s="1039"/>
      <c r="J228" s="1038"/>
      <c r="K228" s="1039"/>
      <c r="L228" s="1039"/>
      <c r="M228" s="1039"/>
      <c r="N228" s="1039"/>
      <c r="O228" s="1041"/>
      <c r="P228" s="1032"/>
      <c r="R228" s="198"/>
    </row>
    <row r="229" spans="1:18" ht="181.5" thickTop="1" thickBot="1" x14ac:dyDescent="0.25">
      <c r="A229" s="853" t="s">
        <v>641</v>
      </c>
      <c r="B229" s="853"/>
      <c r="C229" s="853"/>
      <c r="D229" s="854" t="s">
        <v>671</v>
      </c>
      <c r="E229" s="855">
        <f>E230</f>
        <v>266554629</v>
      </c>
      <c r="F229" s="856">
        <f t="shared" ref="F229:G229" si="172">F230</f>
        <v>266554629</v>
      </c>
      <c r="G229" s="856">
        <f t="shared" si="172"/>
        <v>8182274</v>
      </c>
      <c r="H229" s="856">
        <f>H230</f>
        <v>154170</v>
      </c>
      <c r="I229" s="856">
        <f t="shared" ref="I229" si="173">I230</f>
        <v>0</v>
      </c>
      <c r="J229" s="855">
        <f>J230</f>
        <v>151919550.61000001</v>
      </c>
      <c r="K229" s="856">
        <f>K230</f>
        <v>150622013.57999998</v>
      </c>
      <c r="L229" s="856">
        <f>L230</f>
        <v>140000</v>
      </c>
      <c r="M229" s="856">
        <f t="shared" ref="M229" si="174">M230</f>
        <v>0</v>
      </c>
      <c r="N229" s="856">
        <f>N230</f>
        <v>0</v>
      </c>
      <c r="O229" s="855">
        <f>O230</f>
        <v>151779550.61000001</v>
      </c>
      <c r="P229" s="856">
        <f>P230</f>
        <v>418474179.61000001</v>
      </c>
      <c r="R229" s="198"/>
    </row>
    <row r="230" spans="1:18" ht="181.5" thickTop="1" thickBot="1" x14ac:dyDescent="0.25">
      <c r="A230" s="857" t="s">
        <v>642</v>
      </c>
      <c r="B230" s="857"/>
      <c r="C230" s="857"/>
      <c r="D230" s="858" t="s">
        <v>672</v>
      </c>
      <c r="E230" s="859">
        <f>E231+E235+E241+E253</f>
        <v>266554629</v>
      </c>
      <c r="F230" s="859">
        <f t="shared" ref="F230:I230" si="175">F231+F235+F241+F253</f>
        <v>266554629</v>
      </c>
      <c r="G230" s="859">
        <f t="shared" si="175"/>
        <v>8182274</v>
      </c>
      <c r="H230" s="859">
        <f t="shared" si="175"/>
        <v>154170</v>
      </c>
      <c r="I230" s="859">
        <f t="shared" si="175"/>
        <v>0</v>
      </c>
      <c r="J230" s="859">
        <f t="shared" ref="J230:J251" si="176">L230+O230</f>
        <v>151919550.61000001</v>
      </c>
      <c r="K230" s="859">
        <f t="shared" ref="K230:O230" si="177">K231+K235+K241+K253</f>
        <v>150622013.57999998</v>
      </c>
      <c r="L230" s="859">
        <f t="shared" si="177"/>
        <v>140000</v>
      </c>
      <c r="M230" s="859">
        <f t="shared" si="177"/>
        <v>0</v>
      </c>
      <c r="N230" s="859">
        <f t="shared" si="177"/>
        <v>0</v>
      </c>
      <c r="O230" s="859">
        <f t="shared" si="177"/>
        <v>151779550.61000001</v>
      </c>
      <c r="P230" s="859">
        <f>E230+J230</f>
        <v>418474179.61000001</v>
      </c>
      <c r="Q230" s="125" t="b">
        <f>P230=P232+P233+P234+P237+P238+P239+P240+P243+P246+P248+P249+P251+P255+P256+P257</f>
        <v>1</v>
      </c>
      <c r="R230" s="125" t="b">
        <f>K230='d6'!J189</f>
        <v>0</v>
      </c>
    </row>
    <row r="231" spans="1:18" ht="47.25" thickTop="1" thickBot="1" x14ac:dyDescent="0.25">
      <c r="A231" s="455" t="s">
        <v>959</v>
      </c>
      <c r="B231" s="455" t="s">
        <v>843</v>
      </c>
      <c r="C231" s="455"/>
      <c r="D231" s="455" t="s">
        <v>844</v>
      </c>
      <c r="E231" s="894">
        <f>SUM(E232:E234)</f>
        <v>8498737</v>
      </c>
      <c r="F231" s="894">
        <f t="shared" ref="F231:P231" si="178">SUM(F232:F234)</f>
        <v>8498737</v>
      </c>
      <c r="G231" s="894">
        <f t="shared" si="178"/>
        <v>6393415</v>
      </c>
      <c r="H231" s="894">
        <f t="shared" si="178"/>
        <v>74385</v>
      </c>
      <c r="I231" s="894">
        <f t="shared" si="178"/>
        <v>0</v>
      </c>
      <c r="J231" s="894">
        <f t="shared" si="178"/>
        <v>144000</v>
      </c>
      <c r="K231" s="894">
        <f t="shared" si="178"/>
        <v>144000</v>
      </c>
      <c r="L231" s="894">
        <f t="shared" si="178"/>
        <v>0</v>
      </c>
      <c r="M231" s="894">
        <f t="shared" si="178"/>
        <v>0</v>
      </c>
      <c r="N231" s="894">
        <f t="shared" si="178"/>
        <v>0</v>
      </c>
      <c r="O231" s="894">
        <f t="shared" si="178"/>
        <v>144000</v>
      </c>
      <c r="P231" s="894">
        <f t="shared" si="178"/>
        <v>8642737</v>
      </c>
      <c r="Q231" s="125"/>
      <c r="R231" s="125"/>
    </row>
    <row r="232" spans="1:18" ht="230.25" thickTop="1" thickBot="1" x14ac:dyDescent="0.25">
      <c r="A232" s="898" t="s">
        <v>643</v>
      </c>
      <c r="B232" s="898" t="s">
        <v>254</v>
      </c>
      <c r="C232" s="898" t="s">
        <v>252</v>
      </c>
      <c r="D232" s="898" t="s">
        <v>253</v>
      </c>
      <c r="E232" s="324">
        <f>F232</f>
        <v>8390737</v>
      </c>
      <c r="F232" s="170">
        <f>(6393415+1406550+212730+120360+12160+22680+39015+5208+25686+4476-8000)+3600+6087+47020+36500+5000+41700+6400+10150</f>
        <v>8390737</v>
      </c>
      <c r="G232" s="170">
        <v>6393415</v>
      </c>
      <c r="H232" s="170">
        <f>(39015+5208+25686+4476)</f>
        <v>74385</v>
      </c>
      <c r="I232" s="170"/>
      <c r="J232" s="894">
        <f t="shared" si="176"/>
        <v>144000</v>
      </c>
      <c r="K232" s="170">
        <v>144000</v>
      </c>
      <c r="L232" s="847"/>
      <c r="M232" s="847"/>
      <c r="N232" s="847"/>
      <c r="O232" s="896">
        <f t="shared" ref="O232:O249" si="179">K232</f>
        <v>144000</v>
      </c>
      <c r="P232" s="894">
        <f t="shared" ref="P232:P238" si="180">+J232+E232</f>
        <v>8534737</v>
      </c>
      <c r="R232" s="125" t="b">
        <f>K232='d6'!J190</f>
        <v>1</v>
      </c>
    </row>
    <row r="233" spans="1:18" ht="184.5" thickTop="1" thickBot="1" x14ac:dyDescent="0.25">
      <c r="A233" s="897" t="s">
        <v>787</v>
      </c>
      <c r="B233" s="897" t="s">
        <v>388</v>
      </c>
      <c r="C233" s="897" t="s">
        <v>778</v>
      </c>
      <c r="D233" s="897" t="s">
        <v>779</v>
      </c>
      <c r="E233" s="324">
        <f>F233</f>
        <v>8000</v>
      </c>
      <c r="F233" s="170">
        <v>8000</v>
      </c>
      <c r="G233" s="170"/>
      <c r="H233" s="170"/>
      <c r="I233" s="170"/>
      <c r="J233" s="894">
        <f t="shared" si="176"/>
        <v>0</v>
      </c>
      <c r="K233" s="170"/>
      <c r="L233" s="847"/>
      <c r="M233" s="847"/>
      <c r="N233" s="847"/>
      <c r="O233" s="896">
        <f t="shared" si="179"/>
        <v>0</v>
      </c>
      <c r="P233" s="894">
        <f t="shared" si="180"/>
        <v>8000</v>
      </c>
      <c r="R233" s="125"/>
    </row>
    <row r="234" spans="1:18" ht="93" thickTop="1" thickBot="1" x14ac:dyDescent="0.25">
      <c r="A234" s="898" t="s">
        <v>644</v>
      </c>
      <c r="B234" s="898" t="s">
        <v>45</v>
      </c>
      <c r="C234" s="898" t="s">
        <v>44</v>
      </c>
      <c r="D234" s="898" t="s">
        <v>266</v>
      </c>
      <c r="E234" s="324">
        <f>F234</f>
        <v>100000</v>
      </c>
      <c r="F234" s="170">
        <v>100000</v>
      </c>
      <c r="G234" s="170"/>
      <c r="H234" s="170"/>
      <c r="I234" s="170"/>
      <c r="J234" s="894">
        <f t="shared" si="176"/>
        <v>0</v>
      </c>
      <c r="K234" s="170"/>
      <c r="L234" s="847"/>
      <c r="M234" s="847"/>
      <c r="N234" s="847"/>
      <c r="O234" s="896">
        <f t="shared" si="179"/>
        <v>0</v>
      </c>
      <c r="P234" s="894">
        <f t="shared" si="180"/>
        <v>100000</v>
      </c>
      <c r="R234" s="198"/>
    </row>
    <row r="235" spans="1:18" ht="91.5" thickTop="1" thickBot="1" x14ac:dyDescent="0.25">
      <c r="A235" s="173" t="s">
        <v>960</v>
      </c>
      <c r="B235" s="454" t="s">
        <v>902</v>
      </c>
      <c r="C235" s="454"/>
      <c r="D235" s="449" t="s">
        <v>903</v>
      </c>
      <c r="E235" s="324">
        <f>SUM(E236:E240)-E236</f>
        <v>205415948</v>
      </c>
      <c r="F235" s="324">
        <f t="shared" ref="F235:O235" si="181">SUM(F236:F240)-F236</f>
        <v>205415948</v>
      </c>
      <c r="G235" s="324">
        <f t="shared" si="181"/>
        <v>0</v>
      </c>
      <c r="H235" s="324">
        <f t="shared" si="181"/>
        <v>50000</v>
      </c>
      <c r="I235" s="324">
        <f t="shared" si="181"/>
        <v>0</v>
      </c>
      <c r="J235" s="324">
        <f t="shared" si="181"/>
        <v>16490439</v>
      </c>
      <c r="K235" s="324">
        <f t="shared" si="181"/>
        <v>16490439</v>
      </c>
      <c r="L235" s="324">
        <f t="shared" si="181"/>
        <v>0</v>
      </c>
      <c r="M235" s="324">
        <f t="shared" si="181"/>
        <v>0</v>
      </c>
      <c r="N235" s="324">
        <f t="shared" si="181"/>
        <v>0</v>
      </c>
      <c r="O235" s="324">
        <f t="shared" si="181"/>
        <v>16490439</v>
      </c>
      <c r="P235" s="324">
        <f t="shared" ref="P235" si="182">SUM(P236:P240)-P236</f>
        <v>221906387</v>
      </c>
      <c r="R235" s="198"/>
    </row>
    <row r="236" spans="1:18" ht="184.5" thickTop="1" thickBot="1" x14ac:dyDescent="0.25">
      <c r="A236" s="445" t="s">
        <v>961</v>
      </c>
      <c r="B236" s="403" t="s">
        <v>952</v>
      </c>
      <c r="C236" s="403"/>
      <c r="D236" s="403" t="s">
        <v>953</v>
      </c>
      <c r="E236" s="464">
        <f>SUM(E237:E238)</f>
        <v>34561000</v>
      </c>
      <c r="F236" s="464">
        <f t="shared" ref="F236:P236" si="183">SUM(F237:F238)</f>
        <v>34561000</v>
      </c>
      <c r="G236" s="464">
        <f t="shared" si="183"/>
        <v>0</v>
      </c>
      <c r="H236" s="464">
        <f t="shared" si="183"/>
        <v>0</v>
      </c>
      <c r="I236" s="464">
        <f t="shared" si="183"/>
        <v>0</v>
      </c>
      <c r="J236" s="464">
        <f t="shared" si="183"/>
        <v>0</v>
      </c>
      <c r="K236" s="464">
        <f t="shared" si="183"/>
        <v>0</v>
      </c>
      <c r="L236" s="464">
        <f t="shared" si="183"/>
        <v>0</v>
      </c>
      <c r="M236" s="464">
        <f t="shared" si="183"/>
        <v>0</v>
      </c>
      <c r="N236" s="464">
        <f t="shared" si="183"/>
        <v>0</v>
      </c>
      <c r="O236" s="464">
        <f t="shared" si="183"/>
        <v>0</v>
      </c>
      <c r="P236" s="464">
        <f t="shared" si="183"/>
        <v>34561000</v>
      </c>
      <c r="R236" s="198"/>
    </row>
    <row r="237" spans="1:18" ht="138.75" thickTop="1" thickBot="1" x14ac:dyDescent="0.25">
      <c r="A237" s="898" t="s">
        <v>645</v>
      </c>
      <c r="B237" s="898" t="s">
        <v>403</v>
      </c>
      <c r="C237" s="898" t="s">
        <v>301</v>
      </c>
      <c r="D237" s="898" t="s">
        <v>404</v>
      </c>
      <c r="E237" s="324">
        <f t="shared" ref="E237:E249" si="184">F237</f>
        <v>31000000</v>
      </c>
      <c r="F237" s="170">
        <f>(28000000)+3000000</f>
        <v>31000000</v>
      </c>
      <c r="G237" s="170"/>
      <c r="H237" s="170"/>
      <c r="I237" s="170"/>
      <c r="J237" s="894">
        <f t="shared" si="176"/>
        <v>0</v>
      </c>
      <c r="K237" s="170"/>
      <c r="L237" s="847"/>
      <c r="M237" s="847"/>
      <c r="N237" s="847"/>
      <c r="O237" s="896">
        <f t="shared" si="179"/>
        <v>0</v>
      </c>
      <c r="P237" s="894">
        <f t="shared" si="180"/>
        <v>31000000</v>
      </c>
      <c r="R237" s="198"/>
    </row>
    <row r="238" spans="1:18" ht="138.75" thickTop="1" thickBot="1" x14ac:dyDescent="0.25">
      <c r="A238" s="898" t="s">
        <v>646</v>
      </c>
      <c r="B238" s="898" t="s">
        <v>304</v>
      </c>
      <c r="C238" s="898" t="s">
        <v>301</v>
      </c>
      <c r="D238" s="898" t="s">
        <v>305</v>
      </c>
      <c r="E238" s="324">
        <f t="shared" si="184"/>
        <v>3561000</v>
      </c>
      <c r="F238" s="170">
        <f>(3751000)-190000</f>
        <v>3561000</v>
      </c>
      <c r="G238" s="170"/>
      <c r="H238" s="170"/>
      <c r="I238" s="170"/>
      <c r="J238" s="894">
        <f t="shared" si="176"/>
        <v>0</v>
      </c>
      <c r="K238" s="170"/>
      <c r="L238" s="847"/>
      <c r="M238" s="847"/>
      <c r="N238" s="847"/>
      <c r="O238" s="896">
        <f t="shared" si="179"/>
        <v>0</v>
      </c>
      <c r="P238" s="894">
        <f t="shared" si="180"/>
        <v>3561000</v>
      </c>
      <c r="R238" s="198"/>
    </row>
    <row r="239" spans="1:18" ht="230.25" thickTop="1" thickBot="1" x14ac:dyDescent="0.25">
      <c r="A239" s="898" t="s">
        <v>647</v>
      </c>
      <c r="B239" s="898" t="s">
        <v>316</v>
      </c>
      <c r="C239" s="898" t="s">
        <v>301</v>
      </c>
      <c r="D239" s="898" t="s">
        <v>317</v>
      </c>
      <c r="E239" s="324">
        <f t="shared" si="184"/>
        <v>3930000</v>
      </c>
      <c r="F239" s="170">
        <f>(700000+2730000)+500000</f>
        <v>3930000</v>
      </c>
      <c r="G239" s="170"/>
      <c r="H239" s="170"/>
      <c r="I239" s="170"/>
      <c r="J239" s="894">
        <f t="shared" si="176"/>
        <v>0</v>
      </c>
      <c r="K239" s="313"/>
      <c r="L239" s="170"/>
      <c r="M239" s="170"/>
      <c r="N239" s="170"/>
      <c r="O239" s="896">
        <f t="shared" si="179"/>
        <v>0</v>
      </c>
      <c r="P239" s="894">
        <f t="shared" ref="P239:P243" si="185">E239+J239</f>
        <v>3930000</v>
      </c>
      <c r="R239" s="198"/>
    </row>
    <row r="240" spans="1:18" ht="93" thickTop="1" thickBot="1" x14ac:dyDescent="0.25">
      <c r="A240" s="898" t="s">
        <v>648</v>
      </c>
      <c r="B240" s="898" t="s">
        <v>307</v>
      </c>
      <c r="C240" s="898" t="s">
        <v>301</v>
      </c>
      <c r="D240" s="898" t="s">
        <v>308</v>
      </c>
      <c r="E240" s="324">
        <f t="shared" si="184"/>
        <v>166924948</v>
      </c>
      <c r="F240" s="170">
        <f>((149686023)+1365600)+15873325</f>
        <v>166924948</v>
      </c>
      <c r="G240" s="170"/>
      <c r="H240" s="170">
        <v>50000</v>
      </c>
      <c r="I240" s="170"/>
      <c r="J240" s="894">
        <f t="shared" si="176"/>
        <v>16490439</v>
      </c>
      <c r="K240" s="313">
        <f>((15915164)-1205016)+1780291</f>
        <v>16490439</v>
      </c>
      <c r="L240" s="170"/>
      <c r="M240" s="170"/>
      <c r="N240" s="170"/>
      <c r="O240" s="896">
        <f t="shared" si="179"/>
        <v>16490439</v>
      </c>
      <c r="P240" s="894">
        <f t="shared" si="185"/>
        <v>183415387</v>
      </c>
      <c r="R240" s="125" t="b">
        <f>K240='d6'!J192+'d6'!J193+'d6'!J194+'d6'!J195+'d6'!J196+'d6'!J197+'d6'!J198+'d6'!J199+'d6'!J200+'d6'!J201+'d6'!J203+'d6'!J204+'d6'!J205+'d6'!J206+'d6'!J207+'d6'!J208</f>
        <v>0</v>
      </c>
    </row>
    <row r="241" spans="1:18" ht="47.25" thickTop="1" thickBot="1" x14ac:dyDescent="0.25">
      <c r="A241" s="173" t="s">
        <v>962</v>
      </c>
      <c r="B241" s="454" t="s">
        <v>908</v>
      </c>
      <c r="C241" s="454"/>
      <c r="D241" s="454" t="s">
        <v>909</v>
      </c>
      <c r="E241" s="324">
        <f>E242+E244+E247</f>
        <v>50079366</v>
      </c>
      <c r="F241" s="324">
        <f t="shared" ref="F241:P241" si="186">F242+F244+F247</f>
        <v>50079366</v>
      </c>
      <c r="G241" s="324">
        <f t="shared" si="186"/>
        <v>0</v>
      </c>
      <c r="H241" s="324">
        <f t="shared" si="186"/>
        <v>0</v>
      </c>
      <c r="I241" s="324">
        <f t="shared" si="186"/>
        <v>0</v>
      </c>
      <c r="J241" s="324">
        <f>J242+J244+J247</f>
        <v>135253111.61000001</v>
      </c>
      <c r="K241" s="324">
        <f t="shared" si="186"/>
        <v>133955574.58</v>
      </c>
      <c r="L241" s="324">
        <f t="shared" si="186"/>
        <v>140000</v>
      </c>
      <c r="M241" s="324">
        <f t="shared" si="186"/>
        <v>0</v>
      </c>
      <c r="N241" s="324">
        <f t="shared" si="186"/>
        <v>0</v>
      </c>
      <c r="O241" s="324">
        <f t="shared" si="186"/>
        <v>135113111.61000001</v>
      </c>
      <c r="P241" s="324">
        <f t="shared" si="186"/>
        <v>185332477.61000001</v>
      </c>
      <c r="R241" s="198"/>
    </row>
    <row r="242" spans="1:18" ht="91.5" thickTop="1" thickBot="1" x14ac:dyDescent="0.25">
      <c r="A242" s="450" t="s">
        <v>963</v>
      </c>
      <c r="B242" s="450" t="s">
        <v>964</v>
      </c>
      <c r="C242" s="450"/>
      <c r="D242" s="450" t="s">
        <v>965</v>
      </c>
      <c r="E242" s="463">
        <f>E243</f>
        <v>0</v>
      </c>
      <c r="F242" s="463">
        <f t="shared" ref="F242:P242" si="187">F243</f>
        <v>0</v>
      </c>
      <c r="G242" s="463">
        <f t="shared" si="187"/>
        <v>0</v>
      </c>
      <c r="H242" s="463">
        <f t="shared" si="187"/>
        <v>0</v>
      </c>
      <c r="I242" s="463">
        <f t="shared" si="187"/>
        <v>0</v>
      </c>
      <c r="J242" s="463">
        <f t="shared" si="187"/>
        <v>5300000</v>
      </c>
      <c r="K242" s="463">
        <f t="shared" si="187"/>
        <v>5300000</v>
      </c>
      <c r="L242" s="463">
        <f t="shared" si="187"/>
        <v>0</v>
      </c>
      <c r="M242" s="463">
        <f t="shared" si="187"/>
        <v>0</v>
      </c>
      <c r="N242" s="463">
        <f t="shared" si="187"/>
        <v>0</v>
      </c>
      <c r="O242" s="463">
        <f t="shared" si="187"/>
        <v>5300000</v>
      </c>
      <c r="P242" s="463">
        <f t="shared" si="187"/>
        <v>5300000</v>
      </c>
      <c r="R242" s="198"/>
    </row>
    <row r="243" spans="1:18" ht="99.75" thickTop="1" thickBot="1" x14ac:dyDescent="0.25">
      <c r="A243" s="898" t="s">
        <v>649</v>
      </c>
      <c r="B243" s="898" t="s">
        <v>324</v>
      </c>
      <c r="C243" s="898" t="s">
        <v>323</v>
      </c>
      <c r="D243" s="898" t="s">
        <v>780</v>
      </c>
      <c r="E243" s="324">
        <f t="shared" si="184"/>
        <v>0</v>
      </c>
      <c r="F243" s="170"/>
      <c r="G243" s="170"/>
      <c r="H243" s="170"/>
      <c r="I243" s="170"/>
      <c r="J243" s="894">
        <f>L243+O243</f>
        <v>5300000</v>
      </c>
      <c r="K243" s="313">
        <f>((5200000)+1080522)-980522</f>
        <v>5300000</v>
      </c>
      <c r="L243" s="170"/>
      <c r="M243" s="170"/>
      <c r="N243" s="170"/>
      <c r="O243" s="896">
        <f>K243</f>
        <v>5300000</v>
      </c>
      <c r="P243" s="894">
        <f t="shared" si="185"/>
        <v>5300000</v>
      </c>
      <c r="R243" s="125" t="b">
        <f>K243='d6'!J211+'d6'!J212+'d6'!J214</f>
        <v>1</v>
      </c>
    </row>
    <row r="244" spans="1:18" ht="136.5" thickTop="1" thickBot="1" x14ac:dyDescent="0.25">
      <c r="A244" s="450" t="s">
        <v>966</v>
      </c>
      <c r="B244" s="450" t="s">
        <v>967</v>
      </c>
      <c r="C244" s="450"/>
      <c r="D244" s="450" t="s">
        <v>968</v>
      </c>
      <c r="E244" s="463">
        <f t="shared" ref="E244:P245" si="188">E245</f>
        <v>50079366</v>
      </c>
      <c r="F244" s="463">
        <f t="shared" si="188"/>
        <v>50079366</v>
      </c>
      <c r="G244" s="463">
        <f t="shared" si="188"/>
        <v>0</v>
      </c>
      <c r="H244" s="463">
        <f t="shared" si="188"/>
        <v>0</v>
      </c>
      <c r="I244" s="463">
        <f t="shared" si="188"/>
        <v>0</v>
      </c>
      <c r="J244" s="463">
        <f t="shared" si="188"/>
        <v>64664228.030000001</v>
      </c>
      <c r="K244" s="463">
        <f t="shared" si="188"/>
        <v>64537213</v>
      </c>
      <c r="L244" s="463">
        <f t="shared" si="188"/>
        <v>0</v>
      </c>
      <c r="M244" s="463">
        <f t="shared" si="188"/>
        <v>0</v>
      </c>
      <c r="N244" s="463">
        <f t="shared" si="188"/>
        <v>0</v>
      </c>
      <c r="O244" s="463">
        <f t="shared" si="188"/>
        <v>64664228.030000001</v>
      </c>
      <c r="P244" s="463">
        <f t="shared" si="188"/>
        <v>114743594.03</v>
      </c>
      <c r="R244" s="198"/>
    </row>
    <row r="245" spans="1:18" ht="138.75" thickTop="1" thickBot="1" x14ac:dyDescent="0.25">
      <c r="A245" s="898" t="s">
        <v>1242</v>
      </c>
      <c r="B245" s="445" t="s">
        <v>1243</v>
      </c>
      <c r="C245" s="450"/>
      <c r="D245" s="445" t="s">
        <v>1244</v>
      </c>
      <c r="E245" s="464">
        <f t="shared" si="188"/>
        <v>50079366</v>
      </c>
      <c r="F245" s="464">
        <f t="shared" si="188"/>
        <v>50079366</v>
      </c>
      <c r="G245" s="464">
        <f t="shared" si="188"/>
        <v>0</v>
      </c>
      <c r="H245" s="464">
        <f t="shared" si="188"/>
        <v>0</v>
      </c>
      <c r="I245" s="464">
        <f t="shared" si="188"/>
        <v>0</v>
      </c>
      <c r="J245" s="464">
        <f t="shared" si="188"/>
        <v>64664228.030000001</v>
      </c>
      <c r="K245" s="464">
        <f t="shared" si="188"/>
        <v>64537213</v>
      </c>
      <c r="L245" s="464">
        <f t="shared" si="188"/>
        <v>0</v>
      </c>
      <c r="M245" s="464">
        <f t="shared" si="188"/>
        <v>0</v>
      </c>
      <c r="N245" s="464">
        <f t="shared" si="188"/>
        <v>0</v>
      </c>
      <c r="O245" s="464">
        <f t="shared" si="188"/>
        <v>64664228.030000001</v>
      </c>
      <c r="P245" s="464">
        <f t="shared" si="188"/>
        <v>114743594.03</v>
      </c>
      <c r="R245" s="198"/>
    </row>
    <row r="246" spans="1:18" ht="230.25" thickTop="1" thickBot="1" x14ac:dyDescent="0.25">
      <c r="A246" s="898" t="s">
        <v>650</v>
      </c>
      <c r="B246" s="898" t="s">
        <v>312</v>
      </c>
      <c r="C246" s="898" t="s">
        <v>314</v>
      </c>
      <c r="D246" s="898" t="s">
        <v>313</v>
      </c>
      <c r="E246" s="324">
        <f t="shared" si="184"/>
        <v>50079366</v>
      </c>
      <c r="F246" s="170">
        <f>((48273558)+4594808)-2789000</f>
        <v>50079366</v>
      </c>
      <c r="G246" s="170"/>
      <c r="H246" s="170"/>
      <c r="I246" s="170"/>
      <c r="J246" s="894">
        <f t="shared" si="176"/>
        <v>64664228.030000001</v>
      </c>
      <c r="K246" s="170">
        <f>(16932021+60000000)-5594808-6800000</f>
        <v>64537213</v>
      </c>
      <c r="L246" s="847"/>
      <c r="M246" s="847"/>
      <c r="N246" s="847"/>
      <c r="O246" s="896">
        <f>K246+127015.03</f>
        <v>64664228.030000001</v>
      </c>
      <c r="P246" s="894">
        <f>+J246+E246</f>
        <v>114743594.03</v>
      </c>
      <c r="R246" s="125" t="b">
        <f>K246='d6'!J220</f>
        <v>1</v>
      </c>
    </row>
    <row r="247" spans="1:18" ht="136.5" thickTop="1" thickBot="1" x14ac:dyDescent="0.25">
      <c r="A247" s="450" t="s">
        <v>969</v>
      </c>
      <c r="B247" s="450" t="s">
        <v>850</v>
      </c>
      <c r="C247" s="450"/>
      <c r="D247" s="450" t="s">
        <v>848</v>
      </c>
      <c r="E247" s="463">
        <f>SUM(E248:E252)-E250</f>
        <v>0</v>
      </c>
      <c r="F247" s="463">
        <f t="shared" ref="F247:I247" si="189">SUM(F248:F252)-F250</f>
        <v>0</v>
      </c>
      <c r="G247" s="463">
        <f t="shared" si="189"/>
        <v>0</v>
      </c>
      <c r="H247" s="463">
        <f t="shared" si="189"/>
        <v>0</v>
      </c>
      <c r="I247" s="463">
        <f t="shared" si="189"/>
        <v>0</v>
      </c>
      <c r="J247" s="463">
        <f>SUM(J248:J252)-J250</f>
        <v>65288883.579999998</v>
      </c>
      <c r="K247" s="463">
        <f t="shared" ref="K247:P247" si="190">SUM(K248:K252)-K250</f>
        <v>64118361.579999998</v>
      </c>
      <c r="L247" s="463">
        <f t="shared" si="190"/>
        <v>140000</v>
      </c>
      <c r="M247" s="463">
        <f t="shared" si="190"/>
        <v>0</v>
      </c>
      <c r="N247" s="463">
        <f t="shared" si="190"/>
        <v>0</v>
      </c>
      <c r="O247" s="463">
        <f t="shared" si="190"/>
        <v>65148883.579999998</v>
      </c>
      <c r="P247" s="463">
        <f t="shared" si="190"/>
        <v>65288883.579999998</v>
      </c>
      <c r="R247" s="125"/>
    </row>
    <row r="248" spans="1:18" ht="48" thickTop="1" thickBot="1" x14ac:dyDescent="0.25">
      <c r="A248" s="898" t="s">
        <v>651</v>
      </c>
      <c r="B248" s="898" t="s">
        <v>230</v>
      </c>
      <c r="C248" s="898" t="s">
        <v>231</v>
      </c>
      <c r="D248" s="898" t="s">
        <v>43</v>
      </c>
      <c r="E248" s="324">
        <f t="shared" si="184"/>
        <v>0</v>
      </c>
      <c r="F248" s="170"/>
      <c r="G248" s="170"/>
      <c r="H248" s="170"/>
      <c r="I248" s="170"/>
      <c r="J248" s="894">
        <f t="shared" si="176"/>
        <v>20549522.579999998</v>
      </c>
      <c r="K248" s="313">
        <f>(18508795.58)+2040727</f>
        <v>20549522.579999998</v>
      </c>
      <c r="L248" s="170"/>
      <c r="M248" s="170"/>
      <c r="N248" s="170"/>
      <c r="O248" s="896">
        <f t="shared" si="179"/>
        <v>20549522.579999998</v>
      </c>
      <c r="P248" s="894">
        <f>E248+J248</f>
        <v>20549522.579999998</v>
      </c>
      <c r="R248" s="125" t="b">
        <f>K248='d6'!J221</f>
        <v>1</v>
      </c>
    </row>
    <row r="249" spans="1:18" ht="93" thickTop="1" thickBot="1" x14ac:dyDescent="0.25">
      <c r="A249" s="898" t="s">
        <v>652</v>
      </c>
      <c r="B249" s="898" t="s">
        <v>215</v>
      </c>
      <c r="C249" s="898" t="s">
        <v>184</v>
      </c>
      <c r="D249" s="898" t="s">
        <v>36</v>
      </c>
      <c r="E249" s="324">
        <f t="shared" si="184"/>
        <v>0</v>
      </c>
      <c r="F249" s="170"/>
      <c r="G249" s="170"/>
      <c r="H249" s="170"/>
      <c r="I249" s="170"/>
      <c r="J249" s="894">
        <f t="shared" si="176"/>
        <v>43568839</v>
      </c>
      <c r="K249" s="313">
        <f>((14547011+1000000)+25241713)+2780115</f>
        <v>43568839</v>
      </c>
      <c r="L249" s="170"/>
      <c r="M249" s="170"/>
      <c r="N249" s="170"/>
      <c r="O249" s="896">
        <f t="shared" si="179"/>
        <v>43568839</v>
      </c>
      <c r="P249" s="894">
        <f>E249+J249</f>
        <v>43568839</v>
      </c>
      <c r="R249" s="125" t="b">
        <f>K249='d6'!J223+'d6'!J224+'d6'!J225+'d6'!J226+'d6'!J228+'d6'!J229+'d6'!J231+'d6'!J232+'d6'!J233+'d6'!J234+'d6'!J235+'d6'!J236+'d6'!J237+'d6'!J238+'d6'!J239+'d6'!J240+'d6'!J241+'d6'!J244+'d6'!J245+'d6'!J246+'d6'!J247+'d6'!J248+'d6'!J249+'d6'!J250+'d6'!J251+'d6'!J254+'d6'!J255+'d6'!J256+'d6'!J257+'d6'!J258+'d6'!J259+'d6'!J260+'d6'!J261+'d6'!J262+'d6'!J265+'d6'!J266+'d6'!J267+'d6'!J268+'d6'!J269</f>
        <v>0</v>
      </c>
    </row>
    <row r="250" spans="1:18" ht="48" thickTop="1" thickBot="1" x14ac:dyDescent="0.25">
      <c r="A250" s="445" t="s">
        <v>970</v>
      </c>
      <c r="B250" s="445" t="s">
        <v>853</v>
      </c>
      <c r="C250" s="445"/>
      <c r="D250" s="445" t="s">
        <v>958</v>
      </c>
      <c r="E250" s="464">
        <f>E251</f>
        <v>0</v>
      </c>
      <c r="F250" s="464">
        <f t="shared" ref="F250:P250" si="191">F251</f>
        <v>0</v>
      </c>
      <c r="G250" s="464">
        <f t="shared" si="191"/>
        <v>0</v>
      </c>
      <c r="H250" s="464">
        <f t="shared" si="191"/>
        <v>0</v>
      </c>
      <c r="I250" s="464">
        <f t="shared" si="191"/>
        <v>0</v>
      </c>
      <c r="J250" s="464">
        <f t="shared" si="191"/>
        <v>1170522</v>
      </c>
      <c r="K250" s="464">
        <f t="shared" si="191"/>
        <v>0</v>
      </c>
      <c r="L250" s="464">
        <f t="shared" si="191"/>
        <v>140000</v>
      </c>
      <c r="M250" s="464">
        <f t="shared" si="191"/>
        <v>0</v>
      </c>
      <c r="N250" s="464">
        <f t="shared" si="191"/>
        <v>0</v>
      </c>
      <c r="O250" s="464">
        <f t="shared" si="191"/>
        <v>1030522</v>
      </c>
      <c r="P250" s="464">
        <f t="shared" si="191"/>
        <v>1170522</v>
      </c>
      <c r="R250" s="198"/>
    </row>
    <row r="251" spans="1:18" ht="409.6" thickTop="1" thickBot="1" x14ac:dyDescent="0.7">
      <c r="A251" s="1037" t="s">
        <v>653</v>
      </c>
      <c r="B251" s="1037" t="s">
        <v>363</v>
      </c>
      <c r="C251" s="1037" t="s">
        <v>184</v>
      </c>
      <c r="D251" s="326" t="s">
        <v>473</v>
      </c>
      <c r="E251" s="1038"/>
      <c r="F251" s="1039"/>
      <c r="G251" s="1039"/>
      <c r="H251" s="1039"/>
      <c r="I251" s="1039"/>
      <c r="J251" s="1038">
        <f t="shared" si="176"/>
        <v>1170522</v>
      </c>
      <c r="K251" s="1039"/>
      <c r="L251" s="1039">
        <f>((190000)-50000)</f>
        <v>140000</v>
      </c>
      <c r="M251" s="1039"/>
      <c r="N251" s="1039"/>
      <c r="O251" s="1041">
        <f>(K251+50000)+980522</f>
        <v>1030522</v>
      </c>
      <c r="P251" s="1032">
        <f>E251+J251</f>
        <v>1170522</v>
      </c>
      <c r="R251" s="198"/>
    </row>
    <row r="252" spans="1:18" ht="184.5" thickTop="1" thickBot="1" x14ac:dyDescent="0.25">
      <c r="A252" s="1037"/>
      <c r="B252" s="1037"/>
      <c r="C252" s="1037"/>
      <c r="D252" s="329" t="s">
        <v>474</v>
      </c>
      <c r="E252" s="1038"/>
      <c r="F252" s="1039"/>
      <c r="G252" s="1039"/>
      <c r="H252" s="1039"/>
      <c r="I252" s="1039"/>
      <c r="J252" s="1038"/>
      <c r="K252" s="1039"/>
      <c r="L252" s="1039"/>
      <c r="M252" s="1039"/>
      <c r="N252" s="1039"/>
      <c r="O252" s="1041"/>
      <c r="P252" s="1032"/>
      <c r="R252" s="198"/>
    </row>
    <row r="253" spans="1:18" ht="47.25" thickTop="1" thickBot="1" x14ac:dyDescent="0.25">
      <c r="A253" s="173" t="s">
        <v>971</v>
      </c>
      <c r="B253" s="455" t="s">
        <v>855</v>
      </c>
      <c r="C253" s="455"/>
      <c r="D253" s="468" t="s">
        <v>856</v>
      </c>
      <c r="E253" s="894">
        <f>E254</f>
        <v>2560578</v>
      </c>
      <c r="F253" s="894">
        <f t="shared" ref="F253:P253" si="192">F254</f>
        <v>2560578</v>
      </c>
      <c r="G253" s="894">
        <f t="shared" si="192"/>
        <v>1788859</v>
      </c>
      <c r="H253" s="894">
        <f t="shared" si="192"/>
        <v>29785</v>
      </c>
      <c r="I253" s="894">
        <f t="shared" si="192"/>
        <v>0</v>
      </c>
      <c r="J253" s="894">
        <f t="shared" si="192"/>
        <v>32000</v>
      </c>
      <c r="K253" s="894">
        <f t="shared" si="192"/>
        <v>32000</v>
      </c>
      <c r="L253" s="894">
        <f t="shared" si="192"/>
        <v>0</v>
      </c>
      <c r="M253" s="894">
        <f t="shared" si="192"/>
        <v>0</v>
      </c>
      <c r="N253" s="894">
        <f t="shared" si="192"/>
        <v>0</v>
      </c>
      <c r="O253" s="894">
        <f t="shared" si="192"/>
        <v>32000</v>
      </c>
      <c r="P253" s="894">
        <f t="shared" si="192"/>
        <v>2592578</v>
      </c>
      <c r="R253" s="198"/>
    </row>
    <row r="254" spans="1:18" ht="181.5" thickTop="1" thickBot="1" x14ac:dyDescent="0.25">
      <c r="A254" s="450" t="s">
        <v>973</v>
      </c>
      <c r="B254" s="404" t="s">
        <v>974</v>
      </c>
      <c r="C254" s="404"/>
      <c r="D254" s="469" t="s">
        <v>972</v>
      </c>
      <c r="E254" s="366">
        <f>SUM(E255:E257)</f>
        <v>2560578</v>
      </c>
      <c r="F254" s="366">
        <f t="shared" ref="F254:P254" si="193">SUM(F255:F257)</f>
        <v>2560578</v>
      </c>
      <c r="G254" s="366">
        <f t="shared" si="193"/>
        <v>1788859</v>
      </c>
      <c r="H254" s="366">
        <f t="shared" si="193"/>
        <v>29785</v>
      </c>
      <c r="I254" s="366">
        <f t="shared" si="193"/>
        <v>0</v>
      </c>
      <c r="J254" s="366">
        <f t="shared" si="193"/>
        <v>32000</v>
      </c>
      <c r="K254" s="366">
        <f t="shared" si="193"/>
        <v>32000</v>
      </c>
      <c r="L254" s="366">
        <f t="shared" si="193"/>
        <v>0</v>
      </c>
      <c r="M254" s="366">
        <f t="shared" si="193"/>
        <v>0</v>
      </c>
      <c r="N254" s="366">
        <f t="shared" si="193"/>
        <v>0</v>
      </c>
      <c r="O254" s="366">
        <f t="shared" si="193"/>
        <v>32000</v>
      </c>
      <c r="P254" s="366">
        <f t="shared" si="193"/>
        <v>2592578</v>
      </c>
      <c r="R254" s="198"/>
    </row>
    <row r="255" spans="1:18" ht="184.5" thickTop="1" thickBot="1" x14ac:dyDescent="0.25">
      <c r="A255" s="898" t="s">
        <v>654</v>
      </c>
      <c r="B255" s="898" t="s">
        <v>565</v>
      </c>
      <c r="C255" s="898" t="s">
        <v>269</v>
      </c>
      <c r="D255" s="898" t="s">
        <v>566</v>
      </c>
      <c r="E255" s="324">
        <f>F255</f>
        <v>108400</v>
      </c>
      <c r="F255" s="170">
        <v>108400</v>
      </c>
      <c r="G255" s="170"/>
      <c r="H255" s="170"/>
      <c r="I255" s="170"/>
      <c r="J255" s="894">
        <f>L255+O255</f>
        <v>0</v>
      </c>
      <c r="K255" s="313"/>
      <c r="L255" s="170"/>
      <c r="M255" s="170"/>
      <c r="N255" s="170"/>
      <c r="O255" s="896">
        <f>K255</f>
        <v>0</v>
      </c>
      <c r="P255" s="894">
        <f>E255+J255</f>
        <v>108400</v>
      </c>
      <c r="R255" s="198"/>
    </row>
    <row r="256" spans="1:18" ht="93" thickTop="1" thickBot="1" x14ac:dyDescent="0.25">
      <c r="A256" s="893" t="s">
        <v>655</v>
      </c>
      <c r="B256" s="893" t="s">
        <v>268</v>
      </c>
      <c r="C256" s="893" t="s">
        <v>269</v>
      </c>
      <c r="D256" s="893" t="s">
        <v>267</v>
      </c>
      <c r="E256" s="324">
        <f t="shared" ref="E256:E257" si="194">F256</f>
        <v>2452178</v>
      </c>
      <c r="F256" s="170">
        <f>(1833178+1219000)-600000</f>
        <v>2452178</v>
      </c>
      <c r="G256" s="170">
        <f>((1494859)+894000)-600000</f>
        <v>1788859</v>
      </c>
      <c r="H256" s="170">
        <f>(20785)+9000</f>
        <v>29785</v>
      </c>
      <c r="I256" s="170"/>
      <c r="J256" s="894">
        <f>L256+O256</f>
        <v>32000</v>
      </c>
      <c r="K256" s="313">
        <v>32000</v>
      </c>
      <c r="L256" s="170"/>
      <c r="M256" s="170"/>
      <c r="N256" s="170"/>
      <c r="O256" s="896">
        <f>K256</f>
        <v>32000</v>
      </c>
      <c r="P256" s="894">
        <f>E256+J256</f>
        <v>2484178</v>
      </c>
      <c r="R256" s="892" t="b">
        <f>K256='d6'!J270</f>
        <v>1</v>
      </c>
    </row>
    <row r="257" spans="1:18" ht="93" hidden="1" thickTop="1" thickBot="1" x14ac:dyDescent="0.25">
      <c r="A257" s="511" t="s">
        <v>656</v>
      </c>
      <c r="B257" s="511" t="s">
        <v>657</v>
      </c>
      <c r="C257" s="511" t="s">
        <v>269</v>
      </c>
      <c r="D257" s="511" t="s">
        <v>658</v>
      </c>
      <c r="E257" s="517">
        <f t="shared" si="194"/>
        <v>0</v>
      </c>
      <c r="F257" s="518">
        <f>(1219000)-1219000</f>
        <v>0</v>
      </c>
      <c r="G257" s="518">
        <f>(354000+540000)-894000</f>
        <v>0</v>
      </c>
      <c r="H257" s="518">
        <f>(6000+3000)-9000</f>
        <v>0</v>
      </c>
      <c r="I257" s="518"/>
      <c r="J257" s="836">
        <f>L257+O257</f>
        <v>0</v>
      </c>
      <c r="K257" s="809"/>
      <c r="L257" s="837"/>
      <c r="M257" s="837"/>
      <c r="N257" s="837"/>
      <c r="O257" s="838">
        <f>K257</f>
        <v>0</v>
      </c>
      <c r="P257" s="836">
        <f>E257+J257</f>
        <v>0</v>
      </c>
      <c r="R257" s="198"/>
    </row>
    <row r="258" spans="1:18" ht="316.5" thickTop="1" thickBot="1" x14ac:dyDescent="0.25">
      <c r="A258" s="853" t="s">
        <v>25</v>
      </c>
      <c r="B258" s="853"/>
      <c r="C258" s="853"/>
      <c r="D258" s="854" t="s">
        <v>400</v>
      </c>
      <c r="E258" s="855">
        <f>E259</f>
        <v>3464607</v>
      </c>
      <c r="F258" s="856">
        <f t="shared" ref="F258:G258" si="195">F259</f>
        <v>3464607</v>
      </c>
      <c r="G258" s="856">
        <f t="shared" si="195"/>
        <v>2367850</v>
      </c>
      <c r="H258" s="856">
        <f>H259</f>
        <v>79370</v>
      </c>
      <c r="I258" s="856">
        <f t="shared" ref="I258" si="196">I259</f>
        <v>0</v>
      </c>
      <c r="J258" s="855">
        <f>J259</f>
        <v>263150566.50999999</v>
      </c>
      <c r="K258" s="856">
        <f>K259</f>
        <v>261650566.50999999</v>
      </c>
      <c r="L258" s="856">
        <f>L259</f>
        <v>0</v>
      </c>
      <c r="M258" s="856">
        <f t="shared" ref="M258" si="197">M259</f>
        <v>0</v>
      </c>
      <c r="N258" s="856">
        <f>N259</f>
        <v>0</v>
      </c>
      <c r="O258" s="855">
        <f>O259</f>
        <v>263150566.50999999</v>
      </c>
      <c r="P258" s="856">
        <f t="shared" ref="P258" si="198">P259</f>
        <v>266615173.50999999</v>
      </c>
    </row>
    <row r="259" spans="1:18" ht="181.5" thickTop="1" thickBot="1" x14ac:dyDescent="0.25">
      <c r="A259" s="857" t="s">
        <v>26</v>
      </c>
      <c r="B259" s="857"/>
      <c r="C259" s="857"/>
      <c r="D259" s="858" t="s">
        <v>1068</v>
      </c>
      <c r="E259" s="859">
        <f>E260+E264+E267</f>
        <v>3464607</v>
      </c>
      <c r="F259" s="859">
        <f t="shared" ref="F259:I259" si="199">F260+F264+F267</f>
        <v>3464607</v>
      </c>
      <c r="G259" s="859">
        <f t="shared" si="199"/>
        <v>2367850</v>
      </c>
      <c r="H259" s="859">
        <f t="shared" si="199"/>
        <v>79370</v>
      </c>
      <c r="I259" s="859">
        <f t="shared" si="199"/>
        <v>0</v>
      </c>
      <c r="J259" s="859">
        <f>L259+O259</f>
        <v>263150566.50999999</v>
      </c>
      <c r="K259" s="859">
        <f t="shared" ref="K259:O259" si="200">K260+K264+K267</f>
        <v>261650566.50999999</v>
      </c>
      <c r="L259" s="859">
        <f t="shared" si="200"/>
        <v>0</v>
      </c>
      <c r="M259" s="859">
        <f t="shared" si="200"/>
        <v>0</v>
      </c>
      <c r="N259" s="859">
        <f t="shared" si="200"/>
        <v>0</v>
      </c>
      <c r="O259" s="859">
        <f t="shared" si="200"/>
        <v>263150566.50999999</v>
      </c>
      <c r="P259" s="859">
        <f t="shared" ref="P259:P275" si="201">E259+J259</f>
        <v>266615173.50999999</v>
      </c>
      <c r="Q259" s="125" t="b">
        <f>P259=P271+P273+P274+P261+P275+P266+P272+P262+P269+P263+P278</f>
        <v>1</v>
      </c>
      <c r="R259" s="892" t="b">
        <f>K259='d6'!J272</f>
        <v>0</v>
      </c>
    </row>
    <row r="260" spans="1:18" ht="47.25" thickTop="1" thickBot="1" x14ac:dyDescent="0.25">
      <c r="A260" s="455" t="s">
        <v>975</v>
      </c>
      <c r="B260" s="455" t="s">
        <v>843</v>
      </c>
      <c r="C260" s="455"/>
      <c r="D260" s="455" t="s">
        <v>844</v>
      </c>
      <c r="E260" s="894">
        <f t="shared" ref="E260:P260" si="202">SUM(E261:E263)</f>
        <v>3464607</v>
      </c>
      <c r="F260" s="894">
        <f t="shared" si="202"/>
        <v>3464607</v>
      </c>
      <c r="G260" s="894">
        <f t="shared" si="202"/>
        <v>2367850</v>
      </c>
      <c r="H260" s="894">
        <f t="shared" si="202"/>
        <v>79370</v>
      </c>
      <c r="I260" s="894">
        <f t="shared" si="202"/>
        <v>0</v>
      </c>
      <c r="J260" s="894">
        <f t="shared" si="202"/>
        <v>0</v>
      </c>
      <c r="K260" s="894">
        <f t="shared" si="202"/>
        <v>0</v>
      </c>
      <c r="L260" s="894">
        <f t="shared" si="202"/>
        <v>0</v>
      </c>
      <c r="M260" s="894">
        <f t="shared" si="202"/>
        <v>0</v>
      </c>
      <c r="N260" s="894">
        <f t="shared" si="202"/>
        <v>0</v>
      </c>
      <c r="O260" s="894">
        <f t="shared" si="202"/>
        <v>0</v>
      </c>
      <c r="P260" s="894">
        <f t="shared" si="202"/>
        <v>3464607</v>
      </c>
      <c r="Q260" s="125"/>
      <c r="R260" s="892"/>
    </row>
    <row r="261" spans="1:18" ht="230.25" thickTop="1" thickBot="1" x14ac:dyDescent="0.25">
      <c r="A261" s="893" t="s">
        <v>445</v>
      </c>
      <c r="B261" s="893" t="s">
        <v>254</v>
      </c>
      <c r="C261" s="893" t="s">
        <v>252</v>
      </c>
      <c r="D261" s="893" t="s">
        <v>253</v>
      </c>
      <c r="E261" s="894">
        <f>F261</f>
        <v>3309607</v>
      </c>
      <c r="F261" s="313">
        <f>(2367850+520950+61660+322000+2000+1570+24500+53300+1610+1075-5000)-145008-1000+1000+49750+17000+10000+20835+3015+1000+1500</f>
        <v>3309607</v>
      </c>
      <c r="G261" s="313">
        <v>2367850</v>
      </c>
      <c r="H261" s="313">
        <f>(1570+24500+53300)</f>
        <v>79370</v>
      </c>
      <c r="I261" s="313"/>
      <c r="J261" s="894">
        <f t="shared" ref="J261:J275" si="203">L261+O261</f>
        <v>0</v>
      </c>
      <c r="K261" s="313"/>
      <c r="L261" s="313"/>
      <c r="M261" s="313"/>
      <c r="N261" s="313"/>
      <c r="O261" s="896">
        <f>K261</f>
        <v>0</v>
      </c>
      <c r="P261" s="894">
        <f t="shared" si="201"/>
        <v>3309607</v>
      </c>
      <c r="Q261" s="197"/>
      <c r="R261" s="198"/>
    </row>
    <row r="262" spans="1:18" ht="184.5" thickTop="1" thickBot="1" x14ac:dyDescent="0.25">
      <c r="A262" s="897" t="s">
        <v>788</v>
      </c>
      <c r="B262" s="897" t="s">
        <v>388</v>
      </c>
      <c r="C262" s="897" t="s">
        <v>778</v>
      </c>
      <c r="D262" s="897" t="s">
        <v>779</v>
      </c>
      <c r="E262" s="324">
        <f>F262</f>
        <v>5000</v>
      </c>
      <c r="F262" s="170">
        <v>5000</v>
      </c>
      <c r="G262" s="170"/>
      <c r="H262" s="170"/>
      <c r="I262" s="170"/>
      <c r="J262" s="894">
        <f t="shared" si="203"/>
        <v>0</v>
      </c>
      <c r="K262" s="170"/>
      <c r="L262" s="847"/>
      <c r="M262" s="847"/>
      <c r="N262" s="847"/>
      <c r="O262" s="896">
        <f t="shared" ref="O262:O263" si="204">K262</f>
        <v>0</v>
      </c>
      <c r="P262" s="894">
        <f t="shared" ref="P262:P263" si="205">+J262+E262</f>
        <v>5000</v>
      </c>
      <c r="Q262" s="197"/>
      <c r="R262" s="198"/>
    </row>
    <row r="263" spans="1:18" ht="93" thickTop="1" thickBot="1" x14ac:dyDescent="0.25">
      <c r="A263" s="897" t="s">
        <v>1154</v>
      </c>
      <c r="B263" s="897" t="s">
        <v>45</v>
      </c>
      <c r="C263" s="897" t="s">
        <v>44</v>
      </c>
      <c r="D263" s="897" t="s">
        <v>266</v>
      </c>
      <c r="E263" s="324">
        <f>F263</f>
        <v>150000</v>
      </c>
      <c r="F263" s="170">
        <v>150000</v>
      </c>
      <c r="G263" s="170"/>
      <c r="H263" s="170"/>
      <c r="I263" s="170"/>
      <c r="J263" s="894">
        <f t="shared" si="203"/>
        <v>0</v>
      </c>
      <c r="K263" s="170"/>
      <c r="L263" s="847"/>
      <c r="M263" s="847"/>
      <c r="N263" s="847"/>
      <c r="O263" s="896">
        <f t="shared" si="204"/>
        <v>0</v>
      </c>
      <c r="P263" s="894">
        <f t="shared" si="205"/>
        <v>150000</v>
      </c>
      <c r="Q263" s="197"/>
      <c r="R263" s="198"/>
    </row>
    <row r="264" spans="1:18" ht="47.25" thickTop="1" thickBot="1" x14ac:dyDescent="0.25">
      <c r="A264" s="455" t="s">
        <v>976</v>
      </c>
      <c r="B264" s="455" t="s">
        <v>931</v>
      </c>
      <c r="C264" s="893"/>
      <c r="D264" s="455" t="s">
        <v>932</v>
      </c>
      <c r="E264" s="324">
        <f>E265</f>
        <v>0</v>
      </c>
      <c r="F264" s="324">
        <f t="shared" ref="F264:P265" si="206">F265</f>
        <v>0</v>
      </c>
      <c r="G264" s="324">
        <f t="shared" si="206"/>
        <v>0</v>
      </c>
      <c r="H264" s="324">
        <f t="shared" si="206"/>
        <v>0</v>
      </c>
      <c r="I264" s="324">
        <f t="shared" si="206"/>
        <v>0</v>
      </c>
      <c r="J264" s="324">
        <f t="shared" si="206"/>
        <v>112000000</v>
      </c>
      <c r="K264" s="324">
        <f t="shared" si="206"/>
        <v>112000000</v>
      </c>
      <c r="L264" s="324">
        <f t="shared" si="206"/>
        <v>0</v>
      </c>
      <c r="M264" s="324">
        <f t="shared" si="206"/>
        <v>0</v>
      </c>
      <c r="N264" s="324">
        <f t="shared" si="206"/>
        <v>0</v>
      </c>
      <c r="O264" s="324">
        <f t="shared" si="206"/>
        <v>112000000</v>
      </c>
      <c r="P264" s="324">
        <f t="shared" si="206"/>
        <v>112000000</v>
      </c>
      <c r="Q264" s="197"/>
      <c r="R264" s="198"/>
    </row>
    <row r="265" spans="1:18" ht="93" thickTop="1" thickBot="1" x14ac:dyDescent="0.25">
      <c r="A265" s="365" t="s">
        <v>977</v>
      </c>
      <c r="B265" s="365" t="s">
        <v>978</v>
      </c>
      <c r="C265" s="365"/>
      <c r="D265" s="365" t="s">
        <v>979</v>
      </c>
      <c r="E265" s="464">
        <f>E266</f>
        <v>0</v>
      </c>
      <c r="F265" s="464">
        <f t="shared" si="206"/>
        <v>0</v>
      </c>
      <c r="G265" s="464">
        <f t="shared" si="206"/>
        <v>0</v>
      </c>
      <c r="H265" s="464">
        <f t="shared" si="206"/>
        <v>0</v>
      </c>
      <c r="I265" s="464">
        <f t="shared" si="206"/>
        <v>0</v>
      </c>
      <c r="J265" s="464">
        <f t="shared" si="206"/>
        <v>112000000</v>
      </c>
      <c r="K265" s="464">
        <f t="shared" si="206"/>
        <v>112000000</v>
      </c>
      <c r="L265" s="464">
        <f t="shared" si="206"/>
        <v>0</v>
      </c>
      <c r="M265" s="464">
        <f t="shared" si="206"/>
        <v>0</v>
      </c>
      <c r="N265" s="464">
        <f t="shared" si="206"/>
        <v>0</v>
      </c>
      <c r="O265" s="464">
        <f t="shared" si="206"/>
        <v>112000000</v>
      </c>
      <c r="P265" s="464">
        <f t="shared" si="206"/>
        <v>112000000</v>
      </c>
      <c r="Q265" s="197"/>
      <c r="R265" s="198"/>
    </row>
    <row r="266" spans="1:18" ht="321.75" thickTop="1" thickBot="1" x14ac:dyDescent="0.25">
      <c r="A266" s="893" t="s">
        <v>463</v>
      </c>
      <c r="B266" s="893" t="s">
        <v>465</v>
      </c>
      <c r="C266" s="893" t="s">
        <v>213</v>
      </c>
      <c r="D266" s="893" t="s">
        <v>464</v>
      </c>
      <c r="E266" s="894">
        <f t="shared" ref="E266:E273" si="207">F266</f>
        <v>0</v>
      </c>
      <c r="F266" s="313"/>
      <c r="G266" s="313"/>
      <c r="H266" s="313"/>
      <c r="I266" s="313"/>
      <c r="J266" s="894">
        <f t="shared" si="203"/>
        <v>112000000</v>
      </c>
      <c r="K266" s="313">
        <f>((8000000+2000000+7000000)+70000000)+25000000</f>
        <v>112000000</v>
      </c>
      <c r="L266" s="313"/>
      <c r="M266" s="313"/>
      <c r="N266" s="313"/>
      <c r="O266" s="896">
        <f t="shared" ref="O266" si="208">K266</f>
        <v>112000000</v>
      </c>
      <c r="P266" s="894">
        <f t="shared" si="201"/>
        <v>112000000</v>
      </c>
      <c r="Q266" s="197"/>
      <c r="R266" s="892" t="b">
        <f>K266='d6'!J273</f>
        <v>1</v>
      </c>
    </row>
    <row r="267" spans="1:18" ht="47.25" thickTop="1" thickBot="1" x14ac:dyDescent="0.25">
      <c r="A267" s="455" t="s">
        <v>980</v>
      </c>
      <c r="B267" s="455" t="s">
        <v>908</v>
      </c>
      <c r="C267" s="893"/>
      <c r="D267" s="455" t="s">
        <v>955</v>
      </c>
      <c r="E267" s="894">
        <f>E268+E276</f>
        <v>0</v>
      </c>
      <c r="F267" s="894">
        <f t="shared" ref="F267:P267" si="209">F268+F276</f>
        <v>0</v>
      </c>
      <c r="G267" s="894">
        <f t="shared" si="209"/>
        <v>0</v>
      </c>
      <c r="H267" s="894">
        <f t="shared" si="209"/>
        <v>0</v>
      </c>
      <c r="I267" s="894">
        <f t="shared" si="209"/>
        <v>0</v>
      </c>
      <c r="J267" s="894">
        <f t="shared" si="209"/>
        <v>151150566.50999999</v>
      </c>
      <c r="K267" s="894">
        <f t="shared" si="209"/>
        <v>149650566.50999999</v>
      </c>
      <c r="L267" s="894">
        <f t="shared" si="209"/>
        <v>0</v>
      </c>
      <c r="M267" s="894">
        <f t="shared" si="209"/>
        <v>0</v>
      </c>
      <c r="N267" s="894">
        <f t="shared" si="209"/>
        <v>0</v>
      </c>
      <c r="O267" s="894">
        <f t="shared" si="209"/>
        <v>151150566.50999999</v>
      </c>
      <c r="P267" s="894">
        <f t="shared" si="209"/>
        <v>151150566.50999999</v>
      </c>
      <c r="Q267" s="197"/>
      <c r="R267" s="198"/>
    </row>
    <row r="268" spans="1:18" ht="91.5" thickTop="1" thickBot="1" x14ac:dyDescent="0.25">
      <c r="A268" s="404" t="s">
        <v>981</v>
      </c>
      <c r="B268" s="404" t="s">
        <v>964</v>
      </c>
      <c r="C268" s="404"/>
      <c r="D268" s="404" t="s">
        <v>965</v>
      </c>
      <c r="E268" s="366">
        <f t="shared" ref="E268:P268" si="210">SUM(E269:E275)-E270</f>
        <v>0</v>
      </c>
      <c r="F268" s="366">
        <f t="shared" si="210"/>
        <v>0</v>
      </c>
      <c r="G268" s="366">
        <f t="shared" si="210"/>
        <v>0</v>
      </c>
      <c r="H268" s="366">
        <f t="shared" si="210"/>
        <v>0</v>
      </c>
      <c r="I268" s="366">
        <f t="shared" si="210"/>
        <v>0</v>
      </c>
      <c r="J268" s="366">
        <f t="shared" si="210"/>
        <v>149650566.50999999</v>
      </c>
      <c r="K268" s="366">
        <f t="shared" si="210"/>
        <v>149650566.50999999</v>
      </c>
      <c r="L268" s="366">
        <f t="shared" si="210"/>
        <v>0</v>
      </c>
      <c r="M268" s="366">
        <f t="shared" si="210"/>
        <v>0</v>
      </c>
      <c r="N268" s="366">
        <f t="shared" si="210"/>
        <v>0</v>
      </c>
      <c r="O268" s="366">
        <f t="shared" si="210"/>
        <v>149650566.50999999</v>
      </c>
      <c r="P268" s="366">
        <f t="shared" si="210"/>
        <v>149650566.50999999</v>
      </c>
      <c r="Q268" s="197"/>
      <c r="R268" s="198"/>
    </row>
    <row r="269" spans="1:18" ht="99.75" thickTop="1" thickBot="1" x14ac:dyDescent="0.25">
      <c r="A269" s="893" t="s">
        <v>1153</v>
      </c>
      <c r="B269" s="893" t="s">
        <v>324</v>
      </c>
      <c r="C269" s="893" t="s">
        <v>323</v>
      </c>
      <c r="D269" s="893" t="s">
        <v>780</v>
      </c>
      <c r="E269" s="894">
        <f t="shared" ref="E269" si="211">F269</f>
        <v>0</v>
      </c>
      <c r="F269" s="313"/>
      <c r="G269" s="313"/>
      <c r="H269" s="313"/>
      <c r="I269" s="313"/>
      <c r="J269" s="894">
        <f t="shared" ref="J269" si="212">L269+O269</f>
        <v>36872.51</v>
      </c>
      <c r="K269" s="313">
        <v>36872.51</v>
      </c>
      <c r="L269" s="313"/>
      <c r="M269" s="313"/>
      <c r="N269" s="313"/>
      <c r="O269" s="896">
        <f>K269</f>
        <v>36872.51</v>
      </c>
      <c r="P269" s="894">
        <f t="shared" ref="P269" si="213">E269+J269</f>
        <v>36872.51</v>
      </c>
      <c r="Q269" s="197"/>
      <c r="R269" s="892" t="b">
        <f>K269='d6'!J275</f>
        <v>0</v>
      </c>
    </row>
    <row r="270" spans="1:18" ht="146.25" thickTop="1" thickBot="1" x14ac:dyDescent="0.25">
      <c r="A270" s="365" t="s">
        <v>982</v>
      </c>
      <c r="B270" s="365" t="s">
        <v>983</v>
      </c>
      <c r="C270" s="365"/>
      <c r="D270" s="365" t="s">
        <v>984</v>
      </c>
      <c r="E270" s="367">
        <f>SUM(E271:E272)</f>
        <v>0</v>
      </c>
      <c r="F270" s="367">
        <f t="shared" ref="F270:P270" si="214">SUM(F271:F272)</f>
        <v>0</v>
      </c>
      <c r="G270" s="367">
        <f t="shared" si="214"/>
        <v>0</v>
      </c>
      <c r="H270" s="367">
        <f t="shared" si="214"/>
        <v>0</v>
      </c>
      <c r="I270" s="367">
        <f t="shared" si="214"/>
        <v>0</v>
      </c>
      <c r="J270" s="367">
        <f t="shared" si="214"/>
        <v>23570957</v>
      </c>
      <c r="K270" s="367">
        <f t="shared" si="214"/>
        <v>23570957</v>
      </c>
      <c r="L270" s="367">
        <f t="shared" si="214"/>
        <v>0</v>
      </c>
      <c r="M270" s="367">
        <f t="shared" si="214"/>
        <v>0</v>
      </c>
      <c r="N270" s="367">
        <f t="shared" si="214"/>
        <v>0</v>
      </c>
      <c r="O270" s="367">
        <f t="shared" si="214"/>
        <v>23570957</v>
      </c>
      <c r="P270" s="367">
        <f t="shared" si="214"/>
        <v>23570957</v>
      </c>
      <c r="Q270" s="197"/>
      <c r="R270" s="198"/>
    </row>
    <row r="271" spans="1:18" ht="99.75" thickTop="1" thickBot="1" x14ac:dyDescent="0.25">
      <c r="A271" s="893" t="s">
        <v>333</v>
      </c>
      <c r="B271" s="893" t="s">
        <v>334</v>
      </c>
      <c r="C271" s="893" t="s">
        <v>323</v>
      </c>
      <c r="D271" s="893" t="s">
        <v>781</v>
      </c>
      <c r="E271" s="894">
        <f t="shared" si="207"/>
        <v>0</v>
      </c>
      <c r="F271" s="313"/>
      <c r="G271" s="313"/>
      <c r="H271" s="313"/>
      <c r="I271" s="313"/>
      <c r="J271" s="894">
        <f t="shared" si="203"/>
        <v>23370957</v>
      </c>
      <c r="K271" s="313">
        <f>((6855987)+16002910-1087940)+1600000</f>
        <v>23370957</v>
      </c>
      <c r="L271" s="313"/>
      <c r="M271" s="313"/>
      <c r="N271" s="313"/>
      <c r="O271" s="896">
        <f>K271</f>
        <v>23370957</v>
      </c>
      <c r="P271" s="894">
        <f t="shared" si="201"/>
        <v>23370957</v>
      </c>
      <c r="Q271" s="188"/>
      <c r="R271" s="892" t="b">
        <f>K271='d6'!J276+'d6'!J277+'d6'!J278+'d6'!J279</f>
        <v>0</v>
      </c>
    </row>
    <row r="272" spans="1:18" ht="99.75" thickTop="1" thickBot="1" x14ac:dyDescent="0.25">
      <c r="A272" s="893" t="s">
        <v>563</v>
      </c>
      <c r="B272" s="893" t="s">
        <v>564</v>
      </c>
      <c r="C272" s="893" t="s">
        <v>323</v>
      </c>
      <c r="D272" s="893" t="s">
        <v>782</v>
      </c>
      <c r="E272" s="894">
        <f t="shared" si="207"/>
        <v>0</v>
      </c>
      <c r="F272" s="313"/>
      <c r="G272" s="313"/>
      <c r="H272" s="313"/>
      <c r="I272" s="313"/>
      <c r="J272" s="894">
        <f t="shared" si="203"/>
        <v>200000</v>
      </c>
      <c r="K272" s="313">
        <v>200000</v>
      </c>
      <c r="L272" s="313"/>
      <c r="M272" s="313"/>
      <c r="N272" s="313"/>
      <c r="O272" s="896">
        <f>K272</f>
        <v>200000</v>
      </c>
      <c r="P272" s="894">
        <f t="shared" si="201"/>
        <v>200000</v>
      </c>
      <c r="Q272" s="188"/>
      <c r="R272" s="892" t="b">
        <f>K272='d6'!J281</f>
        <v>1</v>
      </c>
    </row>
    <row r="273" spans="1:18" ht="145.5" hidden="1" thickTop="1" thickBot="1" x14ac:dyDescent="0.25">
      <c r="A273" s="893" t="s">
        <v>335</v>
      </c>
      <c r="B273" s="893" t="s">
        <v>336</v>
      </c>
      <c r="C273" s="893" t="s">
        <v>323</v>
      </c>
      <c r="D273" s="893" t="s">
        <v>783</v>
      </c>
      <c r="E273" s="894">
        <f t="shared" si="207"/>
        <v>0</v>
      </c>
      <c r="F273" s="313"/>
      <c r="G273" s="313"/>
      <c r="H273" s="313"/>
      <c r="I273" s="313"/>
      <c r="J273" s="894">
        <f t="shared" si="203"/>
        <v>0</v>
      </c>
      <c r="K273" s="313">
        <v>0</v>
      </c>
      <c r="L273" s="313"/>
      <c r="M273" s="313"/>
      <c r="N273" s="313"/>
      <c r="O273" s="896">
        <f>K273</f>
        <v>0</v>
      </c>
      <c r="P273" s="894">
        <f t="shared" si="201"/>
        <v>0</v>
      </c>
      <c r="Q273" s="188"/>
    </row>
    <row r="274" spans="1:18" ht="99.75" thickTop="1" thickBot="1" x14ac:dyDescent="0.3">
      <c r="A274" s="893" t="s">
        <v>337</v>
      </c>
      <c r="B274" s="893" t="s">
        <v>338</v>
      </c>
      <c r="C274" s="893" t="s">
        <v>323</v>
      </c>
      <c r="D274" s="893" t="s">
        <v>784</v>
      </c>
      <c r="E274" s="894">
        <f>F274</f>
        <v>0</v>
      </c>
      <c r="F274" s="313"/>
      <c r="G274" s="313"/>
      <c r="H274" s="313"/>
      <c r="I274" s="313"/>
      <c r="J274" s="894">
        <f t="shared" si="203"/>
        <v>15961435</v>
      </c>
      <c r="K274" s="313">
        <f>((9126836+5000000+370000)+2068629+795970)-1400000</f>
        <v>15961435</v>
      </c>
      <c r="L274" s="313"/>
      <c r="M274" s="313"/>
      <c r="N274" s="313"/>
      <c r="O274" s="896">
        <f>K274</f>
        <v>15961435</v>
      </c>
      <c r="P274" s="894">
        <f t="shared" si="201"/>
        <v>15961435</v>
      </c>
      <c r="Q274" s="200"/>
      <c r="R274" s="892" t="b">
        <f>K274='d6'!J282+'d6'!J283+'d6'!J284+'d6'!J285+'d6'!J286+'d6'!J287+'d6'!J288+'d6'!J289+'d6'!J290+'d6'!J291+'d6'!J292+'d6'!J293</f>
        <v>0</v>
      </c>
    </row>
    <row r="275" spans="1:18" ht="138.75" thickTop="1" thickBot="1" x14ac:dyDescent="0.25">
      <c r="A275" s="893" t="s">
        <v>469</v>
      </c>
      <c r="B275" s="893" t="s">
        <v>376</v>
      </c>
      <c r="C275" s="893" t="s">
        <v>184</v>
      </c>
      <c r="D275" s="893" t="s">
        <v>280</v>
      </c>
      <c r="E275" s="894">
        <f>F275</f>
        <v>0</v>
      </c>
      <c r="F275" s="313"/>
      <c r="G275" s="313"/>
      <c r="H275" s="313"/>
      <c r="I275" s="313"/>
      <c r="J275" s="894">
        <f t="shared" si="203"/>
        <v>110081302</v>
      </c>
      <c r="K275" s="313">
        <f>((23737852+6343450)+20000000)+60000000</f>
        <v>110081302</v>
      </c>
      <c r="L275" s="313"/>
      <c r="M275" s="313"/>
      <c r="N275" s="313"/>
      <c r="O275" s="896">
        <f>K275</f>
        <v>110081302</v>
      </c>
      <c r="P275" s="894">
        <f t="shared" si="201"/>
        <v>110081302</v>
      </c>
      <c r="R275" s="892" t="b">
        <f>K275='d6'!J294</f>
        <v>1</v>
      </c>
    </row>
    <row r="276" spans="1:18" ht="136.5" thickTop="1" thickBot="1" x14ac:dyDescent="0.25">
      <c r="A276" s="450" t="s">
        <v>1301</v>
      </c>
      <c r="B276" s="450" t="s">
        <v>850</v>
      </c>
      <c r="C276" s="450"/>
      <c r="D276" s="450" t="s">
        <v>848</v>
      </c>
      <c r="E276" s="463">
        <f>E277</f>
        <v>0</v>
      </c>
      <c r="F276" s="463">
        <f>F277</f>
        <v>0</v>
      </c>
      <c r="G276" s="463">
        <f>G277</f>
        <v>0</v>
      </c>
      <c r="H276" s="463">
        <f>H277</f>
        <v>0</v>
      </c>
      <c r="I276" s="463">
        <f>I277</f>
        <v>0</v>
      </c>
      <c r="J276" s="463">
        <f t="shared" ref="J276:O276" si="215">J277</f>
        <v>1500000</v>
      </c>
      <c r="K276" s="463">
        <f t="shared" si="215"/>
        <v>0</v>
      </c>
      <c r="L276" s="463">
        <f t="shared" si="215"/>
        <v>0</v>
      </c>
      <c r="M276" s="463">
        <f t="shared" si="215"/>
        <v>0</v>
      </c>
      <c r="N276" s="463">
        <f t="shared" si="215"/>
        <v>0</v>
      </c>
      <c r="O276" s="463">
        <f t="shared" si="215"/>
        <v>1500000</v>
      </c>
      <c r="P276" s="463">
        <f>P277</f>
        <v>1500000</v>
      </c>
      <c r="R276" s="892"/>
    </row>
    <row r="277" spans="1:18" ht="48" thickTop="1" thickBot="1" x14ac:dyDescent="0.25">
      <c r="A277" s="445" t="s">
        <v>1302</v>
      </c>
      <c r="B277" s="445" t="s">
        <v>853</v>
      </c>
      <c r="C277" s="445"/>
      <c r="D277" s="445" t="s">
        <v>958</v>
      </c>
      <c r="E277" s="464">
        <f>E278</f>
        <v>0</v>
      </c>
      <c r="F277" s="464">
        <f t="shared" ref="F277:P277" si="216">F278</f>
        <v>0</v>
      </c>
      <c r="G277" s="464">
        <f t="shared" si="216"/>
        <v>0</v>
      </c>
      <c r="H277" s="464">
        <f t="shared" si="216"/>
        <v>0</v>
      </c>
      <c r="I277" s="464">
        <f t="shared" si="216"/>
        <v>0</v>
      </c>
      <c r="J277" s="464">
        <f t="shared" si="216"/>
        <v>1500000</v>
      </c>
      <c r="K277" s="464">
        <f t="shared" si="216"/>
        <v>0</v>
      </c>
      <c r="L277" s="464">
        <f t="shared" si="216"/>
        <v>0</v>
      </c>
      <c r="M277" s="464">
        <f t="shared" si="216"/>
        <v>0</v>
      </c>
      <c r="N277" s="464">
        <f t="shared" si="216"/>
        <v>0</v>
      </c>
      <c r="O277" s="464">
        <f t="shared" si="216"/>
        <v>1500000</v>
      </c>
      <c r="P277" s="464">
        <f t="shared" si="216"/>
        <v>1500000</v>
      </c>
      <c r="R277" s="892"/>
    </row>
    <row r="278" spans="1:18" ht="409.6" thickTop="1" thickBot="1" x14ac:dyDescent="0.7">
      <c r="A278" s="1037" t="s">
        <v>1303</v>
      </c>
      <c r="B278" s="1037" t="s">
        <v>363</v>
      </c>
      <c r="C278" s="1037" t="s">
        <v>184</v>
      </c>
      <c r="D278" s="326" t="s">
        <v>473</v>
      </c>
      <c r="E278" s="1038">
        <f t="shared" ref="E278" si="217">F278</f>
        <v>0</v>
      </c>
      <c r="F278" s="1039"/>
      <c r="G278" s="1039"/>
      <c r="H278" s="1039"/>
      <c r="I278" s="1039"/>
      <c r="J278" s="1038">
        <f t="shared" ref="J278" si="218">L278+O278</f>
        <v>1500000</v>
      </c>
      <c r="K278" s="1039"/>
      <c r="L278" s="1039"/>
      <c r="M278" s="1039"/>
      <c r="N278" s="1039"/>
      <c r="O278" s="1041">
        <f>K278+1500000</f>
        <v>1500000</v>
      </c>
      <c r="P278" s="1032">
        <f>E278+J278</f>
        <v>1500000</v>
      </c>
      <c r="R278" s="892"/>
    </row>
    <row r="279" spans="1:18" ht="184.5" thickTop="1" thickBot="1" x14ac:dyDescent="0.25">
      <c r="A279" s="1037"/>
      <c r="B279" s="1037"/>
      <c r="C279" s="1037"/>
      <c r="D279" s="329" t="s">
        <v>474</v>
      </c>
      <c r="E279" s="1038"/>
      <c r="F279" s="1039"/>
      <c r="G279" s="1039"/>
      <c r="H279" s="1039"/>
      <c r="I279" s="1039"/>
      <c r="J279" s="1038"/>
      <c r="K279" s="1039"/>
      <c r="L279" s="1039"/>
      <c r="M279" s="1039"/>
      <c r="N279" s="1039"/>
      <c r="O279" s="1041"/>
      <c r="P279" s="1032"/>
      <c r="R279" s="892"/>
    </row>
    <row r="280" spans="1:18" ht="181.5" thickTop="1" thickBot="1" x14ac:dyDescent="0.25">
      <c r="A280" s="853" t="s">
        <v>174</v>
      </c>
      <c r="B280" s="853"/>
      <c r="C280" s="853"/>
      <c r="D280" s="854" t="s">
        <v>1069</v>
      </c>
      <c r="E280" s="855">
        <f>E281</f>
        <v>6735615</v>
      </c>
      <c r="F280" s="856">
        <f t="shared" ref="F280:G280" si="219">F281</f>
        <v>6735615</v>
      </c>
      <c r="G280" s="856">
        <f t="shared" si="219"/>
        <v>4925575</v>
      </c>
      <c r="H280" s="856">
        <f>H281</f>
        <v>129045</v>
      </c>
      <c r="I280" s="856">
        <f t="shared" ref="I280" si="220">I281</f>
        <v>0</v>
      </c>
      <c r="J280" s="855">
        <f>J281</f>
        <v>787000</v>
      </c>
      <c r="K280" s="856">
        <f>K281</f>
        <v>787000</v>
      </c>
      <c r="L280" s="856">
        <f>L281</f>
        <v>0</v>
      </c>
      <c r="M280" s="856">
        <f t="shared" ref="M280" si="221">M281</f>
        <v>0</v>
      </c>
      <c r="N280" s="856">
        <f>N281</f>
        <v>0</v>
      </c>
      <c r="O280" s="855">
        <f>O281</f>
        <v>787000</v>
      </c>
      <c r="P280" s="856">
        <f t="shared" ref="P280" si="222">P281</f>
        <v>7522615</v>
      </c>
    </row>
    <row r="281" spans="1:18" ht="181.5" thickTop="1" thickBot="1" x14ac:dyDescent="0.25">
      <c r="A281" s="857" t="s">
        <v>175</v>
      </c>
      <c r="B281" s="857"/>
      <c r="C281" s="857"/>
      <c r="D281" s="858" t="s">
        <v>1070</v>
      </c>
      <c r="E281" s="859">
        <f>E282+E285</f>
        <v>6735615</v>
      </c>
      <c r="F281" s="859">
        <f>F282+F285</f>
        <v>6735615</v>
      </c>
      <c r="G281" s="859">
        <f>G282+G285</f>
        <v>4925575</v>
      </c>
      <c r="H281" s="859">
        <f>H282+H285</f>
        <v>129045</v>
      </c>
      <c r="I281" s="859">
        <f>I282+I285</f>
        <v>0</v>
      </c>
      <c r="J281" s="859">
        <f>L281+O281</f>
        <v>787000</v>
      </c>
      <c r="K281" s="859">
        <f>K282+K285</f>
        <v>787000</v>
      </c>
      <c r="L281" s="859">
        <f>L282+L285</f>
        <v>0</v>
      </c>
      <c r="M281" s="859">
        <f>M282+M285</f>
        <v>0</v>
      </c>
      <c r="N281" s="859">
        <f>N282+N285</f>
        <v>0</v>
      </c>
      <c r="O281" s="859">
        <f>O282+O285</f>
        <v>787000</v>
      </c>
      <c r="P281" s="859">
        <f>E281+J281</f>
        <v>7522615</v>
      </c>
      <c r="Q281" s="125" t="b">
        <f>P281=P283+P284+P287</f>
        <v>1</v>
      </c>
      <c r="R281" s="892" t="b">
        <f>J281='d6'!J295</f>
        <v>0</v>
      </c>
    </row>
    <row r="282" spans="1:18" ht="47.25" thickTop="1" thickBot="1" x14ac:dyDescent="0.25">
      <c r="A282" s="173" t="s">
        <v>985</v>
      </c>
      <c r="B282" s="455" t="s">
        <v>843</v>
      </c>
      <c r="C282" s="455"/>
      <c r="D282" s="455" t="s">
        <v>844</v>
      </c>
      <c r="E282" s="894">
        <f>SUM(E283:E284)</f>
        <v>6735615</v>
      </c>
      <c r="F282" s="894">
        <f t="shared" ref="F282:P282" si="223">SUM(F283:F284)</f>
        <v>6735615</v>
      </c>
      <c r="G282" s="894">
        <f t="shared" si="223"/>
        <v>4925575</v>
      </c>
      <c r="H282" s="894">
        <f t="shared" si="223"/>
        <v>129045</v>
      </c>
      <c r="I282" s="894">
        <f t="shared" si="223"/>
        <v>0</v>
      </c>
      <c r="J282" s="894">
        <f t="shared" si="223"/>
        <v>176000</v>
      </c>
      <c r="K282" s="894">
        <f t="shared" si="223"/>
        <v>176000</v>
      </c>
      <c r="L282" s="894">
        <f t="shared" si="223"/>
        <v>0</v>
      </c>
      <c r="M282" s="894">
        <f t="shared" si="223"/>
        <v>0</v>
      </c>
      <c r="N282" s="894">
        <f t="shared" si="223"/>
        <v>0</v>
      </c>
      <c r="O282" s="894">
        <f t="shared" si="223"/>
        <v>176000</v>
      </c>
      <c r="P282" s="894">
        <f t="shared" si="223"/>
        <v>6911615</v>
      </c>
      <c r="Q282" s="125"/>
      <c r="R282" s="892"/>
    </row>
    <row r="283" spans="1:18" ht="230.25" thickTop="1" thickBot="1" x14ac:dyDescent="0.25">
      <c r="A283" s="898" t="s">
        <v>447</v>
      </c>
      <c r="B283" s="898" t="s">
        <v>254</v>
      </c>
      <c r="C283" s="898" t="s">
        <v>252</v>
      </c>
      <c r="D283" s="898" t="s">
        <v>253</v>
      </c>
      <c r="E283" s="900">
        <f>F283</f>
        <v>6728615</v>
      </c>
      <c r="F283" s="323">
        <f>(6523715-7000)+55900+140000+16000</f>
        <v>6728615</v>
      </c>
      <c r="G283" s="323">
        <v>4925575</v>
      </c>
      <c r="H283" s="323">
        <f>(97095+1950+30000)</f>
        <v>129045</v>
      </c>
      <c r="I283" s="323"/>
      <c r="J283" s="894">
        <f>L283+O283</f>
        <v>176000</v>
      </c>
      <c r="K283" s="313">
        <f>(140000)+36000</f>
        <v>176000</v>
      </c>
      <c r="L283" s="313"/>
      <c r="M283" s="313"/>
      <c r="N283" s="313"/>
      <c r="O283" s="896">
        <f>K283</f>
        <v>176000</v>
      </c>
      <c r="P283" s="894">
        <f>E283+J283</f>
        <v>6904615</v>
      </c>
      <c r="Q283" s="197"/>
      <c r="R283" s="892" t="b">
        <f>K283='d6'!J297</f>
        <v>0</v>
      </c>
    </row>
    <row r="284" spans="1:18" ht="184.5" thickTop="1" thickBot="1" x14ac:dyDescent="0.25">
      <c r="A284" s="893" t="s">
        <v>789</v>
      </c>
      <c r="B284" s="893" t="s">
        <v>388</v>
      </c>
      <c r="C284" s="893" t="s">
        <v>778</v>
      </c>
      <c r="D284" s="893" t="s">
        <v>779</v>
      </c>
      <c r="E284" s="324">
        <f>F284</f>
        <v>7000</v>
      </c>
      <c r="F284" s="170">
        <v>7000</v>
      </c>
      <c r="G284" s="170"/>
      <c r="H284" s="170"/>
      <c r="I284" s="170"/>
      <c r="J284" s="894">
        <f t="shared" ref="J284" si="224">L284+O284</f>
        <v>0</v>
      </c>
      <c r="K284" s="170"/>
      <c r="L284" s="847"/>
      <c r="M284" s="847"/>
      <c r="N284" s="847"/>
      <c r="O284" s="896">
        <f t="shared" ref="O284" si="225">K284</f>
        <v>0</v>
      </c>
      <c r="P284" s="894">
        <f t="shared" ref="P284" si="226">+J284+E284</f>
        <v>7000</v>
      </c>
      <c r="Q284" s="197"/>
      <c r="R284" s="892"/>
    </row>
    <row r="285" spans="1:18" ht="47.25" thickTop="1" thickBot="1" x14ac:dyDescent="0.25">
      <c r="A285" s="455" t="s">
        <v>1115</v>
      </c>
      <c r="B285" s="455" t="s">
        <v>908</v>
      </c>
      <c r="C285" s="893"/>
      <c r="D285" s="455" t="s">
        <v>955</v>
      </c>
      <c r="E285" s="894">
        <f>E286</f>
        <v>0</v>
      </c>
      <c r="F285" s="894">
        <f t="shared" ref="F285:P286" si="227">F286</f>
        <v>0</v>
      </c>
      <c r="G285" s="894">
        <f t="shared" si="227"/>
        <v>0</v>
      </c>
      <c r="H285" s="894">
        <f t="shared" si="227"/>
        <v>0</v>
      </c>
      <c r="I285" s="894">
        <f t="shared" si="227"/>
        <v>0</v>
      </c>
      <c r="J285" s="894">
        <f t="shared" si="227"/>
        <v>611000</v>
      </c>
      <c r="K285" s="894">
        <f t="shared" si="227"/>
        <v>611000</v>
      </c>
      <c r="L285" s="894">
        <f t="shared" si="227"/>
        <v>0</v>
      </c>
      <c r="M285" s="894">
        <f t="shared" si="227"/>
        <v>0</v>
      </c>
      <c r="N285" s="894">
        <f t="shared" si="227"/>
        <v>0</v>
      </c>
      <c r="O285" s="894">
        <f t="shared" si="227"/>
        <v>611000</v>
      </c>
      <c r="P285" s="894">
        <f t="shared" si="227"/>
        <v>611000</v>
      </c>
      <c r="Q285" s="197"/>
      <c r="R285" s="892"/>
    </row>
    <row r="286" spans="1:18" ht="91.5" thickTop="1" thickBot="1" x14ac:dyDescent="0.25">
      <c r="A286" s="404" t="s">
        <v>1116</v>
      </c>
      <c r="B286" s="404" t="s">
        <v>964</v>
      </c>
      <c r="C286" s="404"/>
      <c r="D286" s="404" t="s">
        <v>965</v>
      </c>
      <c r="E286" s="366">
        <f>E287</f>
        <v>0</v>
      </c>
      <c r="F286" s="366">
        <f t="shared" si="227"/>
        <v>0</v>
      </c>
      <c r="G286" s="366">
        <f t="shared" si="227"/>
        <v>0</v>
      </c>
      <c r="H286" s="366">
        <f t="shared" si="227"/>
        <v>0</v>
      </c>
      <c r="I286" s="366">
        <f t="shared" si="227"/>
        <v>0</v>
      </c>
      <c r="J286" s="366">
        <f t="shared" si="227"/>
        <v>611000</v>
      </c>
      <c r="K286" s="366">
        <f t="shared" si="227"/>
        <v>611000</v>
      </c>
      <c r="L286" s="366">
        <f t="shared" si="227"/>
        <v>0</v>
      </c>
      <c r="M286" s="366">
        <f t="shared" si="227"/>
        <v>0</v>
      </c>
      <c r="N286" s="366">
        <f t="shared" si="227"/>
        <v>0</v>
      </c>
      <c r="O286" s="366">
        <f t="shared" si="227"/>
        <v>611000</v>
      </c>
      <c r="P286" s="366">
        <f t="shared" si="227"/>
        <v>611000</v>
      </c>
      <c r="Q286" s="197"/>
      <c r="R286" s="892"/>
    </row>
    <row r="287" spans="1:18" ht="138.75" thickTop="1" thickBot="1" x14ac:dyDescent="0.25">
      <c r="A287" s="893" t="s">
        <v>1117</v>
      </c>
      <c r="B287" s="893" t="s">
        <v>1118</v>
      </c>
      <c r="C287" s="893" t="s">
        <v>323</v>
      </c>
      <c r="D287" s="893" t="s">
        <v>1119</v>
      </c>
      <c r="E287" s="324">
        <f>F287</f>
        <v>0</v>
      </c>
      <c r="F287" s="170"/>
      <c r="G287" s="170"/>
      <c r="H287" s="170"/>
      <c r="I287" s="170"/>
      <c r="J287" s="894">
        <f t="shared" ref="J287" si="228">L287+O287</f>
        <v>611000</v>
      </c>
      <c r="K287" s="170">
        <v>611000</v>
      </c>
      <c r="L287" s="847"/>
      <c r="M287" s="847"/>
      <c r="N287" s="847"/>
      <c r="O287" s="896">
        <f t="shared" ref="O287" si="229">K287</f>
        <v>611000</v>
      </c>
      <c r="P287" s="894">
        <f t="shared" ref="P287" si="230">+J287+E287</f>
        <v>611000</v>
      </c>
      <c r="Q287" s="197"/>
      <c r="R287" s="892" t="b">
        <f>K287='d6'!J300+'d6'!J299+'d6'!J298</f>
        <v>0</v>
      </c>
    </row>
    <row r="288" spans="1:18" ht="136.5" thickTop="1" thickBot="1" x14ac:dyDescent="0.25">
      <c r="A288" s="853" t="s">
        <v>477</v>
      </c>
      <c r="B288" s="853"/>
      <c r="C288" s="853"/>
      <c r="D288" s="854" t="s">
        <v>479</v>
      </c>
      <c r="E288" s="855">
        <f>E289</f>
        <v>94327131</v>
      </c>
      <c r="F288" s="856">
        <f t="shared" ref="F288:G288" si="231">F289</f>
        <v>94327131</v>
      </c>
      <c r="G288" s="856">
        <f t="shared" si="231"/>
        <v>2452610</v>
      </c>
      <c r="H288" s="856">
        <f>H289</f>
        <v>65145</v>
      </c>
      <c r="I288" s="856">
        <f t="shared" ref="I288" si="232">I289</f>
        <v>0</v>
      </c>
      <c r="J288" s="855">
        <f>J289</f>
        <v>36000</v>
      </c>
      <c r="K288" s="856">
        <f>K289</f>
        <v>36000</v>
      </c>
      <c r="L288" s="856">
        <f>L289</f>
        <v>0</v>
      </c>
      <c r="M288" s="856">
        <f t="shared" ref="M288" si="233">M289</f>
        <v>0</v>
      </c>
      <c r="N288" s="856">
        <f>N289</f>
        <v>0</v>
      </c>
      <c r="O288" s="855">
        <f>O289</f>
        <v>36000</v>
      </c>
      <c r="P288" s="856">
        <f t="shared" ref="P288" si="234">P289</f>
        <v>94363131</v>
      </c>
    </row>
    <row r="289" spans="1:18" ht="181.5" thickTop="1" thickBot="1" x14ac:dyDescent="0.25">
      <c r="A289" s="857" t="s">
        <v>478</v>
      </c>
      <c r="B289" s="857"/>
      <c r="C289" s="857"/>
      <c r="D289" s="858" t="s">
        <v>480</v>
      </c>
      <c r="E289" s="859">
        <f>E290+E294</f>
        <v>94327131</v>
      </c>
      <c r="F289" s="859">
        <f t="shared" ref="F289:I289" si="235">F290+F294</f>
        <v>94327131</v>
      </c>
      <c r="G289" s="859">
        <f t="shared" si="235"/>
        <v>2452610</v>
      </c>
      <c r="H289" s="859">
        <f t="shared" si="235"/>
        <v>65145</v>
      </c>
      <c r="I289" s="859">
        <f t="shared" si="235"/>
        <v>0</v>
      </c>
      <c r="J289" s="859">
        <f>L289+O289</f>
        <v>36000</v>
      </c>
      <c r="K289" s="859">
        <f t="shared" ref="K289:O289" si="236">K290+K294</f>
        <v>36000</v>
      </c>
      <c r="L289" s="859">
        <f t="shared" si="236"/>
        <v>0</v>
      </c>
      <c r="M289" s="859">
        <f t="shared" si="236"/>
        <v>0</v>
      </c>
      <c r="N289" s="859">
        <f t="shared" si="236"/>
        <v>0</v>
      </c>
      <c r="O289" s="859">
        <f t="shared" si="236"/>
        <v>36000</v>
      </c>
      <c r="P289" s="859">
        <f>E289+J289</f>
        <v>94363131</v>
      </c>
      <c r="Q289" s="125" t="b">
        <f>P289=P291+P293+P299+P292+P297</f>
        <v>1</v>
      </c>
      <c r="R289" s="892" t="b">
        <f>K289='d6'!J301</f>
        <v>1</v>
      </c>
    </row>
    <row r="290" spans="1:18" ht="47.25" thickTop="1" thickBot="1" x14ac:dyDescent="0.25">
      <c r="A290" s="173" t="s">
        <v>986</v>
      </c>
      <c r="B290" s="455" t="s">
        <v>843</v>
      </c>
      <c r="C290" s="455"/>
      <c r="D290" s="455" t="s">
        <v>844</v>
      </c>
      <c r="E290" s="894">
        <f>SUM(E291:E292)</f>
        <v>3591510</v>
      </c>
      <c r="F290" s="894">
        <f t="shared" ref="F290:P290" si="237">SUM(F291:F292)</f>
        <v>3591510</v>
      </c>
      <c r="G290" s="894">
        <f t="shared" si="237"/>
        <v>2452610</v>
      </c>
      <c r="H290" s="894">
        <f t="shared" si="237"/>
        <v>65145</v>
      </c>
      <c r="I290" s="894">
        <f t="shared" si="237"/>
        <v>0</v>
      </c>
      <c r="J290" s="894">
        <f t="shared" si="237"/>
        <v>36000</v>
      </c>
      <c r="K290" s="894">
        <f t="shared" si="237"/>
        <v>36000</v>
      </c>
      <c r="L290" s="894">
        <f t="shared" si="237"/>
        <v>0</v>
      </c>
      <c r="M290" s="894">
        <f t="shared" si="237"/>
        <v>0</v>
      </c>
      <c r="N290" s="894">
        <f t="shared" si="237"/>
        <v>0</v>
      </c>
      <c r="O290" s="894">
        <f t="shared" si="237"/>
        <v>36000</v>
      </c>
      <c r="P290" s="894">
        <f t="shared" si="237"/>
        <v>3627510</v>
      </c>
      <c r="Q290" s="125"/>
      <c r="R290" s="892"/>
    </row>
    <row r="291" spans="1:18" ht="230.25" thickTop="1" thickBot="1" x14ac:dyDescent="0.25">
      <c r="A291" s="898" t="s">
        <v>481</v>
      </c>
      <c r="B291" s="898" t="s">
        <v>254</v>
      </c>
      <c r="C291" s="898" t="s">
        <v>252</v>
      </c>
      <c r="D291" s="898" t="s">
        <v>253</v>
      </c>
      <c r="E291" s="900">
        <f>F291</f>
        <v>3586430</v>
      </c>
      <c r="F291" s="323">
        <f>(3546620-5080)+240240+4650-200000</f>
        <v>3586430</v>
      </c>
      <c r="G291" s="323">
        <v>2452610</v>
      </c>
      <c r="H291" s="323">
        <f>(40290+1200+22400+1255)</f>
        <v>65145</v>
      </c>
      <c r="I291" s="323"/>
      <c r="J291" s="894">
        <f>L291+O291</f>
        <v>36000</v>
      </c>
      <c r="K291" s="313">
        <f>(18000)+18000</f>
        <v>36000</v>
      </c>
      <c r="L291" s="313"/>
      <c r="M291" s="313"/>
      <c r="N291" s="313"/>
      <c r="O291" s="896">
        <f>K291</f>
        <v>36000</v>
      </c>
      <c r="P291" s="894">
        <f>E291+J291</f>
        <v>3622430</v>
      </c>
      <c r="Q291" s="197"/>
      <c r="R291" s="892" t="b">
        <f>K291='d6'!J303</f>
        <v>1</v>
      </c>
    </row>
    <row r="292" spans="1:18" ht="184.5" thickTop="1" thickBot="1" x14ac:dyDescent="0.25">
      <c r="A292" s="893" t="s">
        <v>790</v>
      </c>
      <c r="B292" s="893" t="s">
        <v>388</v>
      </c>
      <c r="C292" s="893" t="s">
        <v>778</v>
      </c>
      <c r="D292" s="893" t="s">
        <v>779</v>
      </c>
      <c r="E292" s="324">
        <f>F292</f>
        <v>5080</v>
      </c>
      <c r="F292" s="170">
        <v>5080</v>
      </c>
      <c r="G292" s="170"/>
      <c r="H292" s="170"/>
      <c r="I292" s="170"/>
      <c r="J292" s="894">
        <f t="shared" ref="J292" si="238">L292+O292</f>
        <v>0</v>
      </c>
      <c r="K292" s="170"/>
      <c r="L292" s="847"/>
      <c r="M292" s="847"/>
      <c r="N292" s="847"/>
      <c r="O292" s="896">
        <f t="shared" ref="O292" si="239">K292</f>
        <v>0</v>
      </c>
      <c r="P292" s="894">
        <f t="shared" ref="P292" si="240">+J292+E292</f>
        <v>5080</v>
      </c>
      <c r="Q292" s="197"/>
      <c r="R292" s="892"/>
    </row>
    <row r="293" spans="1:18" ht="93" hidden="1" thickTop="1" thickBot="1" x14ac:dyDescent="0.25">
      <c r="A293" s="186" t="s">
        <v>504</v>
      </c>
      <c r="B293" s="186" t="s">
        <v>440</v>
      </c>
      <c r="C293" s="186" t="s">
        <v>441</v>
      </c>
      <c r="D293" s="186" t="s">
        <v>442</v>
      </c>
      <c r="E293" s="303">
        <f>F293</f>
        <v>0</v>
      </c>
      <c r="F293" s="304">
        <f>(34016813)-19850000-9713396-4453417</f>
        <v>0</v>
      </c>
      <c r="G293" s="304"/>
      <c r="H293" s="304"/>
      <c r="I293" s="304"/>
      <c r="J293" s="882">
        <f>L293+O293</f>
        <v>0</v>
      </c>
      <c r="K293" s="883"/>
      <c r="L293" s="883"/>
      <c r="M293" s="883"/>
      <c r="N293" s="883"/>
      <c r="O293" s="884">
        <f>K293</f>
        <v>0</v>
      </c>
      <c r="P293" s="882">
        <f>E293+J293</f>
        <v>0</v>
      </c>
      <c r="Q293" s="197"/>
      <c r="R293" s="198"/>
    </row>
    <row r="294" spans="1:18" ht="47.25" thickTop="1" thickBot="1" x14ac:dyDescent="0.25">
      <c r="A294" s="173" t="s">
        <v>987</v>
      </c>
      <c r="B294" s="455" t="s">
        <v>908</v>
      </c>
      <c r="C294" s="893"/>
      <c r="D294" s="455" t="s">
        <v>955</v>
      </c>
      <c r="E294" s="900">
        <f>E295</f>
        <v>90735621</v>
      </c>
      <c r="F294" s="900">
        <f t="shared" ref="F294:P298" si="241">F295</f>
        <v>90735621</v>
      </c>
      <c r="G294" s="900">
        <f t="shared" si="241"/>
        <v>0</v>
      </c>
      <c r="H294" s="900">
        <f t="shared" si="241"/>
        <v>0</v>
      </c>
      <c r="I294" s="900">
        <f t="shared" si="241"/>
        <v>0</v>
      </c>
      <c r="J294" s="894">
        <f t="shared" si="241"/>
        <v>0</v>
      </c>
      <c r="K294" s="894">
        <f t="shared" si="241"/>
        <v>0</v>
      </c>
      <c r="L294" s="894">
        <f t="shared" si="241"/>
        <v>0</v>
      </c>
      <c r="M294" s="894">
        <f t="shared" si="241"/>
        <v>0</v>
      </c>
      <c r="N294" s="894">
        <f t="shared" si="241"/>
        <v>0</v>
      </c>
      <c r="O294" s="894">
        <f t="shared" si="241"/>
        <v>0</v>
      </c>
      <c r="P294" s="894">
        <f t="shared" si="241"/>
        <v>88642613</v>
      </c>
      <c r="Q294" s="197"/>
      <c r="R294" s="198"/>
    </row>
    <row r="295" spans="1:18" ht="136.5" thickTop="1" thickBot="1" x14ac:dyDescent="0.25">
      <c r="A295" s="450" t="s">
        <v>988</v>
      </c>
      <c r="B295" s="450" t="s">
        <v>967</v>
      </c>
      <c r="C295" s="450"/>
      <c r="D295" s="450" t="s">
        <v>968</v>
      </c>
      <c r="E295" s="448">
        <f>E298+E296</f>
        <v>90735621</v>
      </c>
      <c r="F295" s="448">
        <f t="shared" ref="F295:O295" si="242">F298+F296</f>
        <v>90735621</v>
      </c>
      <c r="G295" s="448">
        <f t="shared" si="242"/>
        <v>0</v>
      </c>
      <c r="H295" s="448">
        <f t="shared" si="242"/>
        <v>0</v>
      </c>
      <c r="I295" s="448">
        <f t="shared" si="242"/>
        <v>0</v>
      </c>
      <c r="J295" s="366">
        <f t="shared" si="242"/>
        <v>0</v>
      </c>
      <c r="K295" s="366">
        <f t="shared" si="242"/>
        <v>0</v>
      </c>
      <c r="L295" s="366">
        <f t="shared" si="242"/>
        <v>0</v>
      </c>
      <c r="M295" s="366">
        <f t="shared" si="242"/>
        <v>0</v>
      </c>
      <c r="N295" s="366">
        <f t="shared" si="242"/>
        <v>0</v>
      </c>
      <c r="O295" s="366">
        <f t="shared" si="242"/>
        <v>0</v>
      </c>
      <c r="P295" s="366">
        <f>P298</f>
        <v>88642613</v>
      </c>
      <c r="Q295" s="197"/>
      <c r="R295" s="198"/>
    </row>
    <row r="296" spans="1:18" ht="138.75" thickTop="1" thickBot="1" x14ac:dyDescent="0.25">
      <c r="A296" s="445" t="s">
        <v>1347</v>
      </c>
      <c r="B296" s="445" t="s">
        <v>1348</v>
      </c>
      <c r="C296" s="445"/>
      <c r="D296" s="445" t="s">
        <v>1346</v>
      </c>
      <c r="E296" s="446">
        <f>E297</f>
        <v>2093008</v>
      </c>
      <c r="F296" s="446">
        <f t="shared" ref="F296:O296" si="243">F297</f>
        <v>2093008</v>
      </c>
      <c r="G296" s="446">
        <f t="shared" si="243"/>
        <v>0</v>
      </c>
      <c r="H296" s="446">
        <f t="shared" si="243"/>
        <v>0</v>
      </c>
      <c r="I296" s="446">
        <f t="shared" si="243"/>
        <v>0</v>
      </c>
      <c r="J296" s="367">
        <f t="shared" si="243"/>
        <v>0</v>
      </c>
      <c r="K296" s="367">
        <f t="shared" si="243"/>
        <v>0</v>
      </c>
      <c r="L296" s="367">
        <f t="shared" si="243"/>
        <v>0</v>
      </c>
      <c r="M296" s="367">
        <f t="shared" si="243"/>
        <v>0</v>
      </c>
      <c r="N296" s="367">
        <f t="shared" si="243"/>
        <v>0</v>
      </c>
      <c r="O296" s="367">
        <f t="shared" si="243"/>
        <v>0</v>
      </c>
      <c r="P296" s="367">
        <f t="shared" si="241"/>
        <v>2093008</v>
      </c>
      <c r="Q296" s="197"/>
      <c r="R296" s="198"/>
    </row>
    <row r="297" spans="1:18" ht="93" thickTop="1" thickBot="1" x14ac:dyDescent="0.25">
      <c r="A297" s="898" t="s">
        <v>504</v>
      </c>
      <c r="B297" s="898" t="s">
        <v>440</v>
      </c>
      <c r="C297" s="898" t="s">
        <v>441</v>
      </c>
      <c r="D297" s="898" t="s">
        <v>442</v>
      </c>
      <c r="E297" s="900">
        <f>F297</f>
        <v>2093008</v>
      </c>
      <c r="F297" s="323">
        <v>2093008</v>
      </c>
      <c r="G297" s="323"/>
      <c r="H297" s="323"/>
      <c r="I297" s="323"/>
      <c r="J297" s="894">
        <f>L297+O297</f>
        <v>0</v>
      </c>
      <c r="K297" s="313"/>
      <c r="L297" s="313"/>
      <c r="M297" s="313"/>
      <c r="N297" s="313"/>
      <c r="O297" s="896">
        <f>K297</f>
        <v>0</v>
      </c>
      <c r="P297" s="894">
        <f>E297+J297</f>
        <v>2093008</v>
      </c>
      <c r="Q297" s="197"/>
      <c r="R297" s="198"/>
    </row>
    <row r="298" spans="1:18" ht="138.75" thickTop="1" thickBot="1" x14ac:dyDescent="0.25">
      <c r="A298" s="445" t="s">
        <v>989</v>
      </c>
      <c r="B298" s="445" t="s">
        <v>990</v>
      </c>
      <c r="C298" s="445"/>
      <c r="D298" s="445" t="s">
        <v>991</v>
      </c>
      <c r="E298" s="446">
        <f>E299</f>
        <v>88642613</v>
      </c>
      <c r="F298" s="446">
        <f t="shared" si="241"/>
        <v>88642613</v>
      </c>
      <c r="G298" s="446">
        <f t="shared" si="241"/>
        <v>0</v>
      </c>
      <c r="H298" s="446">
        <f t="shared" si="241"/>
        <v>0</v>
      </c>
      <c r="I298" s="446">
        <f t="shared" si="241"/>
        <v>0</v>
      </c>
      <c r="J298" s="367">
        <f t="shared" si="241"/>
        <v>0</v>
      </c>
      <c r="K298" s="367">
        <f t="shared" si="241"/>
        <v>0</v>
      </c>
      <c r="L298" s="367">
        <f t="shared" si="241"/>
        <v>0</v>
      </c>
      <c r="M298" s="367">
        <f t="shared" si="241"/>
        <v>0</v>
      </c>
      <c r="N298" s="367">
        <f t="shared" si="241"/>
        <v>0</v>
      </c>
      <c r="O298" s="367">
        <f t="shared" si="241"/>
        <v>0</v>
      </c>
      <c r="P298" s="367">
        <f t="shared" si="241"/>
        <v>88642613</v>
      </c>
      <c r="Q298" s="197"/>
      <c r="R298" s="198"/>
    </row>
    <row r="299" spans="1:18" ht="93" thickTop="1" thickBot="1" x14ac:dyDescent="0.25">
      <c r="A299" s="898" t="s">
        <v>505</v>
      </c>
      <c r="B299" s="898" t="s">
        <v>309</v>
      </c>
      <c r="C299" s="898" t="s">
        <v>311</v>
      </c>
      <c r="D299" s="898" t="s">
        <v>310</v>
      </c>
      <c r="E299" s="900">
        <f>F299</f>
        <v>88642613</v>
      </c>
      <c r="F299" s="323">
        <f>(54505073)+34137540</f>
        <v>88642613</v>
      </c>
      <c r="G299" s="323"/>
      <c r="H299" s="323"/>
      <c r="I299" s="323"/>
      <c r="J299" s="894">
        <f>L299+O299</f>
        <v>0</v>
      </c>
      <c r="K299" s="313"/>
      <c r="L299" s="313"/>
      <c r="M299" s="313"/>
      <c r="N299" s="313"/>
      <c r="O299" s="896">
        <f>K299</f>
        <v>0</v>
      </c>
      <c r="P299" s="894">
        <f>E299+J299</f>
        <v>88642613</v>
      </c>
      <c r="Q299" s="197"/>
      <c r="R299" s="198"/>
    </row>
    <row r="300" spans="1:18" ht="136.5" thickTop="1" thickBot="1" x14ac:dyDescent="0.25">
      <c r="A300" s="853" t="s">
        <v>180</v>
      </c>
      <c r="B300" s="853"/>
      <c r="C300" s="853"/>
      <c r="D300" s="854" t="s">
        <v>380</v>
      </c>
      <c r="E300" s="855">
        <f>E301</f>
        <v>11992501.41</v>
      </c>
      <c r="F300" s="856">
        <f t="shared" ref="F300:G300" si="244">F301</f>
        <v>11992501.41</v>
      </c>
      <c r="G300" s="856">
        <f t="shared" si="244"/>
        <v>0</v>
      </c>
      <c r="H300" s="856">
        <f>H301</f>
        <v>0</v>
      </c>
      <c r="I300" s="856">
        <f t="shared" ref="I300" si="245">I301</f>
        <v>0</v>
      </c>
      <c r="J300" s="855">
        <f>J301</f>
        <v>1209885</v>
      </c>
      <c r="K300" s="856">
        <f>K301</f>
        <v>1209885</v>
      </c>
      <c r="L300" s="856">
        <f>L301</f>
        <v>0</v>
      </c>
      <c r="M300" s="856">
        <f t="shared" ref="M300" si="246">M301</f>
        <v>0</v>
      </c>
      <c r="N300" s="856">
        <f>N301</f>
        <v>0</v>
      </c>
      <c r="O300" s="855">
        <f>O301</f>
        <v>1209885</v>
      </c>
      <c r="P300" s="856">
        <f t="shared" ref="P300" si="247">P301</f>
        <v>13202386.41</v>
      </c>
    </row>
    <row r="301" spans="1:18" ht="136.5" thickTop="1" thickBot="1" x14ac:dyDescent="0.25">
      <c r="A301" s="857" t="s">
        <v>181</v>
      </c>
      <c r="B301" s="857"/>
      <c r="C301" s="857"/>
      <c r="D301" s="858" t="s">
        <v>381</v>
      </c>
      <c r="E301" s="859">
        <f>E302+E310</f>
        <v>11992501.41</v>
      </c>
      <c r="F301" s="859">
        <f>F302+F310</f>
        <v>11992501.41</v>
      </c>
      <c r="G301" s="859">
        <f t="shared" ref="G301:O301" si="248">G302+G310</f>
        <v>0</v>
      </c>
      <c r="H301" s="859">
        <f t="shared" si="248"/>
        <v>0</v>
      </c>
      <c r="I301" s="859">
        <f t="shared" si="248"/>
        <v>0</v>
      </c>
      <c r="J301" s="859">
        <f t="shared" ref="J301:J309" si="249">L301+O301</f>
        <v>1209885</v>
      </c>
      <c r="K301" s="859">
        <f t="shared" si="248"/>
        <v>1209885</v>
      </c>
      <c r="L301" s="859">
        <f t="shared" si="248"/>
        <v>0</v>
      </c>
      <c r="M301" s="859">
        <f t="shared" si="248"/>
        <v>0</v>
      </c>
      <c r="N301" s="859">
        <f t="shared" si="248"/>
        <v>0</v>
      </c>
      <c r="O301" s="859">
        <f t="shared" si="248"/>
        <v>1209885</v>
      </c>
      <c r="P301" s="859">
        <f t="shared" ref="P301:P309" si="250">E301+J301</f>
        <v>13202386.41</v>
      </c>
      <c r="Q301" s="125" t="b">
        <f>P301=P306+P307+P309+P312+P304</f>
        <v>1</v>
      </c>
      <c r="R301" s="892" t="b">
        <f>K301='d6'!J305</f>
        <v>0</v>
      </c>
    </row>
    <row r="302" spans="1:18" ht="47.25" thickTop="1" thickBot="1" x14ac:dyDescent="0.25">
      <c r="A302" s="455" t="s">
        <v>992</v>
      </c>
      <c r="B302" s="455" t="s">
        <v>908</v>
      </c>
      <c r="C302" s="893"/>
      <c r="D302" s="455" t="s">
        <v>955</v>
      </c>
      <c r="E302" s="470">
        <f t="shared" ref="E302:P302" si="251">E305+E303</f>
        <v>10292501.41</v>
      </c>
      <c r="F302" s="470">
        <f t="shared" si="251"/>
        <v>10292501.41</v>
      </c>
      <c r="G302" s="470">
        <f t="shared" si="251"/>
        <v>0</v>
      </c>
      <c r="H302" s="470">
        <f t="shared" si="251"/>
        <v>0</v>
      </c>
      <c r="I302" s="470">
        <f t="shared" si="251"/>
        <v>0</v>
      </c>
      <c r="J302" s="470">
        <f t="shared" si="251"/>
        <v>209885</v>
      </c>
      <c r="K302" s="470">
        <f t="shared" si="251"/>
        <v>209885</v>
      </c>
      <c r="L302" s="470">
        <f t="shared" si="251"/>
        <v>0</v>
      </c>
      <c r="M302" s="470">
        <f t="shared" si="251"/>
        <v>0</v>
      </c>
      <c r="N302" s="470">
        <f t="shared" si="251"/>
        <v>0</v>
      </c>
      <c r="O302" s="470">
        <f t="shared" si="251"/>
        <v>209885</v>
      </c>
      <c r="P302" s="470">
        <f t="shared" si="251"/>
        <v>10502386.41</v>
      </c>
      <c r="Q302" s="125"/>
      <c r="R302" s="892"/>
    </row>
    <row r="303" spans="1:18" ht="91.5" thickTop="1" thickBot="1" x14ac:dyDescent="0.25">
      <c r="A303" s="404" t="s">
        <v>1344</v>
      </c>
      <c r="B303" s="404" t="s">
        <v>964</v>
      </c>
      <c r="C303" s="404"/>
      <c r="D303" s="404" t="s">
        <v>965</v>
      </c>
      <c r="E303" s="471">
        <f>E304</f>
        <v>70000</v>
      </c>
      <c r="F303" s="471">
        <f>F304</f>
        <v>70000</v>
      </c>
      <c r="G303" s="471">
        <f t="shared" ref="G303:O303" si="252">G304</f>
        <v>0</v>
      </c>
      <c r="H303" s="471">
        <f t="shared" si="252"/>
        <v>0</v>
      </c>
      <c r="I303" s="471">
        <f t="shared" si="252"/>
        <v>0</v>
      </c>
      <c r="J303" s="471">
        <f t="shared" si="252"/>
        <v>0</v>
      </c>
      <c r="K303" s="471">
        <f t="shared" si="252"/>
        <v>0</v>
      </c>
      <c r="L303" s="471">
        <f t="shared" si="252"/>
        <v>0</v>
      </c>
      <c r="M303" s="471">
        <f t="shared" si="252"/>
        <v>0</v>
      </c>
      <c r="N303" s="471">
        <f t="shared" si="252"/>
        <v>0</v>
      </c>
      <c r="O303" s="471">
        <f t="shared" si="252"/>
        <v>0</v>
      </c>
      <c r="P303" s="471">
        <f>P304</f>
        <v>70000</v>
      </c>
      <c r="Q303" s="125"/>
      <c r="R303" s="892"/>
    </row>
    <row r="304" spans="1:18" ht="138.75" thickTop="1" thickBot="1" x14ac:dyDescent="0.25">
      <c r="A304" s="893" t="s">
        <v>1345</v>
      </c>
      <c r="B304" s="893" t="s">
        <v>376</v>
      </c>
      <c r="C304" s="893" t="s">
        <v>184</v>
      </c>
      <c r="D304" s="893" t="s">
        <v>280</v>
      </c>
      <c r="E304" s="894">
        <f t="shared" ref="E304" si="253">F304</f>
        <v>70000</v>
      </c>
      <c r="F304" s="313">
        <v>70000</v>
      </c>
      <c r="G304" s="313"/>
      <c r="H304" s="313"/>
      <c r="I304" s="313"/>
      <c r="J304" s="894">
        <f t="shared" ref="J304" si="254">L304+O304</f>
        <v>0</v>
      </c>
      <c r="K304" s="313"/>
      <c r="L304" s="313"/>
      <c r="M304" s="313"/>
      <c r="N304" s="313"/>
      <c r="O304" s="896">
        <f>K304</f>
        <v>0</v>
      </c>
      <c r="P304" s="894">
        <f t="shared" ref="P304" si="255">E304+J304</f>
        <v>70000</v>
      </c>
      <c r="Q304" s="125"/>
      <c r="R304" s="892"/>
    </row>
    <row r="305" spans="1:18" ht="136.5" thickTop="1" thickBot="1" x14ac:dyDescent="0.25">
      <c r="A305" s="404" t="s">
        <v>993</v>
      </c>
      <c r="B305" s="404" t="s">
        <v>850</v>
      </c>
      <c r="C305" s="404"/>
      <c r="D305" s="404" t="s">
        <v>848</v>
      </c>
      <c r="E305" s="471">
        <f>SUM(E306:E309)-E308</f>
        <v>10222501.41</v>
      </c>
      <c r="F305" s="471">
        <f t="shared" ref="F305:P305" si="256">SUM(F306:F309)-F308</f>
        <v>10222501.41</v>
      </c>
      <c r="G305" s="471">
        <f t="shared" si="256"/>
        <v>0</v>
      </c>
      <c r="H305" s="471">
        <f t="shared" si="256"/>
        <v>0</v>
      </c>
      <c r="I305" s="471">
        <f t="shared" si="256"/>
        <v>0</v>
      </c>
      <c r="J305" s="471">
        <f t="shared" si="256"/>
        <v>209885</v>
      </c>
      <c r="K305" s="471">
        <f t="shared" si="256"/>
        <v>209885</v>
      </c>
      <c r="L305" s="471">
        <f t="shared" si="256"/>
        <v>0</v>
      </c>
      <c r="M305" s="471">
        <f t="shared" si="256"/>
        <v>0</v>
      </c>
      <c r="N305" s="471">
        <f t="shared" si="256"/>
        <v>0</v>
      </c>
      <c r="O305" s="471">
        <f t="shared" si="256"/>
        <v>209885</v>
      </c>
      <c r="P305" s="471">
        <f t="shared" si="256"/>
        <v>10432386.41</v>
      </c>
      <c r="Q305" s="125"/>
      <c r="R305" s="892"/>
    </row>
    <row r="306" spans="1:18" ht="93" thickTop="1" thickBot="1" x14ac:dyDescent="0.25">
      <c r="A306" s="893" t="s">
        <v>278</v>
      </c>
      <c r="B306" s="893" t="s">
        <v>279</v>
      </c>
      <c r="C306" s="893" t="s">
        <v>277</v>
      </c>
      <c r="D306" s="893" t="s">
        <v>276</v>
      </c>
      <c r="E306" s="894">
        <f t="shared" ref="E306:E309" si="257">F306</f>
        <v>4602230</v>
      </c>
      <c r="F306" s="313">
        <f>-490000+300000+((5588200)-795970)</f>
        <v>4602230</v>
      </c>
      <c r="G306" s="313"/>
      <c r="H306" s="313"/>
      <c r="I306" s="313"/>
      <c r="J306" s="894">
        <f t="shared" si="249"/>
        <v>0</v>
      </c>
      <c r="K306" s="313"/>
      <c r="L306" s="313"/>
      <c r="M306" s="313"/>
      <c r="N306" s="313"/>
      <c r="O306" s="896">
        <f>K306</f>
        <v>0</v>
      </c>
      <c r="P306" s="894">
        <f t="shared" si="250"/>
        <v>4602230</v>
      </c>
      <c r="R306" s="892"/>
    </row>
    <row r="307" spans="1:18" ht="138.75" thickTop="1" thickBot="1" x14ac:dyDescent="0.25">
      <c r="A307" s="893" t="s">
        <v>270</v>
      </c>
      <c r="B307" s="893" t="s">
        <v>272</v>
      </c>
      <c r="C307" s="893" t="s">
        <v>231</v>
      </c>
      <c r="D307" s="893" t="s">
        <v>271</v>
      </c>
      <c r="E307" s="894">
        <f t="shared" si="257"/>
        <v>1235000</v>
      </c>
      <c r="F307" s="313">
        <f>(745000)+490000</f>
        <v>1235000</v>
      </c>
      <c r="G307" s="313"/>
      <c r="H307" s="313"/>
      <c r="I307" s="313"/>
      <c r="J307" s="894">
        <f t="shared" si="249"/>
        <v>0</v>
      </c>
      <c r="K307" s="313"/>
      <c r="L307" s="313"/>
      <c r="M307" s="313"/>
      <c r="N307" s="313"/>
      <c r="O307" s="896">
        <f>K307</f>
        <v>0</v>
      </c>
      <c r="P307" s="894">
        <f t="shared" si="250"/>
        <v>1235000</v>
      </c>
      <c r="R307" s="892"/>
    </row>
    <row r="308" spans="1:18" ht="48" thickTop="1" thickBot="1" x14ac:dyDescent="0.25">
      <c r="A308" s="365" t="s">
        <v>994</v>
      </c>
      <c r="B308" s="365" t="s">
        <v>853</v>
      </c>
      <c r="C308" s="365"/>
      <c r="D308" s="365" t="s">
        <v>851</v>
      </c>
      <c r="E308" s="367">
        <f>E309</f>
        <v>4385271.41</v>
      </c>
      <c r="F308" s="367">
        <f t="shared" ref="F308:P308" si="258">F309</f>
        <v>4385271.41</v>
      </c>
      <c r="G308" s="367">
        <f t="shared" si="258"/>
        <v>0</v>
      </c>
      <c r="H308" s="367">
        <f t="shared" si="258"/>
        <v>0</v>
      </c>
      <c r="I308" s="367">
        <f t="shared" si="258"/>
        <v>0</v>
      </c>
      <c r="J308" s="367">
        <f t="shared" si="258"/>
        <v>209885</v>
      </c>
      <c r="K308" s="367">
        <f t="shared" si="258"/>
        <v>209885</v>
      </c>
      <c r="L308" s="367">
        <f t="shared" si="258"/>
        <v>0</v>
      </c>
      <c r="M308" s="367">
        <f t="shared" si="258"/>
        <v>0</v>
      </c>
      <c r="N308" s="367">
        <f t="shared" si="258"/>
        <v>0</v>
      </c>
      <c r="O308" s="367">
        <f t="shared" si="258"/>
        <v>209885</v>
      </c>
      <c r="P308" s="367">
        <f t="shared" si="258"/>
        <v>4595156.41</v>
      </c>
      <c r="R308" s="892"/>
    </row>
    <row r="309" spans="1:18" ht="93" thickTop="1" thickBot="1" x14ac:dyDescent="0.25">
      <c r="A309" s="893" t="s">
        <v>274</v>
      </c>
      <c r="B309" s="893" t="s">
        <v>275</v>
      </c>
      <c r="C309" s="893" t="s">
        <v>184</v>
      </c>
      <c r="D309" s="893" t="s">
        <v>273</v>
      </c>
      <c r="E309" s="894">
        <f t="shared" si="257"/>
        <v>4385271.41</v>
      </c>
      <c r="F309" s="313">
        <f>500000+1500000+(30296+105938+(800000+2049580)-1600542.59+300000+700000)</f>
        <v>4385271.41</v>
      </c>
      <c r="G309" s="313"/>
      <c r="H309" s="313"/>
      <c r="I309" s="313"/>
      <c r="J309" s="894">
        <f t="shared" si="249"/>
        <v>209885</v>
      </c>
      <c r="K309" s="313">
        <f>(400000)-190115</f>
        <v>209885</v>
      </c>
      <c r="L309" s="313"/>
      <c r="M309" s="313"/>
      <c r="N309" s="313"/>
      <c r="O309" s="896">
        <f>K309</f>
        <v>209885</v>
      </c>
      <c r="P309" s="894">
        <f t="shared" si="250"/>
        <v>4595156.41</v>
      </c>
      <c r="R309" s="892" t="b">
        <f>K309='d6'!J306</f>
        <v>1</v>
      </c>
    </row>
    <row r="310" spans="1:18" ht="47.25" thickTop="1" thickBot="1" x14ac:dyDescent="0.25">
      <c r="A310" s="455" t="s">
        <v>1102</v>
      </c>
      <c r="B310" s="455" t="s">
        <v>861</v>
      </c>
      <c r="C310" s="455"/>
      <c r="D310" s="455" t="s">
        <v>862</v>
      </c>
      <c r="E310" s="894">
        <f>E311</f>
        <v>1700000</v>
      </c>
      <c r="F310" s="894">
        <f t="shared" ref="F310:P311" si="259">F311</f>
        <v>1700000</v>
      </c>
      <c r="G310" s="894">
        <f t="shared" si="259"/>
        <v>0</v>
      </c>
      <c r="H310" s="894">
        <f t="shared" si="259"/>
        <v>0</v>
      </c>
      <c r="I310" s="894">
        <f t="shared" si="259"/>
        <v>0</v>
      </c>
      <c r="J310" s="894">
        <f t="shared" si="259"/>
        <v>1000000</v>
      </c>
      <c r="K310" s="894">
        <f t="shared" si="259"/>
        <v>1000000</v>
      </c>
      <c r="L310" s="894">
        <f t="shared" si="259"/>
        <v>0</v>
      </c>
      <c r="M310" s="894">
        <f t="shared" si="259"/>
        <v>0</v>
      </c>
      <c r="N310" s="894">
        <f t="shared" si="259"/>
        <v>0</v>
      </c>
      <c r="O310" s="894">
        <f t="shared" si="259"/>
        <v>1000000</v>
      </c>
      <c r="P310" s="894">
        <f t="shared" si="259"/>
        <v>2700000</v>
      </c>
      <c r="R310" s="892"/>
    </row>
    <row r="311" spans="1:18" ht="271.5" thickTop="1" thickBot="1" x14ac:dyDescent="0.25">
      <c r="A311" s="404" t="s">
        <v>1103</v>
      </c>
      <c r="B311" s="404" t="s">
        <v>864</v>
      </c>
      <c r="C311" s="404"/>
      <c r="D311" s="404" t="s">
        <v>865</v>
      </c>
      <c r="E311" s="366">
        <f>E312</f>
        <v>1700000</v>
      </c>
      <c r="F311" s="366">
        <f t="shared" si="259"/>
        <v>1700000</v>
      </c>
      <c r="G311" s="366">
        <f t="shared" si="259"/>
        <v>0</v>
      </c>
      <c r="H311" s="366">
        <f t="shared" si="259"/>
        <v>0</v>
      </c>
      <c r="I311" s="366">
        <f t="shared" si="259"/>
        <v>0</v>
      </c>
      <c r="J311" s="366">
        <f t="shared" si="259"/>
        <v>1000000</v>
      </c>
      <c r="K311" s="366">
        <f t="shared" si="259"/>
        <v>1000000</v>
      </c>
      <c r="L311" s="366">
        <f t="shared" si="259"/>
        <v>0</v>
      </c>
      <c r="M311" s="366">
        <f t="shared" si="259"/>
        <v>0</v>
      </c>
      <c r="N311" s="366">
        <f t="shared" si="259"/>
        <v>0</v>
      </c>
      <c r="O311" s="366">
        <f t="shared" si="259"/>
        <v>1000000</v>
      </c>
      <c r="P311" s="366">
        <f t="shared" si="259"/>
        <v>2700000</v>
      </c>
      <c r="R311" s="892"/>
    </row>
    <row r="312" spans="1:18" ht="93" thickTop="1" thickBot="1" x14ac:dyDescent="0.25">
      <c r="A312" s="893" t="s">
        <v>1104</v>
      </c>
      <c r="B312" s="893" t="s">
        <v>389</v>
      </c>
      <c r="C312" s="893" t="s">
        <v>45</v>
      </c>
      <c r="D312" s="893" t="s">
        <v>390</v>
      </c>
      <c r="E312" s="894">
        <f t="shared" ref="E312" si="260">F312</f>
        <v>1700000</v>
      </c>
      <c r="F312" s="313">
        <f>(700000)+1000000</f>
        <v>1700000</v>
      </c>
      <c r="G312" s="313"/>
      <c r="H312" s="313"/>
      <c r="I312" s="313"/>
      <c r="J312" s="894">
        <f>L312+O312</f>
        <v>1000000</v>
      </c>
      <c r="K312" s="313">
        <f>(1000000)</f>
        <v>1000000</v>
      </c>
      <c r="L312" s="313"/>
      <c r="M312" s="313"/>
      <c r="N312" s="313"/>
      <c r="O312" s="896">
        <f>K312</f>
        <v>1000000</v>
      </c>
      <c r="P312" s="894">
        <f>E312+J312</f>
        <v>2700000</v>
      </c>
      <c r="R312" s="892" t="b">
        <f>K312='d6'!J307</f>
        <v>0</v>
      </c>
    </row>
    <row r="313" spans="1:18" ht="226.5" thickTop="1" thickBot="1" x14ac:dyDescent="0.25">
      <c r="A313" s="853" t="s">
        <v>178</v>
      </c>
      <c r="B313" s="853"/>
      <c r="C313" s="853"/>
      <c r="D313" s="854" t="s">
        <v>1061</v>
      </c>
      <c r="E313" s="855">
        <f>E314</f>
        <v>5984385</v>
      </c>
      <c r="F313" s="856">
        <f t="shared" ref="F313:G313" si="261">F314</f>
        <v>5984385</v>
      </c>
      <c r="G313" s="856">
        <f t="shared" si="261"/>
        <v>4608055</v>
      </c>
      <c r="H313" s="856">
        <f>H314</f>
        <v>103700</v>
      </c>
      <c r="I313" s="856">
        <f t="shared" ref="I313" si="262">I314</f>
        <v>0</v>
      </c>
      <c r="J313" s="855">
        <f>J314</f>
        <v>3249138.96</v>
      </c>
      <c r="K313" s="856">
        <f>K314</f>
        <v>64000</v>
      </c>
      <c r="L313" s="856">
        <f>L314</f>
        <v>1485138.96</v>
      </c>
      <c r="M313" s="856">
        <f t="shared" ref="M313" si="263">M314</f>
        <v>0</v>
      </c>
      <c r="N313" s="856">
        <f>N314</f>
        <v>0</v>
      </c>
      <c r="O313" s="855">
        <f>O314</f>
        <v>1764000</v>
      </c>
      <c r="P313" s="856">
        <f t="shared" ref="P313" si="264">P314</f>
        <v>9233523.9600000009</v>
      </c>
    </row>
    <row r="314" spans="1:18" ht="181.5" thickTop="1" thickBot="1" x14ac:dyDescent="0.25">
      <c r="A314" s="857" t="s">
        <v>179</v>
      </c>
      <c r="B314" s="857"/>
      <c r="C314" s="857"/>
      <c r="D314" s="858" t="s">
        <v>1060</v>
      </c>
      <c r="E314" s="859">
        <f>E315+E318</f>
        <v>5984385</v>
      </c>
      <c r="F314" s="859">
        <f t="shared" ref="F314:I314" si="265">F315+F318</f>
        <v>5984385</v>
      </c>
      <c r="G314" s="859">
        <f t="shared" si="265"/>
        <v>4608055</v>
      </c>
      <c r="H314" s="859">
        <f t="shared" si="265"/>
        <v>103700</v>
      </c>
      <c r="I314" s="859">
        <f t="shared" si="265"/>
        <v>0</v>
      </c>
      <c r="J314" s="859">
        <f>L314+O314</f>
        <v>3249138.96</v>
      </c>
      <c r="K314" s="859">
        <f t="shared" ref="K314:O314" si="266">K315+K318</f>
        <v>64000</v>
      </c>
      <c r="L314" s="859">
        <f t="shared" si="266"/>
        <v>1485138.96</v>
      </c>
      <c r="M314" s="859">
        <f t="shared" si="266"/>
        <v>0</v>
      </c>
      <c r="N314" s="859">
        <f t="shared" si="266"/>
        <v>0</v>
      </c>
      <c r="O314" s="859">
        <f t="shared" si="266"/>
        <v>1764000</v>
      </c>
      <c r="P314" s="859">
        <f t="shared" ref="P314:P324" si="267">E314+J314</f>
        <v>9233523.9600000009</v>
      </c>
      <c r="Q314" s="125" t="b">
        <f>P314=P321+P324+P316+P322+P323+P317</f>
        <v>1</v>
      </c>
      <c r="R314" s="892" t="b">
        <f>K314='d6'!J308</f>
        <v>1</v>
      </c>
    </row>
    <row r="315" spans="1:18" ht="47.25" thickTop="1" thickBot="1" x14ac:dyDescent="0.25">
      <c r="A315" s="173" t="s">
        <v>995</v>
      </c>
      <c r="B315" s="455" t="s">
        <v>843</v>
      </c>
      <c r="C315" s="455"/>
      <c r="D315" s="455" t="s">
        <v>844</v>
      </c>
      <c r="E315" s="894">
        <f>SUM(E316:E317)</f>
        <v>5984385</v>
      </c>
      <c r="F315" s="894">
        <f t="shared" ref="F315:N315" si="268">SUM(F316:F317)</f>
        <v>5984385</v>
      </c>
      <c r="G315" s="894">
        <f t="shared" si="268"/>
        <v>4608055</v>
      </c>
      <c r="H315" s="894">
        <f t="shared" si="268"/>
        <v>103700</v>
      </c>
      <c r="I315" s="894">
        <f t="shared" si="268"/>
        <v>0</v>
      </c>
      <c r="J315" s="894">
        <f t="shared" si="268"/>
        <v>64000</v>
      </c>
      <c r="K315" s="894">
        <f t="shared" si="268"/>
        <v>64000</v>
      </c>
      <c r="L315" s="894">
        <f t="shared" si="268"/>
        <v>0</v>
      </c>
      <c r="M315" s="894">
        <f t="shared" si="268"/>
        <v>0</v>
      </c>
      <c r="N315" s="894">
        <f t="shared" si="268"/>
        <v>0</v>
      </c>
      <c r="O315" s="894">
        <f>SUM(O316:O317)</f>
        <v>64000</v>
      </c>
      <c r="P315" s="894">
        <f t="shared" ref="P315" si="269">SUM(P316:P317)</f>
        <v>6048385</v>
      </c>
      <c r="Q315" s="125"/>
      <c r="R315" s="892"/>
    </row>
    <row r="316" spans="1:18" s="99" customFormat="1" ht="230.25" thickTop="1" thickBot="1" x14ac:dyDescent="0.25">
      <c r="A316" s="898" t="s">
        <v>450</v>
      </c>
      <c r="B316" s="898" t="s">
        <v>254</v>
      </c>
      <c r="C316" s="898" t="s">
        <v>252</v>
      </c>
      <c r="D316" s="898" t="s">
        <v>253</v>
      </c>
      <c r="E316" s="900">
        <f>F316</f>
        <v>5979385</v>
      </c>
      <c r="F316" s="323">
        <f>(5984385-5000)</f>
        <v>5979385</v>
      </c>
      <c r="G316" s="323">
        <v>4608055</v>
      </c>
      <c r="H316" s="323">
        <f>(70880+8160+21000+3660)</f>
        <v>103700</v>
      </c>
      <c r="I316" s="323"/>
      <c r="J316" s="894">
        <f t="shared" ref="J316:J324" si="270">L316+O316</f>
        <v>64000</v>
      </c>
      <c r="K316" s="313">
        <f>(18000)+46000</f>
        <v>64000</v>
      </c>
      <c r="L316" s="313"/>
      <c r="M316" s="313"/>
      <c r="N316" s="313"/>
      <c r="O316" s="896">
        <f>K316</f>
        <v>64000</v>
      </c>
      <c r="P316" s="894">
        <f t="shared" si="267"/>
        <v>6043385</v>
      </c>
      <c r="Q316" s="258"/>
      <c r="R316" s="892" t="b">
        <f>K316='d6'!J310</f>
        <v>1</v>
      </c>
    </row>
    <row r="317" spans="1:18" s="99" customFormat="1" ht="184.5" thickTop="1" thickBot="1" x14ac:dyDescent="0.25">
      <c r="A317" s="893" t="s">
        <v>791</v>
      </c>
      <c r="B317" s="893" t="s">
        <v>388</v>
      </c>
      <c r="C317" s="893" t="s">
        <v>778</v>
      </c>
      <c r="D317" s="893" t="s">
        <v>779</v>
      </c>
      <c r="E317" s="324">
        <f>F317</f>
        <v>5000</v>
      </c>
      <c r="F317" s="170">
        <v>5000</v>
      </c>
      <c r="G317" s="170"/>
      <c r="H317" s="170"/>
      <c r="I317" s="170"/>
      <c r="J317" s="894">
        <f t="shared" si="270"/>
        <v>0</v>
      </c>
      <c r="K317" s="170"/>
      <c r="L317" s="847"/>
      <c r="M317" s="847"/>
      <c r="N317" s="847"/>
      <c r="O317" s="896">
        <f t="shared" ref="O317" si="271">K317</f>
        <v>0</v>
      </c>
      <c r="P317" s="894">
        <f t="shared" ref="P317" si="272">+J317+E317</f>
        <v>5000</v>
      </c>
      <c r="Q317" s="258"/>
      <c r="R317" s="892"/>
    </row>
    <row r="318" spans="1:18" s="99" customFormat="1" ht="47.25" thickTop="1" thickBot="1" x14ac:dyDescent="0.25">
      <c r="A318" s="173" t="s">
        <v>996</v>
      </c>
      <c r="B318" s="455" t="s">
        <v>855</v>
      </c>
      <c r="C318" s="455"/>
      <c r="D318" s="455" t="s">
        <v>856</v>
      </c>
      <c r="E318" s="324">
        <f>E319</f>
        <v>0</v>
      </c>
      <c r="F318" s="324">
        <f t="shared" ref="F318:P318" si="273">F319</f>
        <v>0</v>
      </c>
      <c r="G318" s="324">
        <f t="shared" si="273"/>
        <v>0</v>
      </c>
      <c r="H318" s="324">
        <f t="shared" si="273"/>
        <v>0</v>
      </c>
      <c r="I318" s="324">
        <f t="shared" si="273"/>
        <v>0</v>
      </c>
      <c r="J318" s="324">
        <f t="shared" si="273"/>
        <v>3185138.96</v>
      </c>
      <c r="K318" s="324">
        <f t="shared" si="273"/>
        <v>0</v>
      </c>
      <c r="L318" s="324">
        <f t="shared" si="273"/>
        <v>1485138.96</v>
      </c>
      <c r="M318" s="324">
        <f t="shared" si="273"/>
        <v>0</v>
      </c>
      <c r="N318" s="324">
        <f t="shared" si="273"/>
        <v>0</v>
      </c>
      <c r="O318" s="324">
        <f t="shared" si="273"/>
        <v>1700000</v>
      </c>
      <c r="P318" s="324">
        <f t="shared" si="273"/>
        <v>3185138.96</v>
      </c>
      <c r="Q318" s="258"/>
      <c r="R318" s="892"/>
    </row>
    <row r="319" spans="1:18" s="99" customFormat="1" ht="91.5" thickTop="1" thickBot="1" x14ac:dyDescent="0.25">
      <c r="A319" s="450" t="s">
        <v>997</v>
      </c>
      <c r="B319" s="404" t="s">
        <v>998</v>
      </c>
      <c r="C319" s="404"/>
      <c r="D319" s="404" t="s">
        <v>999</v>
      </c>
      <c r="E319" s="463">
        <f>SUM(E320:E324)-E320</f>
        <v>0</v>
      </c>
      <c r="F319" s="463">
        <f t="shared" ref="F319:P319" si="274">SUM(F320:F324)-F320</f>
        <v>0</v>
      </c>
      <c r="G319" s="463">
        <f t="shared" si="274"/>
        <v>0</v>
      </c>
      <c r="H319" s="463">
        <f t="shared" si="274"/>
        <v>0</v>
      </c>
      <c r="I319" s="463">
        <f t="shared" si="274"/>
        <v>0</v>
      </c>
      <c r="J319" s="463">
        <f t="shared" si="274"/>
        <v>3185138.96</v>
      </c>
      <c r="K319" s="463">
        <f t="shared" si="274"/>
        <v>0</v>
      </c>
      <c r="L319" s="463">
        <f t="shared" si="274"/>
        <v>1485138.96</v>
      </c>
      <c r="M319" s="463">
        <f t="shared" si="274"/>
        <v>0</v>
      </c>
      <c r="N319" s="463">
        <f t="shared" si="274"/>
        <v>0</v>
      </c>
      <c r="O319" s="463">
        <f t="shared" si="274"/>
        <v>1700000</v>
      </c>
      <c r="P319" s="463">
        <f t="shared" si="274"/>
        <v>3185138.96</v>
      </c>
      <c r="Q319" s="258"/>
      <c r="R319" s="892"/>
    </row>
    <row r="320" spans="1:18" s="99" customFormat="1" ht="138.75" thickTop="1" thickBot="1" x14ac:dyDescent="0.25">
      <c r="A320" s="365" t="s">
        <v>1000</v>
      </c>
      <c r="B320" s="365" t="s">
        <v>1001</v>
      </c>
      <c r="C320" s="365"/>
      <c r="D320" s="365" t="s">
        <v>1002</v>
      </c>
      <c r="E320" s="464">
        <f>SUM(E321:E322)</f>
        <v>0</v>
      </c>
      <c r="F320" s="464">
        <f t="shared" ref="F320:P320" si="275">SUM(F321:F322)</f>
        <v>0</v>
      </c>
      <c r="G320" s="464">
        <f t="shared" si="275"/>
        <v>0</v>
      </c>
      <c r="H320" s="464">
        <f t="shared" si="275"/>
        <v>0</v>
      </c>
      <c r="I320" s="464">
        <f t="shared" si="275"/>
        <v>0</v>
      </c>
      <c r="J320" s="464">
        <f t="shared" si="275"/>
        <v>765138.96</v>
      </c>
      <c r="K320" s="464">
        <f t="shared" si="275"/>
        <v>0</v>
      </c>
      <c r="L320" s="464">
        <f t="shared" si="275"/>
        <v>765138.96</v>
      </c>
      <c r="M320" s="464">
        <f t="shared" si="275"/>
        <v>0</v>
      </c>
      <c r="N320" s="464">
        <f t="shared" si="275"/>
        <v>0</v>
      </c>
      <c r="O320" s="464">
        <f t="shared" si="275"/>
        <v>0</v>
      </c>
      <c r="P320" s="464">
        <f t="shared" si="275"/>
        <v>765138.96</v>
      </c>
      <c r="Q320" s="258"/>
      <c r="R320" s="892"/>
    </row>
    <row r="321" spans="1:18" s="99" customFormat="1" ht="138.75" thickTop="1" thickBot="1" x14ac:dyDescent="0.25">
      <c r="A321" s="893" t="s">
        <v>328</v>
      </c>
      <c r="B321" s="893" t="s">
        <v>329</v>
      </c>
      <c r="C321" s="893" t="s">
        <v>54</v>
      </c>
      <c r="D321" s="893" t="s">
        <v>55</v>
      </c>
      <c r="E321" s="894">
        <f t="shared" ref="E321:E323" si="276">F321</f>
        <v>0</v>
      </c>
      <c r="F321" s="313"/>
      <c r="G321" s="313"/>
      <c r="H321" s="313"/>
      <c r="I321" s="313"/>
      <c r="J321" s="894">
        <f t="shared" si="270"/>
        <v>403900</v>
      </c>
      <c r="K321" s="313"/>
      <c r="L321" s="313">
        <f>(248900)+155000</f>
        <v>403900</v>
      </c>
      <c r="M321" s="313"/>
      <c r="N321" s="313"/>
      <c r="O321" s="896">
        <f t="shared" ref="O321:O322" si="277">K321</f>
        <v>0</v>
      </c>
      <c r="P321" s="894">
        <f t="shared" si="267"/>
        <v>403900</v>
      </c>
      <c r="Q321" s="125" t="b">
        <f>J321='d9'!F13+'d9'!F14+'d9'!F15+'d9'!F16</f>
        <v>1</v>
      </c>
      <c r="R321" s="201"/>
    </row>
    <row r="322" spans="1:18" s="99" customFormat="1" ht="48" thickTop="1" thickBot="1" x14ac:dyDescent="0.25">
      <c r="A322" s="893" t="s">
        <v>508</v>
      </c>
      <c r="B322" s="893" t="s">
        <v>509</v>
      </c>
      <c r="C322" s="893" t="s">
        <v>507</v>
      </c>
      <c r="D322" s="893" t="s">
        <v>510</v>
      </c>
      <c r="E322" s="894">
        <f t="shared" si="276"/>
        <v>0</v>
      </c>
      <c r="F322" s="313"/>
      <c r="G322" s="313"/>
      <c r="H322" s="313"/>
      <c r="I322" s="313"/>
      <c r="J322" s="894">
        <f t="shared" si="270"/>
        <v>361238.96</v>
      </c>
      <c r="K322" s="313"/>
      <c r="L322" s="313">
        <f>(70000)+291238.96</f>
        <v>361238.96</v>
      </c>
      <c r="M322" s="313"/>
      <c r="N322" s="313"/>
      <c r="O322" s="896">
        <f t="shared" si="277"/>
        <v>0</v>
      </c>
      <c r="P322" s="894">
        <f t="shared" si="267"/>
        <v>361238.96</v>
      </c>
      <c r="Q322" s="125" t="b">
        <f>J322='d9'!F17+'d9'!F18</f>
        <v>1</v>
      </c>
      <c r="R322" s="201"/>
    </row>
    <row r="323" spans="1:18" s="99" customFormat="1" ht="93" thickTop="1" thickBot="1" x14ac:dyDescent="0.25">
      <c r="A323" s="893" t="s">
        <v>569</v>
      </c>
      <c r="B323" s="893" t="s">
        <v>567</v>
      </c>
      <c r="C323" s="893" t="s">
        <v>570</v>
      </c>
      <c r="D323" s="893" t="s">
        <v>568</v>
      </c>
      <c r="E323" s="894">
        <f t="shared" si="276"/>
        <v>0</v>
      </c>
      <c r="F323" s="313"/>
      <c r="G323" s="313"/>
      <c r="H323" s="313"/>
      <c r="I323" s="313"/>
      <c r="J323" s="894">
        <f t="shared" si="270"/>
        <v>175000</v>
      </c>
      <c r="K323" s="313"/>
      <c r="L323" s="313">
        <f>(125000)+50000</f>
        <v>175000</v>
      </c>
      <c r="M323" s="313"/>
      <c r="N323" s="313"/>
      <c r="O323" s="896">
        <f>K323</f>
        <v>0</v>
      </c>
      <c r="P323" s="894">
        <f t="shared" si="267"/>
        <v>175000</v>
      </c>
      <c r="Q323" s="125" t="b">
        <f>J323='d9'!F19+'d9'!F20+'d9'!F21</f>
        <v>1</v>
      </c>
      <c r="R323" s="201"/>
    </row>
    <row r="324" spans="1:18" s="99" customFormat="1" ht="93" thickTop="1" thickBot="1" x14ac:dyDescent="0.25">
      <c r="A324" s="893" t="s">
        <v>330</v>
      </c>
      <c r="B324" s="893" t="s">
        <v>331</v>
      </c>
      <c r="C324" s="893" t="s">
        <v>56</v>
      </c>
      <c r="D324" s="893" t="s">
        <v>511</v>
      </c>
      <c r="E324" s="894">
        <v>0</v>
      </c>
      <c r="F324" s="313"/>
      <c r="G324" s="313"/>
      <c r="H324" s="313"/>
      <c r="I324" s="313"/>
      <c r="J324" s="894">
        <f t="shared" si="270"/>
        <v>2245000</v>
      </c>
      <c r="K324" s="894"/>
      <c r="L324" s="313">
        <f>(187000)+358000</f>
        <v>545000</v>
      </c>
      <c r="M324" s="313"/>
      <c r="N324" s="313"/>
      <c r="O324" s="896">
        <f>K324+1700000</f>
        <v>1700000</v>
      </c>
      <c r="P324" s="894">
        <f t="shared" si="267"/>
        <v>2245000</v>
      </c>
      <c r="Q324" s="125" t="b">
        <f>J324='d9'!F22+'d9'!F23+'d9'!F24+'d9'!F25+'d9'!F26+'d9'!F27+'d9'!F28+1700000</f>
        <v>1</v>
      </c>
      <c r="R324" s="201"/>
    </row>
    <row r="325" spans="1:18" ht="136.5" thickTop="1" thickBot="1" x14ac:dyDescent="0.25">
      <c r="A325" s="853" t="s">
        <v>176</v>
      </c>
      <c r="B325" s="853"/>
      <c r="C325" s="853"/>
      <c r="D325" s="854" t="s">
        <v>1073</v>
      </c>
      <c r="E325" s="855">
        <f>E326</f>
        <v>7074725</v>
      </c>
      <c r="F325" s="856">
        <f t="shared" ref="F325:G325" si="278">F326</f>
        <v>7074725</v>
      </c>
      <c r="G325" s="856">
        <f t="shared" si="278"/>
        <v>5311200</v>
      </c>
      <c r="H325" s="856">
        <f>H326</f>
        <v>72700</v>
      </c>
      <c r="I325" s="856">
        <f t="shared" ref="I325" si="279">I326</f>
        <v>0</v>
      </c>
      <c r="J325" s="855">
        <f>J326</f>
        <v>350000</v>
      </c>
      <c r="K325" s="856">
        <f>K326</f>
        <v>350000</v>
      </c>
      <c r="L325" s="856">
        <f>L326</f>
        <v>0</v>
      </c>
      <c r="M325" s="856">
        <f t="shared" ref="M325" si="280">M326</f>
        <v>0</v>
      </c>
      <c r="N325" s="856">
        <f>N326</f>
        <v>0</v>
      </c>
      <c r="O325" s="855">
        <f>O326</f>
        <v>350000</v>
      </c>
      <c r="P325" s="856">
        <f t="shared" ref="P325" si="281">P326</f>
        <v>7424725</v>
      </c>
    </row>
    <row r="326" spans="1:18" ht="181.5" thickTop="1" thickBot="1" x14ac:dyDescent="0.25">
      <c r="A326" s="857" t="s">
        <v>177</v>
      </c>
      <c r="B326" s="857"/>
      <c r="C326" s="857"/>
      <c r="D326" s="858" t="s">
        <v>1072</v>
      </c>
      <c r="E326" s="859">
        <f>E327+E329</f>
        <v>7074725</v>
      </c>
      <c r="F326" s="859">
        <f t="shared" ref="F326:I326" si="282">F327+F329</f>
        <v>7074725</v>
      </c>
      <c r="G326" s="859">
        <f t="shared" si="282"/>
        <v>5311200</v>
      </c>
      <c r="H326" s="859">
        <f t="shared" si="282"/>
        <v>72700</v>
      </c>
      <c r="I326" s="859">
        <f t="shared" si="282"/>
        <v>0</v>
      </c>
      <c r="J326" s="859">
        <f>L326+O326</f>
        <v>350000</v>
      </c>
      <c r="K326" s="859">
        <f t="shared" ref="K326:O326" si="283">K327+K329</f>
        <v>350000</v>
      </c>
      <c r="L326" s="859">
        <f t="shared" si="283"/>
        <v>0</v>
      </c>
      <c r="M326" s="859">
        <f t="shared" si="283"/>
        <v>0</v>
      </c>
      <c r="N326" s="859">
        <f t="shared" si="283"/>
        <v>0</v>
      </c>
      <c r="O326" s="859">
        <f t="shared" si="283"/>
        <v>350000</v>
      </c>
      <c r="P326" s="859">
        <f>E326+J326</f>
        <v>7424725</v>
      </c>
      <c r="Q326" s="125" t="b">
        <f>P326=P331+P333+P328</f>
        <v>1</v>
      </c>
      <c r="R326" s="125" t="b">
        <f>K326='d6'!J311</f>
        <v>1</v>
      </c>
    </row>
    <row r="327" spans="1:18" ht="47.25" thickTop="1" thickBot="1" x14ac:dyDescent="0.25">
      <c r="A327" s="173" t="s">
        <v>1003</v>
      </c>
      <c r="B327" s="455" t="s">
        <v>843</v>
      </c>
      <c r="C327" s="455"/>
      <c r="D327" s="455" t="s">
        <v>844</v>
      </c>
      <c r="E327" s="894">
        <f>SUM(E328)</f>
        <v>7074725</v>
      </c>
      <c r="F327" s="894">
        <f t="shared" ref="F327:P327" si="284">SUM(F328)</f>
        <v>7074725</v>
      </c>
      <c r="G327" s="894">
        <f t="shared" si="284"/>
        <v>5311200</v>
      </c>
      <c r="H327" s="894">
        <f t="shared" si="284"/>
        <v>72700</v>
      </c>
      <c r="I327" s="894">
        <f t="shared" si="284"/>
        <v>0</v>
      </c>
      <c r="J327" s="894">
        <f t="shared" si="284"/>
        <v>100000</v>
      </c>
      <c r="K327" s="894">
        <f t="shared" si="284"/>
        <v>100000</v>
      </c>
      <c r="L327" s="894">
        <f t="shared" si="284"/>
        <v>0</v>
      </c>
      <c r="M327" s="894">
        <f t="shared" si="284"/>
        <v>0</v>
      </c>
      <c r="N327" s="894">
        <f t="shared" si="284"/>
        <v>0</v>
      </c>
      <c r="O327" s="894">
        <f t="shared" si="284"/>
        <v>100000</v>
      </c>
      <c r="P327" s="894">
        <f t="shared" si="284"/>
        <v>7174725</v>
      </c>
      <c r="Q327" s="125"/>
      <c r="R327" s="125"/>
    </row>
    <row r="328" spans="1:18" ht="230.25" thickTop="1" thickBot="1" x14ac:dyDescent="0.25">
      <c r="A328" s="898" t="s">
        <v>446</v>
      </c>
      <c r="B328" s="898" t="s">
        <v>254</v>
      </c>
      <c r="C328" s="898" t="s">
        <v>252</v>
      </c>
      <c r="D328" s="898" t="s">
        <v>253</v>
      </c>
      <c r="E328" s="900">
        <f>F328</f>
        <v>7074725</v>
      </c>
      <c r="F328" s="323">
        <f>(5014525)+1688700+371500</f>
        <v>7074725</v>
      </c>
      <c r="G328" s="323">
        <f>(3622500)+1688700</f>
        <v>5311200</v>
      </c>
      <c r="H328" s="323">
        <f>(53320+2000+17380)</f>
        <v>72700</v>
      </c>
      <c r="I328" s="323"/>
      <c r="J328" s="894">
        <f>L328+O328</f>
        <v>100000</v>
      </c>
      <c r="K328" s="313">
        <v>100000</v>
      </c>
      <c r="L328" s="313"/>
      <c r="M328" s="313"/>
      <c r="N328" s="313"/>
      <c r="O328" s="896">
        <f>K328</f>
        <v>100000</v>
      </c>
      <c r="P328" s="894">
        <f>E328+J328</f>
        <v>7174725</v>
      </c>
      <c r="R328" s="125" t="b">
        <f>K328='d6'!J313</f>
        <v>1</v>
      </c>
    </row>
    <row r="329" spans="1:18" ht="47.25" thickTop="1" thickBot="1" x14ac:dyDescent="0.25">
      <c r="A329" s="173" t="s">
        <v>1004</v>
      </c>
      <c r="B329" s="455" t="s">
        <v>908</v>
      </c>
      <c r="C329" s="893"/>
      <c r="D329" s="455" t="s">
        <v>955</v>
      </c>
      <c r="E329" s="900">
        <f t="shared" ref="E329:P329" si="285">E330+E332</f>
        <v>0</v>
      </c>
      <c r="F329" s="900">
        <f t="shared" si="285"/>
        <v>0</v>
      </c>
      <c r="G329" s="900">
        <f t="shared" si="285"/>
        <v>0</v>
      </c>
      <c r="H329" s="900">
        <f t="shared" si="285"/>
        <v>0</v>
      </c>
      <c r="I329" s="900">
        <f t="shared" si="285"/>
        <v>0</v>
      </c>
      <c r="J329" s="894">
        <f t="shared" si="285"/>
        <v>250000</v>
      </c>
      <c r="K329" s="894">
        <f t="shared" si="285"/>
        <v>250000</v>
      </c>
      <c r="L329" s="894">
        <f t="shared" si="285"/>
        <v>0</v>
      </c>
      <c r="M329" s="894">
        <f t="shared" si="285"/>
        <v>0</v>
      </c>
      <c r="N329" s="894">
        <f t="shared" si="285"/>
        <v>0</v>
      </c>
      <c r="O329" s="894">
        <f t="shared" si="285"/>
        <v>250000</v>
      </c>
      <c r="P329" s="894">
        <f t="shared" si="285"/>
        <v>250000</v>
      </c>
      <c r="Q329" s="889"/>
      <c r="R329" s="197"/>
    </row>
    <row r="330" spans="1:18" ht="91.5" thickTop="1" thickBot="1" x14ac:dyDescent="0.25">
      <c r="A330" s="450" t="s">
        <v>1005</v>
      </c>
      <c r="B330" s="450" t="s">
        <v>1006</v>
      </c>
      <c r="C330" s="450"/>
      <c r="D330" s="450" t="s">
        <v>1007</v>
      </c>
      <c r="E330" s="448">
        <f>SUM(E331)</f>
        <v>0</v>
      </c>
      <c r="F330" s="448">
        <f t="shared" ref="F330:P330" si="286">SUM(F331)</f>
        <v>0</v>
      </c>
      <c r="G330" s="448">
        <f t="shared" si="286"/>
        <v>0</v>
      </c>
      <c r="H330" s="448">
        <f t="shared" si="286"/>
        <v>0</v>
      </c>
      <c r="I330" s="448">
        <f t="shared" si="286"/>
        <v>0</v>
      </c>
      <c r="J330" s="366">
        <f t="shared" si="286"/>
        <v>200000</v>
      </c>
      <c r="K330" s="366">
        <f t="shared" si="286"/>
        <v>200000</v>
      </c>
      <c r="L330" s="366">
        <f t="shared" si="286"/>
        <v>0</v>
      </c>
      <c r="M330" s="366">
        <f t="shared" si="286"/>
        <v>0</v>
      </c>
      <c r="N330" s="366">
        <f t="shared" si="286"/>
        <v>0</v>
      </c>
      <c r="O330" s="366">
        <f t="shared" si="286"/>
        <v>200000</v>
      </c>
      <c r="P330" s="366">
        <f t="shared" si="286"/>
        <v>200000</v>
      </c>
      <c r="Q330" s="889"/>
      <c r="R330" s="197"/>
    </row>
    <row r="331" spans="1:18" ht="93" thickTop="1" thickBot="1" x14ac:dyDescent="0.25">
      <c r="A331" s="898" t="s">
        <v>325</v>
      </c>
      <c r="B331" s="898" t="s">
        <v>326</v>
      </c>
      <c r="C331" s="898" t="s">
        <v>327</v>
      </c>
      <c r="D331" s="898" t="s">
        <v>497</v>
      </c>
      <c r="E331" s="900">
        <f>F331</f>
        <v>0</v>
      </c>
      <c r="F331" s="323"/>
      <c r="G331" s="323"/>
      <c r="H331" s="323"/>
      <c r="I331" s="323"/>
      <c r="J331" s="894">
        <f>L331+O331</f>
        <v>200000</v>
      </c>
      <c r="K331" s="313">
        <v>200000</v>
      </c>
      <c r="L331" s="313"/>
      <c r="M331" s="313"/>
      <c r="N331" s="313"/>
      <c r="O331" s="896">
        <v>200000</v>
      </c>
      <c r="P331" s="894">
        <f>E331+J331</f>
        <v>200000</v>
      </c>
      <c r="R331" s="125" t="b">
        <f>K331='d6'!J314+'d6'!J315</f>
        <v>1</v>
      </c>
    </row>
    <row r="332" spans="1:18" ht="136.5" thickTop="1" thickBot="1" x14ac:dyDescent="0.25">
      <c r="A332" s="450" t="s">
        <v>1008</v>
      </c>
      <c r="B332" s="450" t="s">
        <v>850</v>
      </c>
      <c r="C332" s="898"/>
      <c r="D332" s="450" t="s">
        <v>1009</v>
      </c>
      <c r="E332" s="448">
        <f>SUM(E333)</f>
        <v>0</v>
      </c>
      <c r="F332" s="448">
        <f t="shared" ref="F332:P332" si="287">SUM(F333)</f>
        <v>0</v>
      </c>
      <c r="G332" s="448">
        <f t="shared" si="287"/>
        <v>0</v>
      </c>
      <c r="H332" s="448">
        <f t="shared" si="287"/>
        <v>0</v>
      </c>
      <c r="I332" s="448">
        <f t="shared" si="287"/>
        <v>0</v>
      </c>
      <c r="J332" s="366">
        <f t="shared" si="287"/>
        <v>50000</v>
      </c>
      <c r="K332" s="366">
        <f t="shared" si="287"/>
        <v>50000</v>
      </c>
      <c r="L332" s="366">
        <f t="shared" si="287"/>
        <v>0</v>
      </c>
      <c r="M332" s="366">
        <f t="shared" si="287"/>
        <v>0</v>
      </c>
      <c r="N332" s="366">
        <f t="shared" si="287"/>
        <v>0</v>
      </c>
      <c r="O332" s="366">
        <f t="shared" si="287"/>
        <v>50000</v>
      </c>
      <c r="P332" s="366">
        <f t="shared" si="287"/>
        <v>50000</v>
      </c>
      <c r="Q332" s="889"/>
    </row>
    <row r="333" spans="1:18" ht="138.75" thickTop="1" thickBot="1" x14ac:dyDescent="0.25">
      <c r="A333" s="898" t="s">
        <v>394</v>
      </c>
      <c r="B333" s="898" t="s">
        <v>395</v>
      </c>
      <c r="C333" s="898" t="s">
        <v>184</v>
      </c>
      <c r="D333" s="898" t="s">
        <v>396</v>
      </c>
      <c r="E333" s="900">
        <f>F333</f>
        <v>0</v>
      </c>
      <c r="F333" s="323"/>
      <c r="G333" s="323"/>
      <c r="H333" s="323"/>
      <c r="I333" s="323"/>
      <c r="J333" s="894">
        <f>L333+O333</f>
        <v>50000</v>
      </c>
      <c r="K333" s="313">
        <v>50000</v>
      </c>
      <c r="L333" s="313"/>
      <c r="M333" s="313"/>
      <c r="N333" s="313"/>
      <c r="O333" s="896">
        <f>K333</f>
        <v>50000</v>
      </c>
      <c r="P333" s="894">
        <f>E333+J333</f>
        <v>50000</v>
      </c>
      <c r="R333" s="125" t="b">
        <f>K333='d6'!J316</f>
        <v>1</v>
      </c>
    </row>
    <row r="334" spans="1:18" ht="136.5" thickTop="1" thickBot="1" x14ac:dyDescent="0.25">
      <c r="A334" s="853" t="s">
        <v>182</v>
      </c>
      <c r="B334" s="853"/>
      <c r="C334" s="853"/>
      <c r="D334" s="854" t="s">
        <v>27</v>
      </c>
      <c r="E334" s="855">
        <f>E335</f>
        <v>86588081</v>
      </c>
      <c r="F334" s="856">
        <f t="shared" ref="F334:G334" si="288">F335</f>
        <v>86588081</v>
      </c>
      <c r="G334" s="856">
        <f t="shared" si="288"/>
        <v>6840000</v>
      </c>
      <c r="H334" s="856">
        <f>H335</f>
        <v>131350</v>
      </c>
      <c r="I334" s="856">
        <f t="shared" ref="I334" si="289">I335</f>
        <v>0</v>
      </c>
      <c r="J334" s="855">
        <f>J335</f>
        <v>40000</v>
      </c>
      <c r="K334" s="856">
        <f>K335</f>
        <v>40000</v>
      </c>
      <c r="L334" s="856">
        <f>L335</f>
        <v>0</v>
      </c>
      <c r="M334" s="856">
        <f t="shared" ref="M334" si="290">M335</f>
        <v>0</v>
      </c>
      <c r="N334" s="856">
        <f>N335</f>
        <v>0</v>
      </c>
      <c r="O334" s="855">
        <f>O335</f>
        <v>40000</v>
      </c>
      <c r="P334" s="856">
        <f t="shared" ref="P334" si="291">P335</f>
        <v>86628081</v>
      </c>
    </row>
    <row r="335" spans="1:18" ht="136.5" thickTop="1" thickBot="1" x14ac:dyDescent="0.25">
      <c r="A335" s="857" t="s">
        <v>183</v>
      </c>
      <c r="B335" s="857"/>
      <c r="C335" s="857"/>
      <c r="D335" s="858" t="s">
        <v>42</v>
      </c>
      <c r="E335" s="859">
        <f>E336+E339+E343</f>
        <v>86588081</v>
      </c>
      <c r="F335" s="859">
        <f t="shared" ref="F335:I335" si="292">F336+F339+F343</f>
        <v>86588081</v>
      </c>
      <c r="G335" s="859">
        <f t="shared" si="292"/>
        <v>6840000</v>
      </c>
      <c r="H335" s="859">
        <f t="shared" si="292"/>
        <v>131350</v>
      </c>
      <c r="I335" s="859">
        <f t="shared" si="292"/>
        <v>0</v>
      </c>
      <c r="J335" s="859">
        <f>L335+O335</f>
        <v>40000</v>
      </c>
      <c r="K335" s="859">
        <f t="shared" ref="K335:O335" si="293">K336+K339+K343</f>
        <v>40000</v>
      </c>
      <c r="L335" s="859">
        <f t="shared" si="293"/>
        <v>0</v>
      </c>
      <c r="M335" s="859">
        <f t="shared" si="293"/>
        <v>0</v>
      </c>
      <c r="N335" s="859">
        <f t="shared" si="293"/>
        <v>0</v>
      </c>
      <c r="O335" s="859">
        <f t="shared" si="293"/>
        <v>40000</v>
      </c>
      <c r="P335" s="859">
        <f>E335+J335</f>
        <v>86628081</v>
      </c>
      <c r="Q335" s="125" t="b">
        <f>P335=P340+P342+P345+P337+P338</f>
        <v>1</v>
      </c>
      <c r="R335" s="125" t="b">
        <f>K335='d6'!J317</f>
        <v>1</v>
      </c>
    </row>
    <row r="336" spans="1:18" ht="47.25" thickTop="1" thickBot="1" x14ac:dyDescent="0.25">
      <c r="A336" s="173" t="s">
        <v>1010</v>
      </c>
      <c r="B336" s="455" t="s">
        <v>843</v>
      </c>
      <c r="C336" s="455"/>
      <c r="D336" s="455" t="s">
        <v>844</v>
      </c>
      <c r="E336" s="894">
        <f>SUM(E337:E338)</f>
        <v>8612205</v>
      </c>
      <c r="F336" s="894">
        <f t="shared" ref="F336:P336" si="294">SUM(F337:F338)</f>
        <v>8612205</v>
      </c>
      <c r="G336" s="894">
        <f t="shared" si="294"/>
        <v>6840000</v>
      </c>
      <c r="H336" s="894">
        <f t="shared" si="294"/>
        <v>131350</v>
      </c>
      <c r="I336" s="894">
        <f t="shared" si="294"/>
        <v>0</v>
      </c>
      <c r="J336" s="894">
        <f t="shared" si="294"/>
        <v>40000</v>
      </c>
      <c r="K336" s="894">
        <f t="shared" si="294"/>
        <v>40000</v>
      </c>
      <c r="L336" s="894">
        <f t="shared" si="294"/>
        <v>0</v>
      </c>
      <c r="M336" s="894">
        <f t="shared" si="294"/>
        <v>0</v>
      </c>
      <c r="N336" s="894">
        <f t="shared" si="294"/>
        <v>0</v>
      </c>
      <c r="O336" s="894">
        <f t="shared" si="294"/>
        <v>40000</v>
      </c>
      <c r="P336" s="894">
        <f t="shared" si="294"/>
        <v>8652205</v>
      </c>
      <c r="Q336" s="125"/>
      <c r="R336" s="198"/>
    </row>
    <row r="337" spans="1:19" ht="230.25" thickTop="1" thickBot="1" x14ac:dyDescent="0.25">
      <c r="A337" s="893" t="s">
        <v>448</v>
      </c>
      <c r="B337" s="893" t="s">
        <v>254</v>
      </c>
      <c r="C337" s="893" t="s">
        <v>252</v>
      </c>
      <c r="D337" s="893" t="s">
        <v>253</v>
      </c>
      <c r="E337" s="894">
        <f>F337</f>
        <v>8609205</v>
      </c>
      <c r="F337" s="313">
        <f>((7700000+1540000+152690+146035+7000+71000+4400+51000+4950+1075-3000)-205945)-860000</f>
        <v>8609205</v>
      </c>
      <c r="G337" s="313">
        <f>(7700000)-860000</f>
        <v>6840000</v>
      </c>
      <c r="H337" s="313">
        <f>(71000+4400+51000+4950)</f>
        <v>131350</v>
      </c>
      <c r="I337" s="313"/>
      <c r="J337" s="894">
        <f>L337+O337</f>
        <v>40000</v>
      </c>
      <c r="K337" s="313">
        <v>40000</v>
      </c>
      <c r="L337" s="313"/>
      <c r="M337" s="313"/>
      <c r="N337" s="313"/>
      <c r="O337" s="896">
        <f>K337</f>
        <v>40000</v>
      </c>
      <c r="P337" s="894">
        <f>E337+J337</f>
        <v>8649205</v>
      </c>
      <c r="Q337" s="125" t="b">
        <f>K337='d6'!J319</f>
        <v>1</v>
      </c>
      <c r="R337" s="198"/>
      <c r="S337" s="197">
        <f>'d6'!J319</f>
        <v>40000</v>
      </c>
    </row>
    <row r="338" spans="1:19" ht="184.5" thickTop="1" thickBot="1" x14ac:dyDescent="0.25">
      <c r="A338" s="893" t="s">
        <v>792</v>
      </c>
      <c r="B338" s="893" t="s">
        <v>388</v>
      </c>
      <c r="C338" s="893" t="s">
        <v>778</v>
      </c>
      <c r="D338" s="893" t="s">
        <v>779</v>
      </c>
      <c r="E338" s="324">
        <f>F338</f>
        <v>3000</v>
      </c>
      <c r="F338" s="170">
        <v>3000</v>
      </c>
      <c r="G338" s="170"/>
      <c r="H338" s="170"/>
      <c r="I338" s="170"/>
      <c r="J338" s="894">
        <f t="shared" ref="J338" si="295">L338+O338</f>
        <v>0</v>
      </c>
      <c r="K338" s="170"/>
      <c r="L338" s="847"/>
      <c r="M338" s="847"/>
      <c r="N338" s="847"/>
      <c r="O338" s="896">
        <f t="shared" ref="O338" si="296">K338</f>
        <v>0</v>
      </c>
      <c r="P338" s="894">
        <f t="shared" ref="P338" si="297">+J338+E338</f>
        <v>3000</v>
      </c>
      <c r="Q338" s="197"/>
      <c r="R338" s="198"/>
    </row>
    <row r="339" spans="1:19" ht="47.25" thickTop="1" thickBot="1" x14ac:dyDescent="0.25">
      <c r="A339" s="173" t="s">
        <v>1011</v>
      </c>
      <c r="B339" s="455" t="s">
        <v>855</v>
      </c>
      <c r="C339" s="455"/>
      <c r="D339" s="455" t="s">
        <v>856</v>
      </c>
      <c r="E339" s="324">
        <f>E340+E341</f>
        <v>4671976</v>
      </c>
      <c r="F339" s="324">
        <f t="shared" ref="F339:P339" si="298">F340+F341</f>
        <v>4671976</v>
      </c>
      <c r="G339" s="324">
        <f t="shared" si="298"/>
        <v>0</v>
      </c>
      <c r="H339" s="324">
        <f t="shared" si="298"/>
        <v>0</v>
      </c>
      <c r="I339" s="324">
        <f t="shared" si="298"/>
        <v>0</v>
      </c>
      <c r="J339" s="324">
        <f t="shared" si="298"/>
        <v>0</v>
      </c>
      <c r="K339" s="324">
        <f t="shared" si="298"/>
        <v>0</v>
      </c>
      <c r="L339" s="324">
        <f t="shared" si="298"/>
        <v>0</v>
      </c>
      <c r="M339" s="324">
        <f t="shared" si="298"/>
        <v>0</v>
      </c>
      <c r="N339" s="324">
        <f t="shared" si="298"/>
        <v>0</v>
      </c>
      <c r="O339" s="324">
        <f t="shared" si="298"/>
        <v>0</v>
      </c>
      <c r="P339" s="324">
        <f t="shared" si="298"/>
        <v>4671976</v>
      </c>
      <c r="Q339" s="197"/>
      <c r="R339" s="198"/>
    </row>
    <row r="340" spans="1:19" ht="91.5" thickTop="1" thickBot="1" x14ac:dyDescent="0.25">
      <c r="A340" s="472">
        <v>3718600</v>
      </c>
      <c r="B340" s="472">
        <v>8600</v>
      </c>
      <c r="C340" s="404" t="s">
        <v>388</v>
      </c>
      <c r="D340" s="472" t="s">
        <v>488</v>
      </c>
      <c r="E340" s="366">
        <f>F340</f>
        <v>3821976</v>
      </c>
      <c r="F340" s="366">
        <f>((1033835)+205945)+2582196</f>
        <v>3821976</v>
      </c>
      <c r="G340" s="366"/>
      <c r="H340" s="366"/>
      <c r="I340" s="366"/>
      <c r="J340" s="366">
        <f>L340+O340</f>
        <v>0</v>
      </c>
      <c r="K340" s="366"/>
      <c r="L340" s="366"/>
      <c r="M340" s="366"/>
      <c r="N340" s="366"/>
      <c r="O340" s="885">
        <f>K340</f>
        <v>0</v>
      </c>
      <c r="P340" s="366">
        <f>E340+J340</f>
        <v>3821976</v>
      </c>
    </row>
    <row r="341" spans="1:19" ht="47.25" thickTop="1" thickBot="1" x14ac:dyDescent="0.25">
      <c r="A341" s="472">
        <v>3718700</v>
      </c>
      <c r="B341" s="472">
        <v>8700</v>
      </c>
      <c r="C341" s="404"/>
      <c r="D341" s="472" t="s">
        <v>1012</v>
      </c>
      <c r="E341" s="366">
        <f>E342</f>
        <v>850000</v>
      </c>
      <c r="F341" s="366">
        <f>F342</f>
        <v>850000</v>
      </c>
      <c r="G341" s="366">
        <f t="shared" ref="G341:P341" si="299">G342</f>
        <v>0</v>
      </c>
      <c r="H341" s="366">
        <f t="shared" si="299"/>
        <v>0</v>
      </c>
      <c r="I341" s="366">
        <f t="shared" si="299"/>
        <v>0</v>
      </c>
      <c r="J341" s="366">
        <f t="shared" si="299"/>
        <v>0</v>
      </c>
      <c r="K341" s="366">
        <f t="shared" si="299"/>
        <v>0</v>
      </c>
      <c r="L341" s="366">
        <f t="shared" si="299"/>
        <v>0</v>
      </c>
      <c r="M341" s="366">
        <f t="shared" si="299"/>
        <v>0</v>
      </c>
      <c r="N341" s="366">
        <f t="shared" si="299"/>
        <v>0</v>
      </c>
      <c r="O341" s="366">
        <f t="shared" si="299"/>
        <v>0</v>
      </c>
      <c r="P341" s="366">
        <f t="shared" si="299"/>
        <v>850000</v>
      </c>
    </row>
    <row r="342" spans="1:19" ht="93" thickTop="1" thickBot="1" x14ac:dyDescent="0.25">
      <c r="A342" s="339">
        <v>3718710</v>
      </c>
      <c r="B342" s="339">
        <v>8710</v>
      </c>
      <c r="C342" s="893" t="s">
        <v>44</v>
      </c>
      <c r="D342" s="337" t="s">
        <v>798</v>
      </c>
      <c r="E342" s="894">
        <f>F342</f>
        <v>850000</v>
      </c>
      <c r="F342" s="313">
        <f>((3000000)-100000)-900000-1000000-150000</f>
        <v>850000</v>
      </c>
      <c r="G342" s="313"/>
      <c r="H342" s="313"/>
      <c r="I342" s="313"/>
      <c r="J342" s="894">
        <f>L342+O342</f>
        <v>0</v>
      </c>
      <c r="K342" s="313"/>
      <c r="L342" s="313"/>
      <c r="M342" s="313"/>
      <c r="N342" s="313"/>
      <c r="O342" s="896">
        <f>K342</f>
        <v>0</v>
      </c>
      <c r="P342" s="894">
        <f>E342+J342</f>
        <v>850000</v>
      </c>
    </row>
    <row r="343" spans="1:19" ht="47.25" thickTop="1" thickBot="1" x14ac:dyDescent="0.25">
      <c r="A343" s="455" t="s">
        <v>1013</v>
      </c>
      <c r="B343" s="455" t="s">
        <v>861</v>
      </c>
      <c r="C343" s="455"/>
      <c r="D343" s="455" t="s">
        <v>862</v>
      </c>
      <c r="E343" s="894">
        <f>E344</f>
        <v>73303900</v>
      </c>
      <c r="F343" s="894">
        <f t="shared" ref="F343:P344" si="300">F344</f>
        <v>73303900</v>
      </c>
      <c r="G343" s="894">
        <f t="shared" si="300"/>
        <v>0</v>
      </c>
      <c r="H343" s="894">
        <f t="shared" si="300"/>
        <v>0</v>
      </c>
      <c r="I343" s="894">
        <f t="shared" si="300"/>
        <v>0</v>
      </c>
      <c r="J343" s="894">
        <f t="shared" si="300"/>
        <v>0</v>
      </c>
      <c r="K343" s="894">
        <f t="shared" si="300"/>
        <v>0</v>
      </c>
      <c r="L343" s="894">
        <f t="shared" si="300"/>
        <v>0</v>
      </c>
      <c r="M343" s="894">
        <f t="shared" si="300"/>
        <v>0</v>
      </c>
      <c r="N343" s="894">
        <f t="shared" si="300"/>
        <v>0</v>
      </c>
      <c r="O343" s="894">
        <f t="shared" si="300"/>
        <v>0</v>
      </c>
      <c r="P343" s="894">
        <f t="shared" si="300"/>
        <v>73303900</v>
      </c>
    </row>
    <row r="344" spans="1:19" ht="91.5" thickTop="1" thickBot="1" x14ac:dyDescent="0.25">
      <c r="A344" s="472">
        <v>3719100</v>
      </c>
      <c r="B344" s="404" t="s">
        <v>1015</v>
      </c>
      <c r="C344" s="404"/>
      <c r="D344" s="404" t="s">
        <v>1014</v>
      </c>
      <c r="E344" s="366">
        <f>E345</f>
        <v>73303900</v>
      </c>
      <c r="F344" s="366">
        <f t="shared" si="300"/>
        <v>73303900</v>
      </c>
      <c r="G344" s="366">
        <f t="shared" si="300"/>
        <v>0</v>
      </c>
      <c r="H344" s="366">
        <f t="shared" si="300"/>
        <v>0</v>
      </c>
      <c r="I344" s="366">
        <f t="shared" si="300"/>
        <v>0</v>
      </c>
      <c r="J344" s="366">
        <f t="shared" si="300"/>
        <v>0</v>
      </c>
      <c r="K344" s="366">
        <f t="shared" si="300"/>
        <v>0</v>
      </c>
      <c r="L344" s="366">
        <f t="shared" si="300"/>
        <v>0</v>
      </c>
      <c r="M344" s="366">
        <f t="shared" si="300"/>
        <v>0</v>
      </c>
      <c r="N344" s="366">
        <f t="shared" si="300"/>
        <v>0</v>
      </c>
      <c r="O344" s="366">
        <f t="shared" si="300"/>
        <v>0</v>
      </c>
      <c r="P344" s="366">
        <f t="shared" si="300"/>
        <v>73303900</v>
      </c>
    </row>
    <row r="345" spans="1:19" ht="48" thickTop="1" thickBot="1" x14ac:dyDescent="0.25">
      <c r="A345" s="339">
        <v>3719110</v>
      </c>
      <c r="B345" s="339">
        <v>9110</v>
      </c>
      <c r="C345" s="893" t="s">
        <v>45</v>
      </c>
      <c r="D345" s="337" t="s">
        <v>487</v>
      </c>
      <c r="E345" s="894">
        <f>F345</f>
        <v>73303900</v>
      </c>
      <c r="F345" s="313">
        <v>73303900</v>
      </c>
      <c r="G345" s="313"/>
      <c r="H345" s="313"/>
      <c r="I345" s="313"/>
      <c r="J345" s="894">
        <f>L345+O345</f>
        <v>0</v>
      </c>
      <c r="K345" s="313"/>
      <c r="L345" s="313"/>
      <c r="M345" s="313"/>
      <c r="N345" s="313"/>
      <c r="O345" s="896">
        <f>K345</f>
        <v>0</v>
      </c>
      <c r="P345" s="894">
        <f>E345+J345</f>
        <v>73303900</v>
      </c>
    </row>
    <row r="346" spans="1:19" ht="159.75" customHeight="1" thickTop="1" thickBot="1" x14ac:dyDescent="0.25">
      <c r="A346" s="246" t="s">
        <v>408</v>
      </c>
      <c r="B346" s="246" t="s">
        <v>408</v>
      </c>
      <c r="C346" s="246" t="s">
        <v>408</v>
      </c>
      <c r="D346" s="247" t="s">
        <v>418</v>
      </c>
      <c r="E346" s="340">
        <f t="shared" ref="E346:P346" si="301">E17+E42+E184+E83+E107+E164++E259+E281+E335+E301+E314+E326+E289+E230+E211</f>
        <v>2745851606.4799995</v>
      </c>
      <c r="F346" s="340">
        <f t="shared" si="301"/>
        <v>2745851606.4799995</v>
      </c>
      <c r="G346" s="340">
        <f t="shared" si="301"/>
        <v>1447708180.47</v>
      </c>
      <c r="H346" s="340">
        <f t="shared" si="301"/>
        <v>104146614.78999999</v>
      </c>
      <c r="I346" s="340">
        <f t="shared" si="301"/>
        <v>0</v>
      </c>
      <c r="J346" s="340">
        <f t="shared" si="301"/>
        <v>743670007.39999998</v>
      </c>
      <c r="K346" s="340">
        <f t="shared" si="301"/>
        <v>575425627.82999992</v>
      </c>
      <c r="L346" s="340">
        <f t="shared" si="301"/>
        <v>161866675.54000002</v>
      </c>
      <c r="M346" s="340">
        <f t="shared" si="301"/>
        <v>49879832</v>
      </c>
      <c r="N346" s="340">
        <f t="shared" si="301"/>
        <v>10259168</v>
      </c>
      <c r="O346" s="340">
        <f t="shared" si="301"/>
        <v>581803331.86000001</v>
      </c>
      <c r="P346" s="340">
        <f t="shared" si="301"/>
        <v>3489521613.8799996</v>
      </c>
      <c r="Q346" s="38" t="b">
        <f>K346='d6'!J320</f>
        <v>0</v>
      </c>
      <c r="R346" s="38" t="b">
        <f>P346=J346+E346</f>
        <v>1</v>
      </c>
    </row>
    <row r="347" spans="1:19" ht="46.5" thickTop="1" x14ac:dyDescent="0.2">
      <c r="A347" s="1071" t="s">
        <v>542</v>
      </c>
      <c r="B347" s="1072"/>
      <c r="C347" s="1072"/>
      <c r="D347" s="1072"/>
      <c r="E347" s="1072"/>
      <c r="F347" s="1072"/>
      <c r="G347" s="1072"/>
      <c r="H347" s="1072"/>
      <c r="I347" s="1072"/>
      <c r="J347" s="1072"/>
      <c r="K347" s="1072"/>
      <c r="L347" s="1072"/>
      <c r="M347" s="1072"/>
      <c r="N347" s="1072"/>
      <c r="O347" s="1072"/>
      <c r="P347" s="1072"/>
      <c r="Q347" s="203"/>
    </row>
    <row r="348" spans="1:19" ht="60.75" hidden="1" x14ac:dyDescent="0.2">
      <c r="A348" s="905"/>
      <c r="B348" s="906"/>
      <c r="C348" s="906"/>
      <c r="D348" s="906"/>
      <c r="E348" s="78">
        <f>F348</f>
        <v>2745851606.48</v>
      </c>
      <c r="F348" s="78">
        <f>(77438986.82+'d2'!E19+((((2638170564+6058967+642850)-'d4'!F17+'d2'!E28)+16026676.66+1406835-100000)+9712966))+553900</f>
        <v>2745851606.48</v>
      </c>
      <c r="G348" s="78">
        <f>828700-600000+9997450+1414400+359540+((354000+540000+1494859+80242670+1114143912+4186600+68381820+89280550+40854695+37511680)-3284345.53+1122300+879350)</f>
        <v>1447708180.47</v>
      </c>
      <c r="H348" s="78">
        <f>67000+2735067+49875+1431+((6000+3000+20785+3339900+87477970+201540+2063407+3907125+2243165+730080+50000+6058967)-4296997.21+25300+63000-165000-635000+200000)</f>
        <v>104146614.79000001</v>
      </c>
      <c r="I348" s="78">
        <v>0</v>
      </c>
      <c r="J348" s="78">
        <f>(-10623233.82+41402316+((((356021747.58+79713450)+73413409.53-123742.2+22276190+100000)+60000000+70000000)+26383129))+5835403.78+19271337.53</f>
        <v>743670007.39999998</v>
      </c>
      <c r="K348" s="78">
        <f>(-10623233.82+41402316-2300000-1326174+((((356021747.58+79713450)-4201200-630900-155853885)+73413409.53-123742.2-1155966.58-127015.03-854238.96-95000+(22276190-1700000+100000)+60000000+70000000)+26383129))+5835403.78+19271337.53</f>
        <v>575425627.83000004</v>
      </c>
      <c r="L348" s="78">
        <f>-230522+1326174+((4201200-49000)+630900+(155853885-1788820-106000))+78600-9947+1155966.58+854238.96-50000</f>
        <v>161866675.54000002</v>
      </c>
      <c r="M348" s="78">
        <f>332110+14400+(866362+41217060+104000+7345900)</f>
        <v>49879832</v>
      </c>
      <c r="N348" s="78">
        <f>920000-18400+(308978+8654190+137000+257400)</f>
        <v>10259168</v>
      </c>
      <c r="O348" s="78">
        <f>(-10623233.82+41402316-2300000-1326174+2530522+((((356021747.58+79713450)-(4201200-49000)-630900-(155853885-1788820-106000))+16400+9947+(73413409.53-123742.2-95000-1155966.58-854238.96)+50000+(22276190+100000)+60000000+70000000)+26383129))+5835403.78+19271337.53</f>
        <v>581803331.8599999</v>
      </c>
      <c r="P348" s="78">
        <f>((((2994192311.58+6058967+80356300)-'d4'!F20+'d2'!E28+(89440086.19-123742.2)+23683025+60000000+70000000)+36096095)+118841302.82+'d2'!E19-10623233.82)+4665403.78+1170000+19825237.53</f>
        <v>3489521613.8800001</v>
      </c>
      <c r="Q348" s="38" t="b">
        <f>E348+J348=P348</f>
        <v>1</v>
      </c>
      <c r="R348" s="203"/>
    </row>
    <row r="349" spans="1:19" s="505" customFormat="1" ht="60.75" x14ac:dyDescent="0.2">
      <c r="A349" s="659"/>
      <c r="B349" s="660"/>
      <c r="C349" s="660"/>
      <c r="D349" s="660"/>
      <c r="E349" s="661"/>
      <c r="F349" s="661"/>
      <c r="G349" s="661"/>
      <c r="H349" s="661"/>
      <c r="I349" s="661"/>
      <c r="J349" s="661"/>
      <c r="K349" s="661"/>
      <c r="L349" s="661"/>
      <c r="M349" s="661"/>
      <c r="N349" s="661"/>
      <c r="O349" s="661"/>
      <c r="P349" s="661"/>
      <c r="Q349" s="662"/>
      <c r="R349" s="663"/>
    </row>
    <row r="350" spans="1:19" ht="75.75" customHeight="1" x14ac:dyDescent="0.65">
      <c r="A350" s="905"/>
      <c r="B350" s="906"/>
      <c r="C350" s="906"/>
      <c r="D350" s="908" t="s">
        <v>1280</v>
      </c>
      <c r="E350" s="658"/>
      <c r="F350" s="891"/>
      <c r="G350" s="658"/>
      <c r="H350" s="658"/>
      <c r="I350" s="123"/>
      <c r="J350" s="123"/>
      <c r="K350" s="658" t="s">
        <v>1211</v>
      </c>
      <c r="L350" s="123"/>
      <c r="M350" s="123"/>
      <c r="N350" s="123"/>
      <c r="O350" s="123"/>
      <c r="P350" s="123"/>
      <c r="Q350" s="203"/>
    </row>
    <row r="351" spans="1:19" ht="12.75" customHeight="1" x14ac:dyDescent="0.65">
      <c r="A351" s="905"/>
      <c r="B351" s="906"/>
      <c r="C351" s="906"/>
      <c r="D351" s="1004"/>
      <c r="E351" s="1004"/>
      <c r="F351" s="1004"/>
      <c r="G351" s="1004"/>
      <c r="H351" s="1004"/>
      <c r="I351" s="1004"/>
      <c r="J351" s="1004"/>
      <c r="K351" s="1004"/>
      <c r="L351" s="1004"/>
      <c r="M351" s="1004"/>
      <c r="N351" s="1004"/>
      <c r="O351" s="1004"/>
      <c r="P351" s="1004"/>
      <c r="Q351" s="203"/>
    </row>
    <row r="352" spans="1:19" ht="46.5" thickBot="1" x14ac:dyDescent="0.7">
      <c r="A352" s="905"/>
      <c r="B352" s="906"/>
      <c r="C352" s="906"/>
      <c r="D352" s="144" t="s">
        <v>606</v>
      </c>
      <c r="E352" s="891"/>
      <c r="F352" s="891"/>
      <c r="G352" s="891"/>
      <c r="H352" s="144"/>
      <c r="I352" s="123"/>
      <c r="J352" s="123"/>
      <c r="K352" s="144" t="s">
        <v>607</v>
      </c>
      <c r="L352" s="123"/>
      <c r="M352" s="123"/>
      <c r="N352" s="123"/>
      <c r="O352" s="123"/>
      <c r="P352" s="123"/>
      <c r="Q352" s="203"/>
    </row>
    <row r="353" spans="1:18" ht="47.25" thickTop="1" thickBot="1" x14ac:dyDescent="0.7">
      <c r="A353" s="902"/>
      <c r="B353" s="902"/>
      <c r="C353" s="902"/>
      <c r="D353" s="1004"/>
      <c r="E353" s="1004"/>
      <c r="F353" s="1004"/>
      <c r="G353" s="1004"/>
      <c r="H353" s="1004"/>
      <c r="I353" s="1004"/>
      <c r="J353" s="1004"/>
      <c r="K353" s="1004"/>
      <c r="L353" s="1004"/>
      <c r="M353" s="1004"/>
      <c r="N353" s="1004"/>
      <c r="O353" s="1004"/>
      <c r="P353" s="1004"/>
      <c r="Q353" s="340"/>
    </row>
    <row r="354" spans="1:18" ht="150.75" hidden="1" customHeight="1" x14ac:dyDescent="0.65">
      <c r="D354" s="1004" t="s">
        <v>608</v>
      </c>
      <c r="E354" s="1004"/>
      <c r="F354" s="1004"/>
      <c r="G354" s="1004"/>
      <c r="H354" s="1004"/>
      <c r="I354" s="1004"/>
      <c r="J354" s="1004"/>
      <c r="K354" s="1004"/>
      <c r="L354" s="1004"/>
      <c r="M354" s="1004"/>
      <c r="N354" s="1004"/>
      <c r="O354" s="1004"/>
      <c r="P354" s="1004"/>
    </row>
    <row r="355" spans="1:18" ht="95.25" customHeight="1" thickTop="1" x14ac:dyDescent="0.55000000000000004">
      <c r="G355" s="292"/>
      <c r="H355" s="292"/>
      <c r="Q355" s="195"/>
    </row>
    <row r="356" spans="1:18" hidden="1" x14ac:dyDescent="0.2">
      <c r="E356" s="4"/>
      <c r="F356" s="3"/>
      <c r="G356" s="292"/>
      <c r="H356" s="292"/>
      <c r="J356" s="4"/>
      <c r="K356" s="4"/>
    </row>
    <row r="357" spans="1:18" hidden="1" x14ac:dyDescent="0.2">
      <c r="E357" s="4"/>
      <c r="F357" s="3"/>
      <c r="G357" s="292"/>
      <c r="H357" s="292"/>
      <c r="J357" s="4"/>
      <c r="K357" s="4"/>
    </row>
    <row r="358" spans="1:18" ht="60.75" x14ac:dyDescent="0.2">
      <c r="E358" s="38" t="b">
        <f>E348=E346</f>
        <v>1</v>
      </c>
      <c r="F358" s="38" t="b">
        <f>F348=F346</f>
        <v>1</v>
      </c>
      <c r="G358" s="38" t="b">
        <f>G348=G346</f>
        <v>1</v>
      </c>
      <c r="H358" s="38" t="b">
        <f t="shared" ref="H358:O358" si="302">H348=H346</f>
        <v>1</v>
      </c>
      <c r="I358" s="38" t="b">
        <f>I348=I346</f>
        <v>1</v>
      </c>
      <c r="J358" s="38" t="b">
        <f>J348=J346</f>
        <v>1</v>
      </c>
      <c r="K358" s="38" t="b">
        <f>K348=K346</f>
        <v>1</v>
      </c>
      <c r="L358" s="38" t="b">
        <f t="shared" si="302"/>
        <v>1</v>
      </c>
      <c r="M358" s="38" t="b">
        <f t="shared" si="302"/>
        <v>1</v>
      </c>
      <c r="N358" s="38" t="b">
        <f t="shared" si="302"/>
        <v>1</v>
      </c>
      <c r="O358" s="38" t="b">
        <f t="shared" si="302"/>
        <v>1</v>
      </c>
      <c r="P358" s="38" t="b">
        <f>P348=P346</f>
        <v>1</v>
      </c>
    </row>
    <row r="359" spans="1:18" ht="61.5" x14ac:dyDescent="0.2">
      <c r="E359" s="38" t="b">
        <f>E346=F346</f>
        <v>1</v>
      </c>
      <c r="F359" s="886">
        <f>F342/E346*100</f>
        <v>3.0955787923646897E-2</v>
      </c>
      <c r="G359" s="887" t="s">
        <v>343</v>
      </c>
      <c r="H359" s="296"/>
      <c r="I359" s="126"/>
      <c r="J359" s="38" t="b">
        <f>J348=L348+O348</f>
        <v>1</v>
      </c>
      <c r="K359" s="127"/>
      <c r="L359" s="38"/>
      <c r="M359" s="126"/>
      <c r="N359" s="126"/>
      <c r="O359" s="38"/>
      <c r="P359" s="38" t="b">
        <f>E346+J346=P346</f>
        <v>1</v>
      </c>
    </row>
    <row r="360" spans="1:18" ht="60.75" x14ac:dyDescent="0.2">
      <c r="E360" s="128"/>
      <c r="F360" s="129"/>
      <c r="G360" s="128"/>
      <c r="H360" s="297"/>
      <c r="I360" s="128"/>
      <c r="J360" s="4"/>
      <c r="K360" s="4"/>
    </row>
    <row r="361" spans="1:18" ht="61.5" x14ac:dyDescent="0.2">
      <c r="A361" s="889"/>
      <c r="B361" s="889"/>
      <c r="C361" s="889"/>
      <c r="D361" s="6"/>
      <c r="E361" s="889"/>
      <c r="F361" s="45">
        <f>F342/P346*100</f>
        <v>2.4358639780851933E-2</v>
      </c>
      <c r="G361" s="45" t="s">
        <v>343</v>
      </c>
      <c r="H361" s="296"/>
      <c r="I361" s="6"/>
      <c r="J361" s="48">
        <f>J346-J348</f>
        <v>0</v>
      </c>
      <c r="K361" s="48">
        <f>K346-K348</f>
        <v>0</v>
      </c>
      <c r="L361" s="48"/>
      <c r="M361" s="48"/>
      <c r="N361" s="48"/>
      <c r="O361" s="48">
        <f>O346-O348</f>
        <v>0</v>
      </c>
      <c r="P361" s="48"/>
    </row>
    <row r="362" spans="1:18" ht="61.5" x14ac:dyDescent="0.2">
      <c r="D362" s="6"/>
      <c r="E362" s="48"/>
      <c r="F362" s="130"/>
      <c r="G362" s="38"/>
      <c r="H362" s="296"/>
      <c r="I362" s="6"/>
      <c r="J362" s="48"/>
      <c r="K362" s="48"/>
      <c r="L362" s="102"/>
      <c r="P362" s="38"/>
      <c r="Q362" s="199"/>
      <c r="R362" s="202"/>
    </row>
    <row r="363" spans="1:18" ht="60.75" x14ac:dyDescent="0.2">
      <c r="A363" s="889"/>
      <c r="B363" s="889"/>
      <c r="C363" s="889"/>
      <c r="D363" s="6"/>
      <c r="E363" s="124"/>
      <c r="F363" s="124">
        <f>F348-F346</f>
        <v>0</v>
      </c>
      <c r="G363" s="124"/>
      <c r="H363" s="124"/>
      <c r="I363" s="131"/>
      <c r="J363" s="124"/>
      <c r="K363" s="124"/>
      <c r="L363" s="124"/>
      <c r="M363" s="124"/>
      <c r="N363" s="124"/>
      <c r="O363" s="124"/>
      <c r="P363" s="124"/>
      <c r="Q363" s="199"/>
      <c r="R363" s="202"/>
    </row>
    <row r="364" spans="1:18" ht="60.75" x14ac:dyDescent="0.2">
      <c r="D364" s="6"/>
      <c r="E364" s="48"/>
      <c r="F364" s="68"/>
      <c r="G364" s="264"/>
      <c r="O364" s="38"/>
      <c r="P364" s="38"/>
    </row>
    <row r="365" spans="1:18" ht="60.75" x14ac:dyDescent="0.2">
      <c r="A365" s="889"/>
      <c r="B365" s="889"/>
      <c r="C365" s="889"/>
      <c r="D365" s="6"/>
      <c r="E365" s="48"/>
      <c r="F365" s="45"/>
      <c r="G365" s="102"/>
      <c r="I365" s="138"/>
      <c r="J365" s="4"/>
      <c r="K365" s="4"/>
      <c r="L365" s="889"/>
      <c r="M365" s="889"/>
      <c r="N365" s="889"/>
      <c r="O365" s="889"/>
      <c r="P365" s="38"/>
    </row>
    <row r="366" spans="1:18" ht="62.25" x14ac:dyDescent="0.8">
      <c r="A366" s="889"/>
      <c r="B366" s="889"/>
      <c r="C366" s="889"/>
      <c r="D366" s="889"/>
      <c r="E366" s="9"/>
      <c r="F366" s="45"/>
      <c r="J366" s="4"/>
      <c r="K366" s="4"/>
      <c r="L366" s="889"/>
      <c r="M366" s="889"/>
      <c r="N366" s="889"/>
      <c r="O366" s="889"/>
      <c r="P366" s="50"/>
    </row>
    <row r="367" spans="1:18" ht="45.75" x14ac:dyDescent="0.2">
      <c r="E367" s="103">
        <f>E342/E346</f>
        <v>3.0955787923646897E-4</v>
      </c>
      <c r="F367" s="68"/>
    </row>
    <row r="368" spans="1:18" ht="45.75" x14ac:dyDescent="0.2">
      <c r="A368" s="889"/>
      <c r="B368" s="889"/>
      <c r="C368" s="889"/>
      <c r="D368" s="889"/>
      <c r="E368" s="9"/>
      <c r="F368" s="45"/>
      <c r="L368" s="889"/>
      <c r="M368" s="889"/>
      <c r="N368" s="889"/>
      <c r="O368" s="889"/>
      <c r="P368" s="889"/>
    </row>
    <row r="369" spans="1:16" ht="45.75" x14ac:dyDescent="0.2">
      <c r="E369" s="10"/>
      <c r="F369" s="68"/>
    </row>
    <row r="370" spans="1:16" ht="45.75" x14ac:dyDescent="0.2">
      <c r="E370" s="10"/>
      <c r="F370" s="68"/>
    </row>
    <row r="371" spans="1:16" ht="45.75" x14ac:dyDescent="0.2">
      <c r="E371" s="10"/>
      <c r="F371" s="68"/>
    </row>
    <row r="372" spans="1:16" ht="45.75" x14ac:dyDescent="0.2">
      <c r="A372" s="889"/>
      <c r="B372" s="889"/>
      <c r="C372" s="889"/>
      <c r="D372" s="889"/>
      <c r="E372" s="10"/>
      <c r="F372" s="68"/>
      <c r="G372" s="889"/>
      <c r="H372" s="889"/>
      <c r="I372" s="889"/>
      <c r="J372" s="889"/>
      <c r="K372" s="889"/>
      <c r="L372" s="889"/>
      <c r="M372" s="889"/>
      <c r="N372" s="889"/>
      <c r="O372" s="889"/>
      <c r="P372" s="889"/>
    </row>
    <row r="373" spans="1:16" ht="45.75" x14ac:dyDescent="0.2">
      <c r="A373" s="889"/>
      <c r="B373" s="889"/>
      <c r="C373" s="889"/>
      <c r="D373" s="889"/>
      <c r="E373" s="10"/>
      <c r="F373" s="68"/>
      <c r="G373" s="889"/>
      <c r="H373" s="889"/>
      <c r="I373" s="889"/>
      <c r="J373" s="889"/>
      <c r="K373" s="889"/>
      <c r="L373" s="889"/>
      <c r="M373" s="889"/>
      <c r="N373" s="889"/>
      <c r="O373" s="889"/>
      <c r="P373" s="889"/>
    </row>
    <row r="374" spans="1:16" ht="45.75" x14ac:dyDescent="0.2">
      <c r="A374" s="889"/>
      <c r="B374" s="889"/>
      <c r="C374" s="889"/>
      <c r="D374" s="889"/>
      <c r="E374" s="10"/>
      <c r="F374" s="68"/>
      <c r="G374" s="889"/>
      <c r="H374" s="889"/>
      <c r="I374" s="889"/>
      <c r="J374" s="889"/>
      <c r="K374" s="889"/>
      <c r="L374" s="889"/>
      <c r="M374" s="889"/>
      <c r="N374" s="889"/>
      <c r="O374" s="889"/>
      <c r="P374" s="889"/>
    </row>
    <row r="375" spans="1:16" ht="45.75" x14ac:dyDescent="0.2">
      <c r="A375" s="889"/>
      <c r="B375" s="889"/>
      <c r="C375" s="889"/>
      <c r="D375" s="889"/>
      <c r="E375" s="10"/>
      <c r="F375" s="68"/>
      <c r="G375" s="889"/>
      <c r="H375" s="889"/>
      <c r="I375" s="889"/>
      <c r="J375" s="889"/>
      <c r="K375" s="889"/>
      <c r="L375" s="889"/>
      <c r="M375" s="889"/>
      <c r="N375" s="889"/>
      <c r="O375" s="889"/>
      <c r="P375" s="889"/>
    </row>
  </sheetData>
  <mergeCells count="198">
    <mergeCell ref="A10:B10"/>
    <mergeCell ref="A12:A14"/>
    <mergeCell ref="B12:B14"/>
    <mergeCell ref="C12:C14"/>
    <mergeCell ref="D12:D14"/>
    <mergeCell ref="E12:I12"/>
    <mergeCell ref="N2:Q2"/>
    <mergeCell ref="N3:Q3"/>
    <mergeCell ref="O4:P4"/>
    <mergeCell ref="A6:P6"/>
    <mergeCell ref="A7:P7"/>
    <mergeCell ref="A9:B9"/>
    <mergeCell ref="J12:O12"/>
    <mergeCell ref="P12:P14"/>
    <mergeCell ref="E13:E14"/>
    <mergeCell ref="F13:F14"/>
    <mergeCell ref="G13:H13"/>
    <mergeCell ref="I13:I14"/>
    <mergeCell ref="J13:J14"/>
    <mergeCell ref="K13:K14"/>
    <mergeCell ref="L13:L14"/>
    <mergeCell ref="M13:N13"/>
    <mergeCell ref="K30:K31"/>
    <mergeCell ref="L30:L31"/>
    <mergeCell ref="M30:M31"/>
    <mergeCell ref="N30:N31"/>
    <mergeCell ref="O30:O31"/>
    <mergeCell ref="P30:P31"/>
    <mergeCell ref="O13:O14"/>
    <mergeCell ref="A30:A31"/>
    <mergeCell ref="B30:B31"/>
    <mergeCell ref="C30:C31"/>
    <mergeCell ref="E30:E31"/>
    <mergeCell ref="F30:F31"/>
    <mergeCell ref="G30:G31"/>
    <mergeCell ref="H30:H31"/>
    <mergeCell ref="I30:I31"/>
    <mergeCell ref="J30:J31"/>
    <mergeCell ref="N51:N52"/>
    <mergeCell ref="O51:O52"/>
    <mergeCell ref="P51:P52"/>
    <mergeCell ref="A70:A71"/>
    <mergeCell ref="B70:B71"/>
    <mergeCell ref="C70:C71"/>
    <mergeCell ref="D70:D71"/>
    <mergeCell ref="E70:E71"/>
    <mergeCell ref="F70:F71"/>
    <mergeCell ref="G70:G71"/>
    <mergeCell ref="H51:H52"/>
    <mergeCell ref="I51:I52"/>
    <mergeCell ref="J51:J52"/>
    <mergeCell ref="K51:K52"/>
    <mergeCell ref="L51:L52"/>
    <mergeCell ref="M51:M52"/>
    <mergeCell ref="A51:A52"/>
    <mergeCell ref="B51:B52"/>
    <mergeCell ref="C51:C52"/>
    <mergeCell ref="E51:E52"/>
    <mergeCell ref="F51:F52"/>
    <mergeCell ref="G51:G52"/>
    <mergeCell ref="N70:N71"/>
    <mergeCell ref="O70:O71"/>
    <mergeCell ref="P70:P71"/>
    <mergeCell ref="A135:A137"/>
    <mergeCell ref="B135:B137"/>
    <mergeCell ref="C135:C137"/>
    <mergeCell ref="E135:E137"/>
    <mergeCell ref="F135:F137"/>
    <mergeCell ref="G135:G137"/>
    <mergeCell ref="H135:H137"/>
    <mergeCell ref="H70:H71"/>
    <mergeCell ref="I70:I71"/>
    <mergeCell ref="J70:J71"/>
    <mergeCell ref="K70:K71"/>
    <mergeCell ref="L70:L71"/>
    <mergeCell ref="M70:M71"/>
    <mergeCell ref="O135:O137"/>
    <mergeCell ref="P135:P137"/>
    <mergeCell ref="R135:R137"/>
    <mergeCell ref="A138:A141"/>
    <mergeCell ref="B138:B141"/>
    <mergeCell ref="C138:C141"/>
    <mergeCell ref="E138:E141"/>
    <mergeCell ref="F138:F141"/>
    <mergeCell ref="G138:G141"/>
    <mergeCell ref="I135:I137"/>
    <mergeCell ref="J135:J137"/>
    <mergeCell ref="K135:K137"/>
    <mergeCell ref="L135:L137"/>
    <mergeCell ref="M135:M137"/>
    <mergeCell ref="N135:N137"/>
    <mergeCell ref="N138:N141"/>
    <mergeCell ref="O138:O141"/>
    <mergeCell ref="P138:P141"/>
    <mergeCell ref="R138:R141"/>
    <mergeCell ref="K138:K141"/>
    <mergeCell ref="L138:L141"/>
    <mergeCell ref="M138:M141"/>
    <mergeCell ref="F142:F144"/>
    <mergeCell ref="G142:G144"/>
    <mergeCell ref="H138:H141"/>
    <mergeCell ref="I138:I141"/>
    <mergeCell ref="J138:J141"/>
    <mergeCell ref="Q135:Q137"/>
    <mergeCell ref="N142:N144"/>
    <mergeCell ref="O142:O144"/>
    <mergeCell ref="P142:P144"/>
    <mergeCell ref="R142:R144"/>
    <mergeCell ref="A145:A147"/>
    <mergeCell ref="B145:B147"/>
    <mergeCell ref="C145:C147"/>
    <mergeCell ref="E145:E147"/>
    <mergeCell ref="F145:F147"/>
    <mergeCell ref="G145:G147"/>
    <mergeCell ref="H142:H144"/>
    <mergeCell ref="I142:I144"/>
    <mergeCell ref="J142:J144"/>
    <mergeCell ref="K142:K144"/>
    <mergeCell ref="L142:L144"/>
    <mergeCell ref="M142:M144"/>
    <mergeCell ref="N145:N147"/>
    <mergeCell ref="O145:O147"/>
    <mergeCell ref="P145:P147"/>
    <mergeCell ref="R145:R147"/>
    <mergeCell ref="K145:K147"/>
    <mergeCell ref="L145:L147"/>
    <mergeCell ref="M145:M147"/>
    <mergeCell ref="A142:A144"/>
    <mergeCell ref="B142:B144"/>
    <mergeCell ref="C142:C144"/>
    <mergeCell ref="E142:E144"/>
    <mergeCell ref="A161:A162"/>
    <mergeCell ref="B161:B162"/>
    <mergeCell ref="C161:C162"/>
    <mergeCell ref="E161:E162"/>
    <mergeCell ref="F161:F162"/>
    <mergeCell ref="G161:G162"/>
    <mergeCell ref="H145:H147"/>
    <mergeCell ref="I145:I147"/>
    <mergeCell ref="J145:J147"/>
    <mergeCell ref="I227:I228"/>
    <mergeCell ref="N161:N162"/>
    <mergeCell ref="O161:O162"/>
    <mergeCell ref="P161:P162"/>
    <mergeCell ref="A227:A228"/>
    <mergeCell ref="B227:B228"/>
    <mergeCell ref="C227:C228"/>
    <mergeCell ref="E227:E228"/>
    <mergeCell ref="F227:F228"/>
    <mergeCell ref="G227:G228"/>
    <mergeCell ref="H227:H228"/>
    <mergeCell ref="H161:H162"/>
    <mergeCell ref="I161:I162"/>
    <mergeCell ref="J161:J162"/>
    <mergeCell ref="K161:K162"/>
    <mergeCell ref="L161:L162"/>
    <mergeCell ref="M161:M162"/>
    <mergeCell ref="O227:O228"/>
    <mergeCell ref="P227:P228"/>
    <mergeCell ref="J227:J228"/>
    <mergeCell ref="K227:K228"/>
    <mergeCell ref="L227:L228"/>
    <mergeCell ref="M227:M228"/>
    <mergeCell ref="N227:N228"/>
    <mergeCell ref="P251:P252"/>
    <mergeCell ref="A278:A279"/>
    <mergeCell ref="B278:B279"/>
    <mergeCell ref="C278:C279"/>
    <mergeCell ref="E278:E279"/>
    <mergeCell ref="F278:F279"/>
    <mergeCell ref="G278:G279"/>
    <mergeCell ref="H278:H279"/>
    <mergeCell ref="I278:I279"/>
    <mergeCell ref="J278:J279"/>
    <mergeCell ref="J251:J252"/>
    <mergeCell ref="K251:K252"/>
    <mergeCell ref="L251:L252"/>
    <mergeCell ref="M251:M252"/>
    <mergeCell ref="N251:N252"/>
    <mergeCell ref="O251:O252"/>
    <mergeCell ref="A251:A252"/>
    <mergeCell ref="B251:B252"/>
    <mergeCell ref="C251:C252"/>
    <mergeCell ref="E251:E252"/>
    <mergeCell ref="F251:F252"/>
    <mergeCell ref="G251:G252"/>
    <mergeCell ref="H251:H252"/>
    <mergeCell ref="I251:I252"/>
    <mergeCell ref="A347:P347"/>
    <mergeCell ref="D351:P351"/>
    <mergeCell ref="D353:P353"/>
    <mergeCell ref="D354:P354"/>
    <mergeCell ref="K278:K279"/>
    <mergeCell ref="L278:L279"/>
    <mergeCell ref="M278:M279"/>
    <mergeCell ref="N278:N279"/>
    <mergeCell ref="O278:O279"/>
    <mergeCell ref="P278:P279"/>
  </mergeCells>
  <conditionalFormatting sqref="Q335:Q336 Q338:R339 R337:S337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R328:R330 Q326:R327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R336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Q301:R305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Q291:Q299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R291:R299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Q289:Q290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R289:R290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R281:R282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Q281:Q287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R283:R287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R314:R315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R316:R320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Q314:Q320"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R306:R312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Q321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Q323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Q324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Q322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Q337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35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31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33">
    <cfRule type="iconSet" priority="1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horizontalDpi="4294967295" verticalDpi="4294967295" r:id="rId1"/>
  <headerFooter alignWithMargins="0">
    <oddFooter>&amp;C&amp;"Times New Roman Cyr,курсив"Сторінка &amp;P з &amp;N</oddFooter>
  </headerFooter>
  <rowBreaks count="3" manualBreakCount="3">
    <brk id="36" max="15" man="1"/>
    <brk id="69" max="15" man="1"/>
    <brk id="271" max="1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FF"/>
  </sheetPr>
  <dimension ref="A2:T357"/>
  <sheetViews>
    <sheetView view="pageBreakPreview" zoomScale="25" zoomScaleNormal="25" zoomScaleSheetLayoutView="25" zoomScalePageLayoutView="10" workbookViewId="0">
      <pane ySplit="15" topLeftCell="A280" activePane="bottomLeft" state="frozen"/>
      <selection activeCell="C121" sqref="C121"/>
      <selection pane="bottomLeft" activeCell="C121" sqref="C121"/>
    </sheetView>
  </sheetViews>
  <sheetFormatPr defaultColWidth="9.140625" defaultRowHeight="12.75" x14ac:dyDescent="0.2"/>
  <cols>
    <col min="1" max="1" width="48" style="1" customWidth="1"/>
    <col min="2" max="2" width="52.5703125" style="1" customWidth="1"/>
    <col min="3" max="3" width="65.7109375" style="1" customWidth="1"/>
    <col min="4" max="4" width="106.28515625" style="1" customWidth="1"/>
    <col min="5" max="5" width="66.42578125" style="5" customWidth="1"/>
    <col min="6" max="6" width="62.5703125" style="1" customWidth="1"/>
    <col min="7" max="7" width="59.7109375" style="1" customWidth="1"/>
    <col min="8" max="8" width="48.140625" style="1" customWidth="1"/>
    <col min="9" max="9" width="41.85546875" style="1" customWidth="1"/>
    <col min="10" max="10" width="50.5703125" style="5" customWidth="1"/>
    <col min="11" max="11" width="52.5703125" style="5" customWidth="1"/>
    <col min="12" max="12" width="56.140625" style="1" customWidth="1"/>
    <col min="13" max="13" width="54.85546875" style="1" customWidth="1"/>
    <col min="14" max="14" width="45.28515625" style="1" bestFit="1" customWidth="1"/>
    <col min="15" max="15" width="56.140625" style="1" bestFit="1" customWidth="1"/>
    <col min="16" max="16" width="86.28515625" style="5" customWidth="1"/>
    <col min="17" max="17" width="52.140625" style="934" customWidth="1"/>
    <col min="18" max="18" width="33.85546875" style="934" customWidth="1"/>
    <col min="19" max="19" width="25.85546875" style="912" bestFit="1" customWidth="1"/>
    <col min="20" max="20" width="43.5703125" style="912" bestFit="1" customWidth="1"/>
    <col min="21" max="16384" width="9.140625" style="912"/>
  </cols>
  <sheetData>
    <row r="2" spans="1:18" ht="45.75" x14ac:dyDescent="0.2">
      <c r="D2" s="923"/>
      <c r="E2" s="924"/>
      <c r="F2" s="922"/>
      <c r="G2" s="924"/>
      <c r="H2" s="924"/>
      <c r="I2" s="924"/>
      <c r="J2" s="924"/>
      <c r="K2" s="924"/>
      <c r="L2" s="924"/>
      <c r="M2" s="924"/>
      <c r="N2" s="1059" t="s">
        <v>538</v>
      </c>
      <c r="O2" s="1001"/>
      <c r="P2" s="1001"/>
      <c r="Q2" s="1001"/>
    </row>
    <row r="3" spans="1:18" ht="45.75" x14ac:dyDescent="0.2">
      <c r="A3" s="923"/>
      <c r="B3" s="923"/>
      <c r="C3" s="923"/>
      <c r="D3" s="923"/>
      <c r="E3" s="924"/>
      <c r="F3" s="922"/>
      <c r="G3" s="924"/>
      <c r="H3" s="924"/>
      <c r="I3" s="924"/>
      <c r="J3" s="924"/>
      <c r="K3" s="924"/>
      <c r="L3" s="924"/>
      <c r="M3" s="924"/>
      <c r="N3" s="1059" t="s">
        <v>1255</v>
      </c>
      <c r="O3" s="1060"/>
      <c r="P3" s="1060"/>
      <c r="Q3" s="1060"/>
    </row>
    <row r="4" spans="1:18" ht="40.700000000000003" customHeight="1" x14ac:dyDescent="0.2">
      <c r="A4" s="923"/>
      <c r="B4" s="923"/>
      <c r="C4" s="923"/>
      <c r="D4" s="923"/>
      <c r="E4" s="924"/>
      <c r="F4" s="922"/>
      <c r="G4" s="924"/>
      <c r="H4" s="924"/>
      <c r="I4" s="924"/>
      <c r="J4" s="924"/>
      <c r="K4" s="924"/>
      <c r="L4" s="924"/>
      <c r="M4" s="924"/>
      <c r="N4" s="924"/>
      <c r="O4" s="1059"/>
      <c r="P4" s="1061"/>
    </row>
    <row r="5" spans="1:18" ht="45.75" hidden="1" x14ac:dyDescent="0.2">
      <c r="A5" s="923"/>
      <c r="B5" s="923"/>
      <c r="C5" s="923"/>
      <c r="D5" s="923"/>
      <c r="E5" s="924"/>
      <c r="F5" s="922"/>
      <c r="G5" s="924"/>
      <c r="H5" s="924"/>
      <c r="I5" s="924"/>
      <c r="J5" s="924"/>
      <c r="K5" s="924"/>
      <c r="L5" s="924"/>
      <c r="M5" s="924"/>
      <c r="N5" s="924"/>
      <c r="O5" s="923"/>
      <c r="P5" s="922"/>
    </row>
    <row r="6" spans="1:18" ht="45" x14ac:dyDescent="0.2">
      <c r="A6" s="1062" t="s">
        <v>680</v>
      </c>
      <c r="B6" s="1062"/>
      <c r="C6" s="1062"/>
      <c r="D6" s="1062"/>
      <c r="E6" s="1062"/>
      <c r="F6" s="1062"/>
      <c r="G6" s="1062"/>
      <c r="H6" s="1062"/>
      <c r="I6" s="1062"/>
      <c r="J6" s="1062"/>
      <c r="K6" s="1062"/>
      <c r="L6" s="1062"/>
      <c r="M6" s="1062"/>
      <c r="N6" s="1062"/>
      <c r="O6" s="1062"/>
      <c r="P6" s="1062"/>
    </row>
    <row r="7" spans="1:18" ht="45" x14ac:dyDescent="0.2">
      <c r="A7" s="1062" t="s">
        <v>679</v>
      </c>
      <c r="B7" s="1062"/>
      <c r="C7" s="1062"/>
      <c r="D7" s="1062"/>
      <c r="E7" s="1062"/>
      <c r="F7" s="1062"/>
      <c r="G7" s="1062"/>
      <c r="H7" s="1062"/>
      <c r="I7" s="1062"/>
      <c r="J7" s="1062"/>
      <c r="K7" s="1062"/>
      <c r="L7" s="1062"/>
      <c r="M7" s="1062"/>
      <c r="N7" s="1062"/>
      <c r="O7" s="1062"/>
      <c r="P7" s="1062"/>
    </row>
    <row r="8" spans="1:18" ht="45" x14ac:dyDescent="0.2">
      <c r="A8" s="924"/>
      <c r="B8" s="924"/>
      <c r="C8" s="924"/>
      <c r="D8" s="924"/>
      <c r="E8" s="924"/>
      <c r="F8" s="924"/>
      <c r="G8" s="924"/>
      <c r="H8" s="924"/>
      <c r="I8" s="924"/>
      <c r="J8" s="924"/>
      <c r="K8" s="924"/>
      <c r="L8" s="924"/>
      <c r="M8" s="924"/>
      <c r="N8" s="924"/>
      <c r="O8" s="924"/>
      <c r="P8" s="924"/>
    </row>
    <row r="9" spans="1:18" ht="45.75" x14ac:dyDescent="0.65">
      <c r="A9" s="1063">
        <v>22564000000</v>
      </c>
      <c r="B9" s="1064"/>
      <c r="C9" s="924"/>
      <c r="D9" s="924"/>
      <c r="E9" s="924"/>
      <c r="F9" s="924"/>
      <c r="G9" s="924"/>
      <c r="H9" s="924"/>
      <c r="I9" s="924"/>
      <c r="J9" s="924"/>
      <c r="K9" s="924"/>
      <c r="L9" s="924"/>
      <c r="M9" s="924"/>
      <c r="N9" s="924"/>
      <c r="O9" s="924"/>
      <c r="P9" s="924"/>
    </row>
    <row r="10" spans="1:18" ht="45.75" x14ac:dyDescent="0.2">
      <c r="A10" s="1068" t="s">
        <v>535</v>
      </c>
      <c r="B10" s="1069"/>
      <c r="C10" s="924"/>
      <c r="D10" s="924"/>
      <c r="E10" s="924"/>
      <c r="F10" s="924"/>
      <c r="G10" s="924"/>
      <c r="H10" s="924"/>
      <c r="I10" s="924"/>
      <c r="J10" s="924"/>
      <c r="K10" s="924"/>
      <c r="L10" s="924"/>
      <c r="M10" s="924"/>
      <c r="N10" s="924"/>
      <c r="O10" s="924"/>
      <c r="P10" s="924"/>
    </row>
    <row r="11" spans="1:18" ht="53.45" customHeight="1" thickBot="1" x14ac:dyDescent="0.25">
      <c r="A11" s="924"/>
      <c r="B11" s="924"/>
      <c r="C11" s="924"/>
      <c r="D11" s="924"/>
      <c r="E11" s="924"/>
      <c r="F11" s="922"/>
      <c r="G11" s="924"/>
      <c r="H11" s="924"/>
      <c r="I11" s="924"/>
      <c r="J11" s="924"/>
      <c r="K11" s="924"/>
      <c r="L11" s="924"/>
      <c r="M11" s="924"/>
      <c r="N11" s="924"/>
      <c r="O11" s="924"/>
      <c r="P11" s="6" t="s">
        <v>431</v>
      </c>
    </row>
    <row r="12" spans="1:18" ht="62.45" customHeight="1" thickTop="1" thickBot="1" x14ac:dyDescent="0.25">
      <c r="A12" s="1067" t="s">
        <v>536</v>
      </c>
      <c r="B12" s="1067" t="s">
        <v>537</v>
      </c>
      <c r="C12" s="1067" t="s">
        <v>417</v>
      </c>
      <c r="D12" s="1067" t="s">
        <v>691</v>
      </c>
      <c r="E12" s="1065" t="s">
        <v>12</v>
      </c>
      <c r="F12" s="1065"/>
      <c r="G12" s="1065"/>
      <c r="H12" s="1065"/>
      <c r="I12" s="1065"/>
      <c r="J12" s="1065" t="s">
        <v>57</v>
      </c>
      <c r="K12" s="1065"/>
      <c r="L12" s="1065"/>
      <c r="M12" s="1065"/>
      <c r="N12" s="1065"/>
      <c r="O12" s="1206"/>
      <c r="P12" s="1065" t="s">
        <v>11</v>
      </c>
    </row>
    <row r="13" spans="1:18" ht="96" customHeight="1" thickTop="1" thickBot="1" x14ac:dyDescent="0.25">
      <c r="A13" s="1065"/>
      <c r="B13" s="1070"/>
      <c r="C13" s="1070"/>
      <c r="D13" s="1065"/>
      <c r="E13" s="1067" t="s">
        <v>411</v>
      </c>
      <c r="F13" s="1067" t="s">
        <v>58</v>
      </c>
      <c r="G13" s="1067" t="s">
        <v>13</v>
      </c>
      <c r="H13" s="1067"/>
      <c r="I13" s="1067" t="s">
        <v>60</v>
      </c>
      <c r="J13" s="1067" t="s">
        <v>411</v>
      </c>
      <c r="K13" s="1067" t="s">
        <v>412</v>
      </c>
      <c r="L13" s="1067" t="s">
        <v>58</v>
      </c>
      <c r="M13" s="1067" t="s">
        <v>13</v>
      </c>
      <c r="N13" s="1067"/>
      <c r="O13" s="1067" t="s">
        <v>60</v>
      </c>
      <c r="P13" s="1065"/>
    </row>
    <row r="14" spans="1:18" ht="328.5" customHeight="1" thickTop="1" thickBot="1" x14ac:dyDescent="0.25">
      <c r="A14" s="1070"/>
      <c r="B14" s="1070"/>
      <c r="C14" s="1070"/>
      <c r="D14" s="1070"/>
      <c r="E14" s="1067"/>
      <c r="F14" s="1067"/>
      <c r="G14" s="925" t="s">
        <v>59</v>
      </c>
      <c r="H14" s="925" t="s">
        <v>15</v>
      </c>
      <c r="I14" s="1067"/>
      <c r="J14" s="1067"/>
      <c r="K14" s="1067"/>
      <c r="L14" s="1067"/>
      <c r="M14" s="925" t="s">
        <v>59</v>
      </c>
      <c r="N14" s="925" t="s">
        <v>15</v>
      </c>
      <c r="O14" s="1067"/>
      <c r="P14" s="1065"/>
    </row>
    <row r="15" spans="1:18" s="2" customFormat="1" ht="47.25" thickTop="1" thickBot="1" x14ac:dyDescent="0.25">
      <c r="A15" s="173" t="s">
        <v>2</v>
      </c>
      <c r="B15" s="173" t="s">
        <v>3</v>
      </c>
      <c r="C15" s="173" t="s">
        <v>14</v>
      </c>
      <c r="D15" s="173" t="s">
        <v>5</v>
      </c>
      <c r="E15" s="173" t="s">
        <v>419</v>
      </c>
      <c r="F15" s="173" t="s">
        <v>420</v>
      </c>
      <c r="G15" s="173" t="s">
        <v>421</v>
      </c>
      <c r="H15" s="173" t="s">
        <v>422</v>
      </c>
      <c r="I15" s="173" t="s">
        <v>423</v>
      </c>
      <c r="J15" s="173" t="s">
        <v>424</v>
      </c>
      <c r="K15" s="173" t="s">
        <v>425</v>
      </c>
      <c r="L15" s="173" t="s">
        <v>426</v>
      </c>
      <c r="M15" s="173" t="s">
        <v>427</v>
      </c>
      <c r="N15" s="173" t="s">
        <v>428</v>
      </c>
      <c r="O15" s="173" t="s">
        <v>429</v>
      </c>
      <c r="P15" s="173" t="s">
        <v>430</v>
      </c>
      <c r="Q15" s="188"/>
      <c r="R15" s="189"/>
    </row>
    <row r="16" spans="1:18" s="2" customFormat="1" ht="136.5" thickTop="1" thickBot="1" x14ac:dyDescent="0.25">
      <c r="A16" s="969" t="s">
        <v>162</v>
      </c>
      <c r="B16" s="969"/>
      <c r="C16" s="969"/>
      <c r="D16" s="970" t="s">
        <v>164</v>
      </c>
      <c r="E16" s="971">
        <f>E17</f>
        <v>128962832.59</v>
      </c>
      <c r="F16" s="972">
        <f t="shared" ref="F16:N16" si="0">F17</f>
        <v>128962832.59</v>
      </c>
      <c r="G16" s="972">
        <f t="shared" si="0"/>
        <v>80242670</v>
      </c>
      <c r="H16" s="972">
        <f t="shared" si="0"/>
        <v>3406900</v>
      </c>
      <c r="I16" s="972">
        <f t="shared" si="0"/>
        <v>0</v>
      </c>
      <c r="J16" s="971">
        <f t="shared" si="0"/>
        <v>9369144.5800000001</v>
      </c>
      <c r="K16" s="972">
        <f t="shared" si="0"/>
        <v>5694500</v>
      </c>
      <c r="L16" s="972">
        <f t="shared" si="0"/>
        <v>3575644.58</v>
      </c>
      <c r="M16" s="972">
        <f t="shared" si="0"/>
        <v>0</v>
      </c>
      <c r="N16" s="971">
        <f t="shared" si="0"/>
        <v>0</v>
      </c>
      <c r="O16" s="971">
        <f>O17</f>
        <v>5793500</v>
      </c>
      <c r="P16" s="972">
        <f t="shared" ref="P16" si="1">P17</f>
        <v>138331977.17000002</v>
      </c>
      <c r="Q16" s="190"/>
      <c r="R16" s="190"/>
    </row>
    <row r="17" spans="1:18" s="2" customFormat="1" ht="136.5" thickTop="1" thickBot="1" x14ac:dyDescent="0.25">
      <c r="A17" s="973" t="s">
        <v>163</v>
      </c>
      <c r="B17" s="973"/>
      <c r="C17" s="973"/>
      <c r="D17" s="974" t="s">
        <v>165</v>
      </c>
      <c r="E17" s="975">
        <f>E18+E23+E33+E36</f>
        <v>128962832.59</v>
      </c>
      <c r="F17" s="975">
        <f>F18+F23+F33+F36</f>
        <v>128962832.59</v>
      </c>
      <c r="G17" s="975">
        <f t="shared" ref="G17:I17" si="2">G18+G23+G33+G36</f>
        <v>80242670</v>
      </c>
      <c r="H17" s="975">
        <f t="shared" si="2"/>
        <v>3406900</v>
      </c>
      <c r="I17" s="975">
        <f t="shared" si="2"/>
        <v>0</v>
      </c>
      <c r="J17" s="975">
        <f>L17+O17</f>
        <v>9369144.5800000001</v>
      </c>
      <c r="K17" s="975">
        <f>K18+K23+K33+K36</f>
        <v>5694500</v>
      </c>
      <c r="L17" s="975">
        <f>L18+L23+L33+L36</f>
        <v>3575644.58</v>
      </c>
      <c r="M17" s="975">
        <f t="shared" ref="M17:N17" si="3">M18+M23+M33+M36</f>
        <v>0</v>
      </c>
      <c r="N17" s="975">
        <f t="shared" si="3"/>
        <v>0</v>
      </c>
      <c r="O17" s="975">
        <f>O18+O23+O33+O36</f>
        <v>5793500</v>
      </c>
      <c r="P17" s="976">
        <f>E17+J17</f>
        <v>138331977.17000002</v>
      </c>
      <c r="Q17" s="124" t="b">
        <f>P17=P19+P20+P21+P22+P25+P28+P30+P35+P38+P39+P32+P40+P26</f>
        <v>1</v>
      </c>
      <c r="R17" s="124" t="b">
        <f>K17=[1]d6!J12</f>
        <v>1</v>
      </c>
    </row>
    <row r="18" spans="1:18" s="402" customFormat="1" ht="47.25" thickTop="1" thickBot="1" x14ac:dyDescent="0.25">
      <c r="A18" s="173" t="s">
        <v>842</v>
      </c>
      <c r="B18" s="173" t="s">
        <v>843</v>
      </c>
      <c r="C18" s="173"/>
      <c r="D18" s="173" t="s">
        <v>844</v>
      </c>
      <c r="E18" s="928">
        <f>SUM(E19:E22)</f>
        <v>112020290</v>
      </c>
      <c r="F18" s="928">
        <f>SUM(F19:F22)</f>
        <v>112020290</v>
      </c>
      <c r="G18" s="928">
        <f t="shared" ref="G18:P18" si="4">SUM(G19:G22)</f>
        <v>80242670</v>
      </c>
      <c r="H18" s="928">
        <f t="shared" si="4"/>
        <v>3406900</v>
      </c>
      <c r="I18" s="928">
        <f t="shared" si="4"/>
        <v>0</v>
      </c>
      <c r="J18" s="928">
        <f t="shared" si="4"/>
        <v>2854500</v>
      </c>
      <c r="K18" s="928">
        <f t="shared" si="4"/>
        <v>2854500</v>
      </c>
      <c r="L18" s="928">
        <f t="shared" si="4"/>
        <v>0</v>
      </c>
      <c r="M18" s="928">
        <f t="shared" si="4"/>
        <v>0</v>
      </c>
      <c r="N18" s="928">
        <f t="shared" si="4"/>
        <v>0</v>
      </c>
      <c r="O18" s="928">
        <f t="shared" si="4"/>
        <v>2854500</v>
      </c>
      <c r="P18" s="928">
        <f t="shared" si="4"/>
        <v>114874790</v>
      </c>
      <c r="Q18" s="368"/>
      <c r="R18" s="368"/>
    </row>
    <row r="19" spans="1:18" ht="321.75" thickTop="1" thickBot="1" x14ac:dyDescent="0.25">
      <c r="A19" s="927" t="s">
        <v>250</v>
      </c>
      <c r="B19" s="927" t="s">
        <v>251</v>
      </c>
      <c r="C19" s="927" t="s">
        <v>252</v>
      </c>
      <c r="D19" s="927" t="s">
        <v>249</v>
      </c>
      <c r="E19" s="928">
        <f t="shared" ref="E19:E40" si="5">F19</f>
        <v>102582000</v>
      </c>
      <c r="F19" s="170">
        <f>5000+6000+67000+((77782670+17112190+1242480+3766300+30000+1650000+50000+1400000+159900+80000+800000)-1948540)+80000+49000+250000</f>
        <v>102582000</v>
      </c>
      <c r="G19" s="170">
        <f>((77782670)-1597170)</f>
        <v>76185500</v>
      </c>
      <c r="H19" s="170">
        <f>(1650000+50000+1400000+159900+80000)+67000</f>
        <v>3406900</v>
      </c>
      <c r="I19" s="170"/>
      <c r="J19" s="928">
        <f t="shared" ref="J19:J28" si="6">L19+O19</f>
        <v>2854500</v>
      </c>
      <c r="K19" s="170">
        <f>(977200+330000+15000+241300)+336000+900000+55000</f>
        <v>2854500</v>
      </c>
      <c r="L19" s="847"/>
      <c r="M19" s="848"/>
      <c r="N19" s="848"/>
      <c r="O19" s="977">
        <f t="shared" ref="O19:O28" si="7">K19</f>
        <v>2854500</v>
      </c>
      <c r="P19" s="928">
        <f>+J19+E19</f>
        <v>105436500</v>
      </c>
      <c r="Q19" s="192"/>
      <c r="R19" s="205" t="b">
        <f>K19=[1]d6!J14</f>
        <v>1</v>
      </c>
    </row>
    <row r="20" spans="1:18" ht="230.25" thickTop="1" thickBot="1" x14ac:dyDescent="0.25">
      <c r="A20" s="927" t="s">
        <v>708</v>
      </c>
      <c r="B20" s="927" t="s">
        <v>254</v>
      </c>
      <c r="C20" s="927" t="s">
        <v>252</v>
      </c>
      <c r="D20" s="927" t="s">
        <v>253</v>
      </c>
      <c r="E20" s="928">
        <f t="shared" si="5"/>
        <v>6253540</v>
      </c>
      <c r="F20" s="170">
        <f>(4305000+1948540)</f>
        <v>6253540</v>
      </c>
      <c r="G20" s="170">
        <f>((2460000)+1597170)</f>
        <v>4057170</v>
      </c>
      <c r="H20" s="170"/>
      <c r="I20" s="170"/>
      <c r="J20" s="928">
        <f t="shared" si="6"/>
        <v>0</v>
      </c>
      <c r="K20" s="170"/>
      <c r="L20" s="847"/>
      <c r="M20" s="848"/>
      <c r="N20" s="848"/>
      <c r="O20" s="977">
        <f t="shared" si="7"/>
        <v>0</v>
      </c>
      <c r="P20" s="928">
        <f>+J20+E20</f>
        <v>6253540</v>
      </c>
      <c r="Q20" s="192"/>
      <c r="R20" s="205"/>
    </row>
    <row r="21" spans="1:18" ht="184.5" thickTop="1" thickBot="1" x14ac:dyDescent="0.25">
      <c r="A21" s="932" t="s">
        <v>777</v>
      </c>
      <c r="B21" s="932" t="s">
        <v>388</v>
      </c>
      <c r="C21" s="932" t="s">
        <v>778</v>
      </c>
      <c r="D21" s="932" t="s">
        <v>779</v>
      </c>
      <c r="E21" s="978">
        <f t="shared" si="5"/>
        <v>49000</v>
      </c>
      <c r="F21" s="308">
        <v>49000</v>
      </c>
      <c r="G21" s="308"/>
      <c r="H21" s="308"/>
      <c r="I21" s="308"/>
      <c r="J21" s="978">
        <f t="shared" si="6"/>
        <v>0</v>
      </c>
      <c r="K21" s="308"/>
      <c r="L21" s="850"/>
      <c r="M21" s="851"/>
      <c r="N21" s="851"/>
      <c r="O21" s="979">
        <f t="shared" si="7"/>
        <v>0</v>
      </c>
      <c r="P21" s="978">
        <f>+J21+E21</f>
        <v>49000</v>
      </c>
      <c r="Q21" s="192"/>
      <c r="R21" s="191"/>
    </row>
    <row r="22" spans="1:18" ht="93" thickTop="1" thickBot="1" x14ac:dyDescent="0.25">
      <c r="A22" s="932" t="s">
        <v>265</v>
      </c>
      <c r="B22" s="932" t="s">
        <v>45</v>
      </c>
      <c r="C22" s="932" t="s">
        <v>44</v>
      </c>
      <c r="D22" s="932" t="s">
        <v>266</v>
      </c>
      <c r="E22" s="978">
        <f t="shared" si="5"/>
        <v>3135750</v>
      </c>
      <c r="F22" s="980">
        <f>(3159750-49000)+25000</f>
        <v>3135750</v>
      </c>
      <c r="G22" s="980"/>
      <c r="H22" s="980"/>
      <c r="I22" s="980"/>
      <c r="J22" s="978">
        <f t="shared" si="6"/>
        <v>0</v>
      </c>
      <c r="K22" s="980"/>
      <c r="L22" s="980"/>
      <c r="M22" s="980"/>
      <c r="N22" s="980"/>
      <c r="O22" s="979">
        <f t="shared" si="7"/>
        <v>0</v>
      </c>
      <c r="P22" s="978">
        <f>E22+J22</f>
        <v>3135750</v>
      </c>
      <c r="Q22" s="192"/>
      <c r="R22" s="191"/>
    </row>
    <row r="23" spans="1:18" s="402" customFormat="1" ht="47.25" thickTop="1" thickBot="1" x14ac:dyDescent="0.3">
      <c r="A23" s="173" t="s">
        <v>907</v>
      </c>
      <c r="B23" s="981" t="s">
        <v>908</v>
      </c>
      <c r="C23" s="981"/>
      <c r="D23" s="981" t="s">
        <v>909</v>
      </c>
      <c r="E23" s="978">
        <f t="shared" ref="E23:P23" si="8">SUM(E24:E32)-E24-E27-E29</f>
        <v>6533142.5899999999</v>
      </c>
      <c r="F23" s="978">
        <f t="shared" si="8"/>
        <v>6533142.5899999999</v>
      </c>
      <c r="G23" s="978">
        <f t="shared" si="8"/>
        <v>0</v>
      </c>
      <c r="H23" s="978">
        <f t="shared" si="8"/>
        <v>0</v>
      </c>
      <c r="I23" s="978">
        <f t="shared" si="8"/>
        <v>0</v>
      </c>
      <c r="J23" s="978">
        <f t="shared" si="8"/>
        <v>5174644.58</v>
      </c>
      <c r="K23" s="978">
        <f t="shared" si="8"/>
        <v>1500000</v>
      </c>
      <c r="L23" s="978">
        <f t="shared" si="8"/>
        <v>3575644.58</v>
      </c>
      <c r="M23" s="978">
        <f t="shared" si="8"/>
        <v>0</v>
      </c>
      <c r="N23" s="978">
        <f t="shared" si="8"/>
        <v>0</v>
      </c>
      <c r="O23" s="978">
        <f t="shared" si="8"/>
        <v>1599000</v>
      </c>
      <c r="P23" s="978">
        <f t="shared" si="8"/>
        <v>11707787.170000004</v>
      </c>
      <c r="Q23" s="456"/>
      <c r="R23" s="457"/>
    </row>
    <row r="24" spans="1:18" s="39" customFormat="1" ht="91.5" thickTop="1" thickBot="1" x14ac:dyDescent="0.25">
      <c r="A24" s="450" t="s">
        <v>845</v>
      </c>
      <c r="B24" s="450" t="s">
        <v>846</v>
      </c>
      <c r="C24" s="450"/>
      <c r="D24" s="450" t="s">
        <v>847</v>
      </c>
      <c r="E24" s="448">
        <f t="shared" ref="E24:P24" si="9">SUM(E25:E26)</f>
        <v>4642400</v>
      </c>
      <c r="F24" s="448">
        <f t="shared" si="9"/>
        <v>4642400</v>
      </c>
      <c r="G24" s="448">
        <f t="shared" si="9"/>
        <v>0</v>
      </c>
      <c r="H24" s="448">
        <f t="shared" si="9"/>
        <v>0</v>
      </c>
      <c r="I24" s="448">
        <f t="shared" si="9"/>
        <v>0</v>
      </c>
      <c r="J24" s="448">
        <f t="shared" si="9"/>
        <v>1500000</v>
      </c>
      <c r="K24" s="448">
        <f t="shared" si="9"/>
        <v>1500000</v>
      </c>
      <c r="L24" s="448">
        <f t="shared" si="9"/>
        <v>0</v>
      </c>
      <c r="M24" s="448">
        <f t="shared" si="9"/>
        <v>0</v>
      </c>
      <c r="N24" s="448">
        <f t="shared" si="9"/>
        <v>0</v>
      </c>
      <c r="O24" s="448">
        <f t="shared" si="9"/>
        <v>1500000</v>
      </c>
      <c r="P24" s="448">
        <f t="shared" si="9"/>
        <v>6142400</v>
      </c>
      <c r="Q24" s="458"/>
      <c r="R24" s="459"/>
    </row>
    <row r="25" spans="1:18" ht="93" thickTop="1" thickBot="1" x14ac:dyDescent="0.25">
      <c r="A25" s="932" t="s">
        <v>256</v>
      </c>
      <c r="B25" s="932" t="s">
        <v>257</v>
      </c>
      <c r="C25" s="932" t="s">
        <v>258</v>
      </c>
      <c r="D25" s="932" t="s">
        <v>255</v>
      </c>
      <c r="E25" s="978">
        <f t="shared" si="5"/>
        <v>4392400</v>
      </c>
      <c r="F25" s="980">
        <v>4392400</v>
      </c>
      <c r="G25" s="980"/>
      <c r="H25" s="980"/>
      <c r="I25" s="980"/>
      <c r="J25" s="978">
        <f t="shared" si="6"/>
        <v>1500000</v>
      </c>
      <c r="K25" s="980">
        <v>1500000</v>
      </c>
      <c r="L25" s="980"/>
      <c r="M25" s="980"/>
      <c r="N25" s="980"/>
      <c r="O25" s="979">
        <f t="shared" si="7"/>
        <v>1500000</v>
      </c>
      <c r="P25" s="978">
        <f>+J25+E25</f>
        <v>5892400</v>
      </c>
      <c r="Q25" s="192"/>
      <c r="R25" s="205" t="b">
        <f>K25=[1]d6!J15</f>
        <v>1</v>
      </c>
    </row>
    <row r="26" spans="1:18" ht="230.25" thickTop="1" thickBot="1" x14ac:dyDescent="0.25">
      <c r="A26" s="932" t="s">
        <v>1288</v>
      </c>
      <c r="B26" s="932" t="s">
        <v>1289</v>
      </c>
      <c r="C26" s="932" t="s">
        <v>258</v>
      </c>
      <c r="D26" s="932" t="s">
        <v>1290</v>
      </c>
      <c r="E26" s="978">
        <f t="shared" si="5"/>
        <v>250000</v>
      </c>
      <c r="F26" s="980">
        <v>250000</v>
      </c>
      <c r="G26" s="980"/>
      <c r="H26" s="980"/>
      <c r="I26" s="980"/>
      <c r="J26" s="978">
        <f t="shared" si="6"/>
        <v>0</v>
      </c>
      <c r="K26" s="980"/>
      <c r="L26" s="980"/>
      <c r="M26" s="980"/>
      <c r="N26" s="980"/>
      <c r="O26" s="979"/>
      <c r="P26" s="978">
        <f>+J26+E26</f>
        <v>250000</v>
      </c>
      <c r="Q26" s="192"/>
      <c r="R26" s="205"/>
    </row>
    <row r="27" spans="1:18" ht="136.5" thickTop="1" thickBot="1" x14ac:dyDescent="0.25">
      <c r="A27" s="982" t="s">
        <v>849</v>
      </c>
      <c r="B27" s="982" t="s">
        <v>850</v>
      </c>
      <c r="C27" s="982"/>
      <c r="D27" s="982" t="s">
        <v>848</v>
      </c>
      <c r="E27" s="448">
        <f>SUM(E28)+E29</f>
        <v>1890742.59</v>
      </c>
      <c r="F27" s="448">
        <f t="shared" ref="F27:P27" si="10">SUM(F28)+F29</f>
        <v>1890742.59</v>
      </c>
      <c r="G27" s="448">
        <f t="shared" si="10"/>
        <v>0</v>
      </c>
      <c r="H27" s="448">
        <f t="shared" si="10"/>
        <v>0</v>
      </c>
      <c r="I27" s="448">
        <f t="shared" si="10"/>
        <v>0</v>
      </c>
      <c r="J27" s="448">
        <f t="shared" si="10"/>
        <v>3674644.58</v>
      </c>
      <c r="K27" s="448">
        <f t="shared" si="10"/>
        <v>0</v>
      </c>
      <c r="L27" s="448">
        <f t="shared" si="10"/>
        <v>3575644.58</v>
      </c>
      <c r="M27" s="448">
        <f t="shared" si="10"/>
        <v>0</v>
      </c>
      <c r="N27" s="448">
        <f t="shared" si="10"/>
        <v>0</v>
      </c>
      <c r="O27" s="448">
        <f t="shared" si="10"/>
        <v>99000</v>
      </c>
      <c r="P27" s="448">
        <f t="shared" si="10"/>
        <v>5565387.1699999999</v>
      </c>
      <c r="Q27" s="408"/>
      <c r="R27" s="460"/>
    </row>
    <row r="28" spans="1:18" ht="138.75" thickTop="1" thickBot="1" x14ac:dyDescent="0.25">
      <c r="A28" s="932" t="s">
        <v>318</v>
      </c>
      <c r="B28" s="932" t="s">
        <v>319</v>
      </c>
      <c r="C28" s="932" t="s">
        <v>184</v>
      </c>
      <c r="D28" s="932" t="s">
        <v>475</v>
      </c>
      <c r="E28" s="978">
        <f t="shared" si="5"/>
        <v>290200</v>
      </c>
      <c r="F28" s="980">
        <v>290200</v>
      </c>
      <c r="G28" s="980"/>
      <c r="H28" s="980"/>
      <c r="I28" s="980"/>
      <c r="J28" s="978">
        <f t="shared" si="6"/>
        <v>0</v>
      </c>
      <c r="K28" s="980"/>
      <c r="L28" s="980"/>
      <c r="M28" s="980"/>
      <c r="N28" s="980"/>
      <c r="O28" s="979">
        <f t="shared" si="7"/>
        <v>0</v>
      </c>
      <c r="P28" s="978">
        <f>+J28+E28</f>
        <v>290200</v>
      </c>
      <c r="Q28" s="192"/>
      <c r="R28" s="191"/>
    </row>
    <row r="29" spans="1:18" ht="48" thickTop="1" thickBot="1" x14ac:dyDescent="0.25">
      <c r="A29" s="983" t="s">
        <v>852</v>
      </c>
      <c r="B29" s="983" t="s">
        <v>853</v>
      </c>
      <c r="C29" s="983"/>
      <c r="D29" s="984" t="s">
        <v>851</v>
      </c>
      <c r="E29" s="446">
        <f>SUM(E30:E32)</f>
        <v>1600542.59</v>
      </c>
      <c r="F29" s="446">
        <f t="shared" ref="F29:O29" si="11">SUM(F30:F32)</f>
        <v>1600542.59</v>
      </c>
      <c r="G29" s="446">
        <f t="shared" si="11"/>
        <v>0</v>
      </c>
      <c r="H29" s="446">
        <f t="shared" si="11"/>
        <v>0</v>
      </c>
      <c r="I29" s="446">
        <f t="shared" si="11"/>
        <v>0</v>
      </c>
      <c r="J29" s="446">
        <f t="shared" si="11"/>
        <v>3674644.58</v>
      </c>
      <c r="K29" s="446">
        <f t="shared" si="11"/>
        <v>0</v>
      </c>
      <c r="L29" s="446">
        <f t="shared" si="11"/>
        <v>3575644.58</v>
      </c>
      <c r="M29" s="446">
        <f t="shared" si="11"/>
        <v>0</v>
      </c>
      <c r="N29" s="446">
        <f t="shared" si="11"/>
        <v>0</v>
      </c>
      <c r="O29" s="446">
        <f t="shared" si="11"/>
        <v>99000</v>
      </c>
      <c r="P29" s="446">
        <f>E29+J29</f>
        <v>5275187.17</v>
      </c>
      <c r="Q29" s="408"/>
      <c r="R29" s="409"/>
    </row>
    <row r="30" spans="1:18" s="39" customFormat="1" ht="361.5" customHeight="1" thickTop="1" thickBot="1" x14ac:dyDescent="0.7">
      <c r="A30" s="1151" t="s">
        <v>364</v>
      </c>
      <c r="B30" s="1151" t="s">
        <v>363</v>
      </c>
      <c r="C30" s="1151" t="s">
        <v>184</v>
      </c>
      <c r="D30" s="311" t="s">
        <v>473</v>
      </c>
      <c r="E30" s="1210">
        <f t="shared" si="5"/>
        <v>0</v>
      </c>
      <c r="F30" s="1153"/>
      <c r="G30" s="1153"/>
      <c r="H30" s="1153"/>
      <c r="I30" s="1153"/>
      <c r="J30" s="1212">
        <f>L30+O30</f>
        <v>3674644.58</v>
      </c>
      <c r="K30" s="1153"/>
      <c r="L30" s="1153">
        <f>((1308600+69000+601000+1471600)+1155966.58)-450000-580522</f>
        <v>3575644.58</v>
      </c>
      <c r="M30" s="1153"/>
      <c r="N30" s="1153"/>
      <c r="O30" s="1217">
        <f>(49000)+50000</f>
        <v>99000</v>
      </c>
      <c r="P30" s="1207">
        <f>E30+J30</f>
        <v>3674644.58</v>
      </c>
      <c r="Q30" s="193"/>
      <c r="R30" s="194"/>
    </row>
    <row r="31" spans="1:18" s="39" customFormat="1" ht="184.5" thickTop="1" thickBot="1" x14ac:dyDescent="0.25">
      <c r="A31" s="1209"/>
      <c r="B31" s="1152"/>
      <c r="C31" s="1209"/>
      <c r="D31" s="312" t="s">
        <v>474</v>
      </c>
      <c r="E31" s="1209"/>
      <c r="F31" s="1211"/>
      <c r="G31" s="1211"/>
      <c r="H31" s="1211"/>
      <c r="I31" s="1211"/>
      <c r="J31" s="1213"/>
      <c r="K31" s="1211"/>
      <c r="L31" s="1211"/>
      <c r="M31" s="1211"/>
      <c r="N31" s="1211"/>
      <c r="O31" s="1218"/>
      <c r="P31" s="1208"/>
      <c r="Q31" s="194"/>
      <c r="R31" s="194"/>
    </row>
    <row r="32" spans="1:18" s="39" customFormat="1" ht="93" thickTop="1" thickBot="1" x14ac:dyDescent="0.25">
      <c r="A32" s="927" t="s">
        <v>1122</v>
      </c>
      <c r="B32" s="927" t="s">
        <v>275</v>
      </c>
      <c r="C32" s="927" t="s">
        <v>184</v>
      </c>
      <c r="D32" s="927" t="s">
        <v>273</v>
      </c>
      <c r="E32" s="978">
        <f>F32</f>
        <v>1600542.59</v>
      </c>
      <c r="F32" s="980">
        <v>1600542.59</v>
      </c>
      <c r="G32" s="980"/>
      <c r="H32" s="980"/>
      <c r="I32" s="980"/>
      <c r="J32" s="978">
        <f>L32+O32</f>
        <v>0</v>
      </c>
      <c r="K32" s="980"/>
      <c r="L32" s="980"/>
      <c r="M32" s="980"/>
      <c r="N32" s="980"/>
      <c r="O32" s="979"/>
      <c r="P32" s="978">
        <f>E32+J32</f>
        <v>1600542.59</v>
      </c>
      <c r="Q32" s="194"/>
      <c r="R32" s="194"/>
    </row>
    <row r="33" spans="1:20" s="39" customFormat="1" ht="46.5" customHeight="1" thickTop="1" thickBot="1" x14ac:dyDescent="0.25">
      <c r="A33" s="173" t="s">
        <v>854</v>
      </c>
      <c r="B33" s="173" t="s">
        <v>855</v>
      </c>
      <c r="C33" s="173"/>
      <c r="D33" s="173" t="s">
        <v>856</v>
      </c>
      <c r="E33" s="928">
        <f>E34</f>
        <v>6359300</v>
      </c>
      <c r="F33" s="928">
        <f t="shared" ref="F33:O33" si="12">F34</f>
        <v>6359300</v>
      </c>
      <c r="G33" s="928">
        <f t="shared" si="12"/>
        <v>0</v>
      </c>
      <c r="H33" s="928">
        <f t="shared" si="12"/>
        <v>0</v>
      </c>
      <c r="I33" s="928">
        <f t="shared" si="12"/>
        <v>0</v>
      </c>
      <c r="J33" s="928">
        <f t="shared" si="12"/>
        <v>0</v>
      </c>
      <c r="K33" s="928">
        <f t="shared" si="12"/>
        <v>0</v>
      </c>
      <c r="L33" s="928">
        <f t="shared" si="12"/>
        <v>0</v>
      </c>
      <c r="M33" s="928">
        <f t="shared" si="12"/>
        <v>0</v>
      </c>
      <c r="N33" s="928">
        <f t="shared" si="12"/>
        <v>0</v>
      </c>
      <c r="O33" s="928">
        <f t="shared" si="12"/>
        <v>0</v>
      </c>
      <c r="P33" s="928">
        <f>P34</f>
        <v>6359300</v>
      </c>
      <c r="Q33" s="194"/>
      <c r="R33" s="194"/>
    </row>
    <row r="34" spans="1:20" s="39" customFormat="1" ht="47.25" thickTop="1" thickBot="1" x14ac:dyDescent="0.25">
      <c r="A34" s="450" t="s">
        <v>857</v>
      </c>
      <c r="B34" s="450" t="s">
        <v>858</v>
      </c>
      <c r="C34" s="450"/>
      <c r="D34" s="450" t="s">
        <v>859</v>
      </c>
      <c r="E34" s="448">
        <f>SUM(E35)</f>
        <v>6359300</v>
      </c>
      <c r="F34" s="448">
        <f t="shared" ref="F34:P34" si="13">SUM(F35)</f>
        <v>6359300</v>
      </c>
      <c r="G34" s="448">
        <f t="shared" si="13"/>
        <v>0</v>
      </c>
      <c r="H34" s="448">
        <f t="shared" si="13"/>
        <v>0</v>
      </c>
      <c r="I34" s="448">
        <f t="shared" si="13"/>
        <v>0</v>
      </c>
      <c r="J34" s="448">
        <f t="shared" si="13"/>
        <v>0</v>
      </c>
      <c r="K34" s="448">
        <f t="shared" si="13"/>
        <v>0</v>
      </c>
      <c r="L34" s="448">
        <f t="shared" si="13"/>
        <v>0</v>
      </c>
      <c r="M34" s="448">
        <f t="shared" si="13"/>
        <v>0</v>
      </c>
      <c r="N34" s="448">
        <f t="shared" si="13"/>
        <v>0</v>
      </c>
      <c r="O34" s="448">
        <f t="shared" si="13"/>
        <v>0</v>
      </c>
      <c r="P34" s="448">
        <f t="shared" si="13"/>
        <v>6359300</v>
      </c>
    </row>
    <row r="35" spans="1:20" ht="93" thickTop="1" thickBot="1" x14ac:dyDescent="0.25">
      <c r="A35" s="932" t="s">
        <v>259</v>
      </c>
      <c r="B35" s="932" t="s">
        <v>260</v>
      </c>
      <c r="C35" s="932" t="s">
        <v>261</v>
      </c>
      <c r="D35" s="932" t="s">
        <v>262</v>
      </c>
      <c r="E35" s="978">
        <f>F35</f>
        <v>6359300</v>
      </c>
      <c r="F35" s="980">
        <v>6359300</v>
      </c>
      <c r="G35" s="980"/>
      <c r="H35" s="980"/>
      <c r="I35" s="980"/>
      <c r="J35" s="978">
        <f>L35+O35</f>
        <v>0</v>
      </c>
      <c r="K35" s="980"/>
      <c r="L35" s="980"/>
      <c r="M35" s="980"/>
      <c r="N35" s="980"/>
      <c r="O35" s="979">
        <f>K35</f>
        <v>0</v>
      </c>
      <c r="P35" s="978">
        <f>E35+J35</f>
        <v>6359300</v>
      </c>
    </row>
    <row r="36" spans="1:20" ht="47.25" thickTop="1" thickBot="1" x14ac:dyDescent="0.25">
      <c r="A36" s="173" t="s">
        <v>860</v>
      </c>
      <c r="B36" s="173" t="s">
        <v>861</v>
      </c>
      <c r="C36" s="173"/>
      <c r="D36" s="173" t="s">
        <v>862</v>
      </c>
      <c r="E36" s="928">
        <f t="shared" ref="E36:P36" si="14">E37+E40</f>
        <v>4050100</v>
      </c>
      <c r="F36" s="928">
        <f t="shared" si="14"/>
        <v>4050100</v>
      </c>
      <c r="G36" s="928">
        <f t="shared" si="14"/>
        <v>0</v>
      </c>
      <c r="H36" s="928">
        <f t="shared" si="14"/>
        <v>0</v>
      </c>
      <c r="I36" s="928">
        <f t="shared" si="14"/>
        <v>0</v>
      </c>
      <c r="J36" s="928">
        <f t="shared" si="14"/>
        <v>1340000</v>
      </c>
      <c r="K36" s="928">
        <f t="shared" si="14"/>
        <v>1340000</v>
      </c>
      <c r="L36" s="928">
        <f t="shared" si="14"/>
        <v>0</v>
      </c>
      <c r="M36" s="928">
        <f t="shared" si="14"/>
        <v>0</v>
      </c>
      <c r="N36" s="928">
        <f t="shared" si="14"/>
        <v>0</v>
      </c>
      <c r="O36" s="928">
        <f t="shared" si="14"/>
        <v>1340000</v>
      </c>
      <c r="P36" s="928">
        <f t="shared" si="14"/>
        <v>5390100</v>
      </c>
    </row>
    <row r="37" spans="1:20" s="39" customFormat="1" ht="271.5" thickTop="1" thickBot="1" x14ac:dyDescent="0.25">
      <c r="A37" s="450" t="s">
        <v>863</v>
      </c>
      <c r="B37" s="450" t="s">
        <v>864</v>
      </c>
      <c r="C37" s="450"/>
      <c r="D37" s="450" t="s">
        <v>865</v>
      </c>
      <c r="E37" s="448">
        <f>SUM(E38:E39)</f>
        <v>420100</v>
      </c>
      <c r="F37" s="448">
        <f t="shared" ref="F37:P37" si="15">SUM(F38:F39)</f>
        <v>420100</v>
      </c>
      <c r="G37" s="448">
        <f t="shared" si="15"/>
        <v>0</v>
      </c>
      <c r="H37" s="448">
        <f t="shared" si="15"/>
        <v>0</v>
      </c>
      <c r="I37" s="448">
        <f t="shared" si="15"/>
        <v>0</v>
      </c>
      <c r="J37" s="448">
        <f t="shared" si="15"/>
        <v>0</v>
      </c>
      <c r="K37" s="448">
        <f t="shared" si="15"/>
        <v>0</v>
      </c>
      <c r="L37" s="448">
        <f t="shared" si="15"/>
        <v>0</v>
      </c>
      <c r="M37" s="448">
        <f t="shared" si="15"/>
        <v>0</v>
      </c>
      <c r="N37" s="448">
        <f t="shared" si="15"/>
        <v>0</v>
      </c>
      <c r="O37" s="448">
        <f t="shared" si="15"/>
        <v>0</v>
      </c>
      <c r="P37" s="448">
        <f t="shared" si="15"/>
        <v>420100</v>
      </c>
      <c r="Q37" s="194"/>
      <c r="R37" s="194"/>
    </row>
    <row r="38" spans="1:20" ht="276" thickTop="1" thickBot="1" x14ac:dyDescent="0.25">
      <c r="A38" s="927" t="s">
        <v>263</v>
      </c>
      <c r="B38" s="927" t="s">
        <v>264</v>
      </c>
      <c r="C38" s="927" t="s">
        <v>45</v>
      </c>
      <c r="D38" s="927" t="s">
        <v>476</v>
      </c>
      <c r="E38" s="928">
        <f t="shared" si="5"/>
        <v>300000</v>
      </c>
      <c r="F38" s="323">
        <v>300000</v>
      </c>
      <c r="G38" s="323"/>
      <c r="H38" s="323"/>
      <c r="I38" s="323"/>
      <c r="J38" s="928">
        <f>L38+O38</f>
        <v>0</v>
      </c>
      <c r="K38" s="323"/>
      <c r="L38" s="323"/>
      <c r="M38" s="323"/>
      <c r="N38" s="323"/>
      <c r="O38" s="977">
        <f>K38</f>
        <v>0</v>
      </c>
      <c r="P38" s="928">
        <f>E38+J38</f>
        <v>300000</v>
      </c>
    </row>
    <row r="39" spans="1:20" ht="93" thickTop="1" thickBot="1" x14ac:dyDescent="0.25">
      <c r="A39" s="927" t="s">
        <v>695</v>
      </c>
      <c r="B39" s="927" t="s">
        <v>389</v>
      </c>
      <c r="C39" s="927" t="s">
        <v>45</v>
      </c>
      <c r="D39" s="927" t="s">
        <v>390</v>
      </c>
      <c r="E39" s="928">
        <f t="shared" si="5"/>
        <v>120100</v>
      </c>
      <c r="F39" s="323">
        <v>120100</v>
      </c>
      <c r="G39" s="323"/>
      <c r="H39" s="323"/>
      <c r="I39" s="323"/>
      <c r="J39" s="928">
        <f>L39+O39</f>
        <v>0</v>
      </c>
      <c r="K39" s="323"/>
      <c r="L39" s="323"/>
      <c r="M39" s="323"/>
      <c r="N39" s="323"/>
      <c r="O39" s="977">
        <f>K39</f>
        <v>0</v>
      </c>
      <c r="P39" s="928">
        <f>E39+J39</f>
        <v>120100</v>
      </c>
    </row>
    <row r="40" spans="1:20" ht="271.5" thickTop="1" thickBot="1" x14ac:dyDescent="0.25">
      <c r="A40" s="450" t="s">
        <v>560</v>
      </c>
      <c r="B40" s="450" t="s">
        <v>561</v>
      </c>
      <c r="C40" s="450" t="s">
        <v>45</v>
      </c>
      <c r="D40" s="450" t="s">
        <v>562</v>
      </c>
      <c r="E40" s="448">
        <f t="shared" si="5"/>
        <v>3630000</v>
      </c>
      <c r="F40" s="448">
        <f>500000+300000+80000+50000+(500000+400000+80000+400000+80000+60000+200000+80000+300000+500000+100000)</f>
        <v>3630000</v>
      </c>
      <c r="G40" s="448"/>
      <c r="H40" s="448"/>
      <c r="I40" s="448"/>
      <c r="J40" s="448">
        <f>L40+O40</f>
        <v>1340000</v>
      </c>
      <c r="K40" s="980">
        <f>380000+(80000+300000+500000+80000)</f>
        <v>1340000</v>
      </c>
      <c r="L40" s="448"/>
      <c r="M40" s="448"/>
      <c r="N40" s="448"/>
      <c r="O40" s="448">
        <f>K40</f>
        <v>1340000</v>
      </c>
      <c r="P40" s="448">
        <f>E40+J40</f>
        <v>4970000</v>
      </c>
      <c r="R40" s="124" t="b">
        <f>K40=[1]d6!J17+[1]d6!J16</f>
        <v>1</v>
      </c>
    </row>
    <row r="41" spans="1:20" ht="136.5" thickTop="1" thickBot="1" x14ac:dyDescent="0.25">
      <c r="A41" s="969" t="s">
        <v>166</v>
      </c>
      <c r="B41" s="969"/>
      <c r="C41" s="969"/>
      <c r="D41" s="970" t="s">
        <v>0</v>
      </c>
      <c r="E41" s="971">
        <f>E42</f>
        <v>1600610141.95</v>
      </c>
      <c r="F41" s="972">
        <f t="shared" ref="F41" si="16">F42</f>
        <v>1600610141.95</v>
      </c>
      <c r="G41" s="972">
        <f>G42</f>
        <v>1121736366.47</v>
      </c>
      <c r="H41" s="972">
        <f>H42</f>
        <v>91375006.789999992</v>
      </c>
      <c r="I41" s="972">
        <f t="shared" ref="I41" si="17">I42</f>
        <v>0</v>
      </c>
      <c r="J41" s="971">
        <f>J42</f>
        <v>201026862.43000001</v>
      </c>
      <c r="K41" s="972">
        <f>K42</f>
        <v>55803448.430000007</v>
      </c>
      <c r="L41" s="972">
        <f>L42</f>
        <v>143418194</v>
      </c>
      <c r="M41" s="972">
        <f t="shared" ref="M41" si="18">M42</f>
        <v>41549170</v>
      </c>
      <c r="N41" s="971">
        <f>N42</f>
        <v>9574190</v>
      </c>
      <c r="O41" s="971">
        <f>O42</f>
        <v>57608668.430000007</v>
      </c>
      <c r="P41" s="972">
        <f t="shared" ref="P41" si="19">P42</f>
        <v>1801637004.3800001</v>
      </c>
    </row>
    <row r="42" spans="1:20" ht="136.5" thickTop="1" thickBot="1" x14ac:dyDescent="0.25">
      <c r="A42" s="973" t="s">
        <v>167</v>
      </c>
      <c r="B42" s="973"/>
      <c r="C42" s="973"/>
      <c r="D42" s="974" t="s">
        <v>1</v>
      </c>
      <c r="E42" s="975">
        <f>E43+E74+E78</f>
        <v>1600610141.95</v>
      </c>
      <c r="F42" s="975">
        <f t="shared" ref="F42:O42" si="20">F43+F74+F78</f>
        <v>1600610141.95</v>
      </c>
      <c r="G42" s="975">
        <f t="shared" si="20"/>
        <v>1121736366.47</v>
      </c>
      <c r="H42" s="975">
        <f t="shared" si="20"/>
        <v>91375006.789999992</v>
      </c>
      <c r="I42" s="975">
        <f t="shared" si="20"/>
        <v>0</v>
      </c>
      <c r="J42" s="975">
        <f>L42+O42</f>
        <v>201026862.43000001</v>
      </c>
      <c r="K42" s="975">
        <f t="shared" si="20"/>
        <v>55803448.430000007</v>
      </c>
      <c r="L42" s="975">
        <f t="shared" si="20"/>
        <v>143418194</v>
      </c>
      <c r="M42" s="975">
        <f t="shared" si="20"/>
        <v>41549170</v>
      </c>
      <c r="N42" s="975">
        <f t="shared" si="20"/>
        <v>9574190</v>
      </c>
      <c r="O42" s="975">
        <f t="shared" si="20"/>
        <v>57608668.430000007</v>
      </c>
      <c r="P42" s="976">
        <f>E42+J42</f>
        <v>1801637004.3800001</v>
      </c>
      <c r="Q42" s="124" t="b">
        <f>P42=P44+P46+P47+P50+P54+P56+P57+P59+P60+P62+P63+P64+P66+P72+P75+P53+P73+P48+P67+P69+P77+P70+P80</f>
        <v>1</v>
      </c>
      <c r="R42" s="124" t="b">
        <f>K42=[1]d6!J19</f>
        <v>1</v>
      </c>
    </row>
    <row r="43" spans="1:20" ht="47.25" thickTop="1" thickBot="1" x14ac:dyDescent="0.25">
      <c r="A43" s="173" t="s">
        <v>866</v>
      </c>
      <c r="B43" s="173" t="s">
        <v>867</v>
      </c>
      <c r="C43" s="173"/>
      <c r="D43" s="173" t="s">
        <v>868</v>
      </c>
      <c r="E43" s="928">
        <f>E44+E45+E49+E54+E55+E58+E61+E64+E65+E72+E51+E73+E68+E76</f>
        <v>1600610141.95</v>
      </c>
      <c r="F43" s="928">
        <f t="shared" ref="F43:P43" si="21">F44+F45+F49+F54+F55+F58+F61+F64+F65+F72+F51+F73+F68+F76</f>
        <v>1600610141.95</v>
      </c>
      <c r="G43" s="928">
        <f t="shared" si="21"/>
        <v>1121736366.47</v>
      </c>
      <c r="H43" s="928">
        <f t="shared" si="21"/>
        <v>91375006.789999992</v>
      </c>
      <c r="I43" s="928">
        <f t="shared" si="21"/>
        <v>0</v>
      </c>
      <c r="J43" s="928">
        <f t="shared" si="21"/>
        <v>196479816.25</v>
      </c>
      <c r="K43" s="928">
        <f t="shared" si="21"/>
        <v>51256402.250000007</v>
      </c>
      <c r="L43" s="928">
        <f t="shared" si="21"/>
        <v>143418194</v>
      </c>
      <c r="M43" s="928">
        <f t="shared" si="21"/>
        <v>41549170</v>
      </c>
      <c r="N43" s="928">
        <f t="shared" si="21"/>
        <v>9574190</v>
      </c>
      <c r="O43" s="928">
        <f t="shared" si="21"/>
        <v>53061622.250000007</v>
      </c>
      <c r="P43" s="928">
        <f t="shared" si="21"/>
        <v>1797089958.2</v>
      </c>
      <c r="Q43" s="124"/>
      <c r="R43" s="124"/>
    </row>
    <row r="44" spans="1:20" ht="99" customHeight="1" thickTop="1" thickBot="1" x14ac:dyDescent="0.6">
      <c r="A44" s="927" t="s">
        <v>216</v>
      </c>
      <c r="B44" s="927" t="s">
        <v>217</v>
      </c>
      <c r="C44" s="927" t="s">
        <v>219</v>
      </c>
      <c r="D44" s="927" t="s">
        <v>220</v>
      </c>
      <c r="E44" s="928">
        <f>F44</f>
        <v>469872991</v>
      </c>
      <c r="F44" s="323">
        <f>236775-228977.94+274310.94+46235+566500+40000+5100+37560+((372491460+6155150+631440+29930200+2557000+20309300+734740+914480+6850060+1542435+90625+530000+37683.94+102316.06+90274+29393+150000+101020+33980+1000000+18794374+1868908)-1600000-400000+14500+180000+1400000-19760+20000)+3760945+85400+18800+490764</f>
        <v>469872991</v>
      </c>
      <c r="G44" s="323">
        <f>((305204300+12733230+1420850)-1600000)+3760945+85400</f>
        <v>321604725</v>
      </c>
      <c r="H44" s="323">
        <f>((20309300+734740+914480+6850060+1542435+1159227+80427)+1400000-19760)+613864+30400+246500-200000-200000</f>
        <v>33461673</v>
      </c>
      <c r="I44" s="323"/>
      <c r="J44" s="928">
        <f t="shared" ref="J44:J67" si="22">L44+O44</f>
        <v>72874415.370000005</v>
      </c>
      <c r="K44" s="323">
        <f>1000000-45333+((800000+3100000+160000+440000+130000+30333+15000+300000+1172122-1172122)+48000+542134.23+700000+500000+500000+59561.14+49000)</f>
        <v>8328695.3700000001</v>
      </c>
      <c r="L44" s="323">
        <f>(12568180+2758370+5329340+76070+37006700+2376280+17030+812980+26200+2000+18400+2848150)</f>
        <v>63839700</v>
      </c>
      <c r="M44" s="323">
        <f>(12568180+803420)</f>
        <v>13371600</v>
      </c>
      <c r="N44" s="323">
        <f>(222380+222120+356490+1320+10670+30130)</f>
        <v>843110</v>
      </c>
      <c r="O44" s="977">
        <f>K44+667020+39000</f>
        <v>9034715.370000001</v>
      </c>
      <c r="P44" s="928">
        <f t="shared" ref="P44:P57" si="23">E44+J44</f>
        <v>542747406.37</v>
      </c>
      <c r="Q44" s="195"/>
      <c r="R44" s="124" t="b">
        <f>K44=[1]d6!J20+[1]d6!J21+[1]d6!J22+[1]d6!J23+[1]d6!J24+[1]d6!J25+[1]d6!J27+[1]d6!J28+[1]d6!J29+[1]d6!J30</f>
        <v>1</v>
      </c>
    </row>
    <row r="45" spans="1:20" ht="138.75" thickTop="1" thickBot="1" x14ac:dyDescent="0.6">
      <c r="A45" s="445" t="s">
        <v>221</v>
      </c>
      <c r="B45" s="445" t="s">
        <v>218</v>
      </c>
      <c r="C45" s="445"/>
      <c r="D45" s="445" t="s">
        <v>802</v>
      </c>
      <c r="E45" s="446">
        <f>E46+E47+E48</f>
        <v>316411279.95999998</v>
      </c>
      <c r="F45" s="446">
        <f t="shared" ref="F45:O45" si="24">F46+F47+F48</f>
        <v>316411279.95999998</v>
      </c>
      <c r="G45" s="446">
        <f t="shared" si="24"/>
        <v>175734327</v>
      </c>
      <c r="H45" s="446">
        <f t="shared" si="24"/>
        <v>43578328.789999999</v>
      </c>
      <c r="I45" s="446">
        <f t="shared" si="24"/>
        <v>0</v>
      </c>
      <c r="J45" s="446">
        <f t="shared" si="24"/>
        <v>76621646.890000001</v>
      </c>
      <c r="K45" s="446">
        <f t="shared" si="24"/>
        <v>24012696.890000004</v>
      </c>
      <c r="L45" s="446">
        <f t="shared" si="24"/>
        <v>51790750</v>
      </c>
      <c r="M45" s="446">
        <f t="shared" si="24"/>
        <v>19457250</v>
      </c>
      <c r="N45" s="446">
        <f t="shared" si="24"/>
        <v>945120</v>
      </c>
      <c r="O45" s="446">
        <f t="shared" si="24"/>
        <v>24830896.890000004</v>
      </c>
      <c r="P45" s="446">
        <f>E45+J45</f>
        <v>393032926.84999996</v>
      </c>
      <c r="Q45" s="195"/>
      <c r="R45" s="48"/>
    </row>
    <row r="46" spans="1:20" ht="138.75" thickTop="1" thickBot="1" x14ac:dyDescent="0.6">
      <c r="A46" s="927" t="s">
        <v>799</v>
      </c>
      <c r="B46" s="927" t="s">
        <v>800</v>
      </c>
      <c r="C46" s="927" t="s">
        <v>222</v>
      </c>
      <c r="D46" s="927" t="s">
        <v>801</v>
      </c>
      <c r="E46" s="928">
        <f t="shared" ref="E46:E57" si="25">F46</f>
        <v>289134512.13999999</v>
      </c>
      <c r="F46" s="323">
        <f>5100+46200+199000-10500+90000-90000-12600-99400+250000+((293431677)+314737.33-3489794.54-2700000-2424285.65+35000+199620+70000+155500+5000+5000+85000+126230+99400+45000+150000+50000+20000+40000+49900+662500+80000+34010+1101400+17170-165000-635000+200000+795970)-410000-90000+46650+751028+100000</f>
        <v>289134512.13999999</v>
      </c>
      <c r="G46" s="323">
        <f>(665932900-12733230-496181500)-410000</f>
        <v>156608170</v>
      </c>
      <c r="H46" s="323">
        <f>((28409070+505115+696000+1555400+9873130+1177895-1159227+6058967)+314737.33-3489794.54-2700000+662500-165000-635000+200000)+46000+977800-200000-200000+127228</f>
        <v>42054820.789999999</v>
      </c>
      <c r="I46" s="323"/>
      <c r="J46" s="928">
        <f t="shared" si="22"/>
        <v>75674893.890000001</v>
      </c>
      <c r="K46" s="323">
        <f>4930406+10500+93500+12600+86900+274000-73565+69862+((548818+750000+750000+1000000+200000+750000+400000+2000000+3000000+1970000+500000+500000+50000+50000+300000+92450+1224076-1224076-1970000)+400000+17500+75000+42000+48000+1738790+1007090+500000+292490.88+49000+110000+78000+220000+250000+250000+49000+49000+1261682+92850.01+291970)</f>
        <v>23117843.890000004</v>
      </c>
      <c r="L46" s="323">
        <f>(20260670+4446400+3714280+69930+22978640+1904840+107920+944650+28110+4600+143360-2848150)-16400</f>
        <v>51738850</v>
      </c>
      <c r="M46" s="323">
        <f>(20260670-803420)</f>
        <v>19457250</v>
      </c>
      <c r="N46" s="323">
        <f>(315710+155250+435040+38650-30130)</f>
        <v>914520</v>
      </c>
      <c r="O46" s="977">
        <f>(K46+840800-39000)+16400</f>
        <v>23936043.890000004</v>
      </c>
      <c r="P46" s="928">
        <f t="shared" si="23"/>
        <v>364809406.02999997</v>
      </c>
      <c r="Q46" s="195"/>
      <c r="R46" s="124" t="b">
        <f>K46=[1]d6!J31+[1]d6!J32+[1]d6!J33+[1]d6!J34+[1]d6!J35+[1]d6!J36+[1]d6!J37+[1]d6!J38+[1]d6!J39+[1]d6!J40+[1]d6!J41+[1]d6!J42+[1]d6!J43+[1]d6!J44+[1]d6!J45+[1]d6!J46+[1]d6!J47+[1]d6!J48+[1]d6!J49+[1]d6!J50+[1]d6!J51+[1]d6!J52+[1]d6!J53+[1]d6!J54+[1]d6!J55+[1]d6!J56+[1]d6!J57+[1]d6!J58+[1]d6!J59</f>
        <v>1</v>
      </c>
      <c r="T46" s="236"/>
    </row>
    <row r="47" spans="1:20" ht="276" thickTop="1" thickBot="1" x14ac:dyDescent="0.25">
      <c r="A47" s="927" t="s">
        <v>809</v>
      </c>
      <c r="B47" s="927" t="s">
        <v>810</v>
      </c>
      <c r="C47" s="927" t="s">
        <v>225</v>
      </c>
      <c r="D47" s="927" t="s">
        <v>543</v>
      </c>
      <c r="E47" s="928">
        <f t="shared" si="25"/>
        <v>23001882</v>
      </c>
      <c r="F47" s="323">
        <f>((21983082)+14000-38115-8385)+818000+193300+30000+10000</f>
        <v>23001882</v>
      </c>
      <c r="G47" s="323">
        <f>((18140130-1420850)-38115)+818000</f>
        <v>17499165</v>
      </c>
      <c r="H47" s="323">
        <f>((779700+14900+108615+22080-80427)+14000)+192900+400</f>
        <v>1052168</v>
      </c>
      <c r="I47" s="323"/>
      <c r="J47" s="928">
        <f t="shared" si="22"/>
        <v>946753</v>
      </c>
      <c r="K47" s="323">
        <f>-54288+((300000+100000+120000+38430+59425+30000-30000)+16386+314900)</f>
        <v>894853</v>
      </c>
      <c r="L47" s="323">
        <f>(10100+6900+2500+30600+1800)</f>
        <v>51900</v>
      </c>
      <c r="M47" s="323"/>
      <c r="N47" s="323">
        <f>(18600+800+10600+600)</f>
        <v>30600</v>
      </c>
      <c r="O47" s="977">
        <f>K47</f>
        <v>894853</v>
      </c>
      <c r="P47" s="928">
        <f t="shared" si="23"/>
        <v>23948635</v>
      </c>
      <c r="R47" s="368" t="b">
        <f>K47=[1]d6!J60+[1]d6!J61</f>
        <v>1</v>
      </c>
    </row>
    <row r="48" spans="1:20" ht="184.5" thickTop="1" thickBot="1" x14ac:dyDescent="0.25">
      <c r="A48" s="927" t="s">
        <v>1318</v>
      </c>
      <c r="B48" s="927" t="s">
        <v>1319</v>
      </c>
      <c r="C48" s="927" t="s">
        <v>225</v>
      </c>
      <c r="D48" s="927" t="s">
        <v>1320</v>
      </c>
      <c r="E48" s="928">
        <f t="shared" si="25"/>
        <v>4274885.82</v>
      </c>
      <c r="F48" s="323">
        <f>1626992+355000+25000+1600+1764440+13500+293420+37415+137520+2985+28053.82-11040</f>
        <v>4274885.82</v>
      </c>
      <c r="G48" s="323">
        <v>1626992</v>
      </c>
      <c r="H48" s="323">
        <f>293420+37415+137520+2985</f>
        <v>471340</v>
      </c>
      <c r="I48" s="323"/>
      <c r="J48" s="928">
        <f t="shared" si="22"/>
        <v>0</v>
      </c>
      <c r="K48" s="323"/>
      <c r="L48" s="323"/>
      <c r="M48" s="323"/>
      <c r="N48" s="323"/>
      <c r="O48" s="977">
        <f>K48</f>
        <v>0</v>
      </c>
      <c r="P48" s="928">
        <f t="shared" si="23"/>
        <v>4274885.82</v>
      </c>
      <c r="R48" s="368"/>
    </row>
    <row r="49" spans="1:18" ht="138.75" thickTop="1" thickBot="1" x14ac:dyDescent="0.25">
      <c r="A49" s="445" t="s">
        <v>544</v>
      </c>
      <c r="B49" s="445" t="s">
        <v>223</v>
      </c>
      <c r="C49" s="445"/>
      <c r="D49" s="445" t="s">
        <v>817</v>
      </c>
      <c r="E49" s="446">
        <f>E50</f>
        <v>608795058</v>
      </c>
      <c r="F49" s="446">
        <f>F50</f>
        <v>608795058</v>
      </c>
      <c r="G49" s="446">
        <f t="shared" ref="G49:P49" si="26">G50</f>
        <v>496181500</v>
      </c>
      <c r="H49" s="446">
        <f t="shared" si="26"/>
        <v>0</v>
      </c>
      <c r="I49" s="446">
        <f t="shared" si="26"/>
        <v>0</v>
      </c>
      <c r="J49" s="446">
        <f t="shared" si="26"/>
        <v>0</v>
      </c>
      <c r="K49" s="446">
        <f t="shared" si="26"/>
        <v>0</v>
      </c>
      <c r="L49" s="446">
        <f t="shared" si="26"/>
        <v>0</v>
      </c>
      <c r="M49" s="446">
        <f t="shared" si="26"/>
        <v>0</v>
      </c>
      <c r="N49" s="446">
        <f t="shared" si="26"/>
        <v>0</v>
      </c>
      <c r="O49" s="446">
        <f t="shared" si="26"/>
        <v>0</v>
      </c>
      <c r="P49" s="446">
        <f t="shared" si="26"/>
        <v>608795058</v>
      </c>
      <c r="R49" s="409"/>
    </row>
    <row r="50" spans="1:18" ht="138.75" thickTop="1" thickBot="1" x14ac:dyDescent="0.25">
      <c r="A50" s="927" t="s">
        <v>818</v>
      </c>
      <c r="B50" s="927" t="s">
        <v>819</v>
      </c>
      <c r="C50" s="927" t="s">
        <v>222</v>
      </c>
      <c r="D50" s="927" t="s">
        <v>801</v>
      </c>
      <c r="E50" s="928">
        <f t="shared" ref="E50" si="27">F50</f>
        <v>608795058</v>
      </c>
      <c r="F50" s="323">
        <v>608795058</v>
      </c>
      <c r="G50" s="323">
        <v>496181500</v>
      </c>
      <c r="H50" s="323"/>
      <c r="I50" s="323"/>
      <c r="J50" s="928">
        <f t="shared" ref="J50" si="28">L50+O50</f>
        <v>0</v>
      </c>
      <c r="K50" s="323"/>
      <c r="L50" s="323"/>
      <c r="M50" s="323"/>
      <c r="N50" s="323"/>
      <c r="O50" s="977">
        <f>K50</f>
        <v>0</v>
      </c>
      <c r="P50" s="928">
        <f t="shared" ref="P50:P53" si="29">E50+J50</f>
        <v>608795058</v>
      </c>
      <c r="R50" s="191"/>
    </row>
    <row r="51" spans="1:18" ht="409.6" thickTop="1" x14ac:dyDescent="0.65">
      <c r="A51" s="1221" t="s">
        <v>1169</v>
      </c>
      <c r="B51" s="1221" t="s">
        <v>52</v>
      </c>
      <c r="C51" s="1221"/>
      <c r="D51" s="985" t="s">
        <v>1172</v>
      </c>
      <c r="E51" s="1214">
        <f t="shared" ref="E51:O51" si="30">E53</f>
        <v>0</v>
      </c>
      <c r="F51" s="1214">
        <f t="shared" si="30"/>
        <v>0</v>
      </c>
      <c r="G51" s="1214">
        <f t="shared" si="30"/>
        <v>0</v>
      </c>
      <c r="H51" s="1214">
        <f t="shared" si="30"/>
        <v>0</v>
      </c>
      <c r="I51" s="1214">
        <f t="shared" si="30"/>
        <v>0</v>
      </c>
      <c r="J51" s="1214">
        <f t="shared" si="30"/>
        <v>6197509.9900000002</v>
      </c>
      <c r="K51" s="1214">
        <f t="shared" si="30"/>
        <v>6197509.9900000002</v>
      </c>
      <c r="L51" s="1214">
        <f t="shared" si="30"/>
        <v>0</v>
      </c>
      <c r="M51" s="1214">
        <f t="shared" si="30"/>
        <v>0</v>
      </c>
      <c r="N51" s="1214">
        <f t="shared" si="30"/>
        <v>0</v>
      </c>
      <c r="O51" s="1214">
        <f t="shared" si="30"/>
        <v>6197509.9900000002</v>
      </c>
      <c r="P51" s="1214">
        <f>E51+J51</f>
        <v>6197509.9900000002</v>
      </c>
      <c r="R51" s="191"/>
    </row>
    <row r="52" spans="1:18" ht="183.75" thickBot="1" x14ac:dyDescent="0.25">
      <c r="A52" s="1026"/>
      <c r="B52" s="1026"/>
      <c r="C52" s="1026"/>
      <c r="D52" s="986" t="s">
        <v>1173</v>
      </c>
      <c r="E52" s="1026"/>
      <c r="F52" s="1026"/>
      <c r="G52" s="1026"/>
      <c r="H52" s="1026"/>
      <c r="I52" s="1026"/>
      <c r="J52" s="1026"/>
      <c r="K52" s="1026"/>
      <c r="L52" s="1026"/>
      <c r="M52" s="1026"/>
      <c r="N52" s="1026"/>
      <c r="O52" s="1026"/>
      <c r="P52" s="1026"/>
      <c r="R52" s="191"/>
    </row>
    <row r="53" spans="1:18" ht="138.75" thickTop="1" thickBot="1" x14ac:dyDescent="0.25">
      <c r="A53" s="927" t="s">
        <v>1170</v>
      </c>
      <c r="B53" s="927" t="s">
        <v>1171</v>
      </c>
      <c r="C53" s="927" t="s">
        <v>222</v>
      </c>
      <c r="D53" s="927" t="s">
        <v>1174</v>
      </c>
      <c r="E53" s="928">
        <f t="shared" ref="E53" si="31">F53</f>
        <v>0</v>
      </c>
      <c r="F53" s="323"/>
      <c r="G53" s="323"/>
      <c r="H53" s="323"/>
      <c r="I53" s="323"/>
      <c r="J53" s="928">
        <f t="shared" ref="J53" si="32">L53+O53</f>
        <v>6197509.9900000002</v>
      </c>
      <c r="K53" s="323">
        <f>700000+700000+2000000+700000+500000+107149.99+400000+400000+690360</f>
        <v>6197509.9900000002</v>
      </c>
      <c r="L53" s="323"/>
      <c r="M53" s="323"/>
      <c r="N53" s="323"/>
      <c r="O53" s="977">
        <f>K53</f>
        <v>6197509.9900000002</v>
      </c>
      <c r="P53" s="928">
        <f t="shared" si="29"/>
        <v>6197509.9900000002</v>
      </c>
      <c r="R53" s="124" t="b">
        <f>K53=[1]d6!J62+[1]d6!J63+[1]d6!J64+[1]d6!J65+[1]d6!J66+[1]d6!J67+[1]d6!J68+[1]d6!J69+[1]d6!J70</f>
        <v>1</v>
      </c>
    </row>
    <row r="54" spans="1:18" ht="184.5" thickTop="1" thickBot="1" x14ac:dyDescent="0.25">
      <c r="A54" s="927" t="s">
        <v>820</v>
      </c>
      <c r="B54" s="927" t="s">
        <v>224</v>
      </c>
      <c r="C54" s="927" t="s">
        <v>199</v>
      </c>
      <c r="D54" s="927" t="s">
        <v>545</v>
      </c>
      <c r="E54" s="928">
        <f t="shared" si="25"/>
        <v>33303488</v>
      </c>
      <c r="F54" s="323">
        <f>36000-31000+198000+43600+210+3420+16600+3720+(((27590745+205730+10500+221500+130820+1620460+33365+388480+37100+8875+121133)+56500+75000+918750+1201665+264366+22418+49800+391485+31000+93850+328696)-542300-257700+30700)</f>
        <v>33303488</v>
      </c>
      <c r="G54" s="323">
        <f>(((22671115)+1201665)-542300)+198000</f>
        <v>23528480</v>
      </c>
      <c r="H54" s="323">
        <f>(((1620460+33365+388480+37100)+56500)+30700)+210+3420+16600</f>
        <v>2186835</v>
      </c>
      <c r="I54" s="323"/>
      <c r="J54" s="928">
        <f t="shared" si="22"/>
        <v>8216245</v>
      </c>
      <c r="K54" s="323">
        <f>-352450+31000+((761045)+177100+2000000)</f>
        <v>2616695</v>
      </c>
      <c r="L54" s="323">
        <f>(1398310+307720+983700+48960+1732500+659140+33260+245150+4900+64910)</f>
        <v>5478550</v>
      </c>
      <c r="M54" s="323">
        <v>1398310</v>
      </c>
      <c r="N54" s="323">
        <f>(14930+1030+228040+1150)</f>
        <v>245150</v>
      </c>
      <c r="O54" s="977">
        <f>K54+121000</f>
        <v>2737695</v>
      </c>
      <c r="P54" s="928">
        <f t="shared" si="23"/>
        <v>41519733</v>
      </c>
      <c r="R54" s="124" t="b">
        <f>K54=[1]d6!J71+[1]d6!J72</f>
        <v>1</v>
      </c>
    </row>
    <row r="55" spans="1:18" ht="184.5" thickTop="1" thickBot="1" x14ac:dyDescent="0.25">
      <c r="A55" s="445" t="s">
        <v>226</v>
      </c>
      <c r="B55" s="445" t="s">
        <v>209</v>
      </c>
      <c r="C55" s="445"/>
      <c r="D55" s="445" t="s">
        <v>547</v>
      </c>
      <c r="E55" s="446">
        <f>E56+E57</f>
        <v>121996632.98999999</v>
      </c>
      <c r="F55" s="446">
        <f t="shared" ref="F55:O55" si="33">F56+F57</f>
        <v>121996632.98999999</v>
      </c>
      <c r="G55" s="446">
        <f t="shared" si="33"/>
        <v>74091308.469999999</v>
      </c>
      <c r="H55" s="446">
        <f t="shared" si="33"/>
        <v>11139850</v>
      </c>
      <c r="I55" s="446">
        <f t="shared" si="33"/>
        <v>0</v>
      </c>
      <c r="J55" s="446">
        <f t="shared" si="33"/>
        <v>24082811</v>
      </c>
      <c r="K55" s="446">
        <f t="shared" si="33"/>
        <v>2028217</v>
      </c>
      <c r="L55" s="446">
        <f t="shared" si="33"/>
        <v>21894594</v>
      </c>
      <c r="M55" s="446">
        <f t="shared" si="33"/>
        <v>7129590</v>
      </c>
      <c r="N55" s="446">
        <f t="shared" si="33"/>
        <v>7488900</v>
      </c>
      <c r="O55" s="446">
        <f t="shared" si="33"/>
        <v>2188217</v>
      </c>
      <c r="P55" s="446">
        <f t="shared" si="23"/>
        <v>146079443.99000001</v>
      </c>
      <c r="R55" s="409"/>
    </row>
    <row r="56" spans="1:18" ht="230.25" thickTop="1" thickBot="1" x14ac:dyDescent="0.25">
      <c r="A56" s="927" t="s">
        <v>821</v>
      </c>
      <c r="B56" s="927" t="s">
        <v>822</v>
      </c>
      <c r="C56" s="927" t="s">
        <v>227</v>
      </c>
      <c r="D56" s="927" t="s">
        <v>823</v>
      </c>
      <c r="E56" s="928">
        <f t="shared" si="25"/>
        <v>104225532.98999999</v>
      </c>
      <c r="F56" s="323">
        <f>((99149586)+227750+30185+47050+160945+1806575+765263-2155895.53-398189.48-455467-6740-34278-840305)+4460413+788636+680005</f>
        <v>104225532.98999999</v>
      </c>
      <c r="G56" s="323">
        <f>((71786791-14686900)-2155895.53)+4460413</f>
        <v>59404408.469999999</v>
      </c>
      <c r="H56" s="323">
        <f>((6850730+76600+19000+3448900+561100)-455467-6740-34278)+680005</f>
        <v>11139850</v>
      </c>
      <c r="I56" s="323"/>
      <c r="J56" s="928">
        <f>L56+O56</f>
        <v>24082811</v>
      </c>
      <c r="K56" s="323">
        <f>300000+(1170637+15000+542580)</f>
        <v>2028217</v>
      </c>
      <c r="L56" s="323">
        <f>(((6797480+1421290+1203730+12000+1235200+849000+70500+6568900+81500+2101880+60940+71000)+95000)+332110+74064)+320000+300000+290290+9710</f>
        <v>21894594</v>
      </c>
      <c r="M56" s="323">
        <f>(6797480)+332110</f>
        <v>7129590</v>
      </c>
      <c r="N56" s="323">
        <f>(3761200+749500+1883100+35000+140100)+320000+300000+290290+9710</f>
        <v>7488900</v>
      </c>
      <c r="O56" s="977">
        <f>K56+160000</f>
        <v>2188217</v>
      </c>
      <c r="P56" s="928">
        <f t="shared" si="23"/>
        <v>128308343.98999999</v>
      </c>
      <c r="R56" s="124" t="b">
        <f>K56=[1]d6!J73+[1]d6!J74+[1]d6!J75</f>
        <v>1</v>
      </c>
    </row>
    <row r="57" spans="1:18" ht="230.25" thickTop="1" thickBot="1" x14ac:dyDescent="0.25">
      <c r="A57" s="927" t="s">
        <v>825</v>
      </c>
      <c r="B57" s="927" t="s">
        <v>824</v>
      </c>
      <c r="C57" s="927" t="s">
        <v>227</v>
      </c>
      <c r="D57" s="927" t="s">
        <v>826</v>
      </c>
      <c r="E57" s="928">
        <f t="shared" si="25"/>
        <v>17771100</v>
      </c>
      <c r="F57" s="323">
        <v>17771100</v>
      </c>
      <c r="G57" s="323">
        <v>14686900</v>
      </c>
      <c r="H57" s="323"/>
      <c r="I57" s="323"/>
      <c r="J57" s="928">
        <f>L57+O57</f>
        <v>0</v>
      </c>
      <c r="K57" s="323"/>
      <c r="L57" s="323"/>
      <c r="M57" s="323"/>
      <c r="N57" s="323"/>
      <c r="O57" s="977"/>
      <c r="P57" s="928">
        <f t="shared" si="23"/>
        <v>17771100</v>
      </c>
      <c r="R57" s="191"/>
    </row>
    <row r="58" spans="1:18" ht="93" thickTop="1" thickBot="1" x14ac:dyDescent="0.25">
      <c r="A58" s="445" t="s">
        <v>828</v>
      </c>
      <c r="B58" s="445" t="s">
        <v>827</v>
      </c>
      <c r="C58" s="445"/>
      <c r="D58" s="445" t="s">
        <v>829</v>
      </c>
      <c r="E58" s="446">
        <f>E59+E60</f>
        <v>28298072</v>
      </c>
      <c r="F58" s="446">
        <f t="shared" ref="F58:O58" si="34">F59+F60</f>
        <v>28298072</v>
      </c>
      <c r="G58" s="446">
        <f t="shared" si="34"/>
        <v>20668662</v>
      </c>
      <c r="H58" s="446">
        <f t="shared" si="34"/>
        <v>837815</v>
      </c>
      <c r="I58" s="446">
        <f t="shared" si="34"/>
        <v>0</v>
      </c>
      <c r="J58" s="446">
        <f t="shared" si="34"/>
        <v>414600</v>
      </c>
      <c r="K58" s="446">
        <f t="shared" si="34"/>
        <v>0</v>
      </c>
      <c r="L58" s="446">
        <f t="shared" si="34"/>
        <v>414600</v>
      </c>
      <c r="M58" s="446">
        <f t="shared" si="34"/>
        <v>192420</v>
      </c>
      <c r="N58" s="446">
        <f t="shared" si="34"/>
        <v>51910</v>
      </c>
      <c r="O58" s="446">
        <f t="shared" si="34"/>
        <v>0</v>
      </c>
      <c r="P58" s="446">
        <f>E58+J58</f>
        <v>28712672</v>
      </c>
      <c r="R58" s="409"/>
    </row>
    <row r="59" spans="1:18" ht="93" thickTop="1" thickBot="1" x14ac:dyDescent="0.25">
      <c r="A59" s="927" t="s">
        <v>830</v>
      </c>
      <c r="B59" s="927" t="s">
        <v>831</v>
      </c>
      <c r="C59" s="927" t="s">
        <v>228</v>
      </c>
      <c r="D59" s="927" t="s">
        <v>548</v>
      </c>
      <c r="E59" s="928">
        <f>F59</f>
        <v>28090832</v>
      </c>
      <c r="F59" s="323">
        <f>((27876650+503000+1370+1193900+45500+638560+11800+2700+192610+15890+5070+2700+300+50000-2996350)+53000+151800+63100+20000)+97700+95700+29200+25000+11632</f>
        <v>28090832</v>
      </c>
      <c r="G59" s="323">
        <f>(22849710-2181048)</f>
        <v>20668662</v>
      </c>
      <c r="H59" s="323">
        <f>((638560+11800+2700+192610+15890-174445)+53000)+17000+2600+77000+1100</f>
        <v>837815</v>
      </c>
      <c r="I59" s="323"/>
      <c r="J59" s="928">
        <f>L59+O59</f>
        <v>414600</v>
      </c>
      <c r="K59" s="323"/>
      <c r="L59" s="323">
        <f>(192420+42340+66010+2500+46010+1210+51910+3000+9200)</f>
        <v>414600</v>
      </c>
      <c r="M59" s="323">
        <v>192420</v>
      </c>
      <c r="N59" s="323">
        <f>(45600+2540+3440+330)</f>
        <v>51910</v>
      </c>
      <c r="O59" s="977">
        <f>K59</f>
        <v>0</v>
      </c>
      <c r="P59" s="928">
        <f>E59+J59</f>
        <v>28505432</v>
      </c>
      <c r="R59" s="191"/>
    </row>
    <row r="60" spans="1:18" ht="93" thickTop="1" thickBot="1" x14ac:dyDescent="0.25">
      <c r="A60" s="927" t="s">
        <v>832</v>
      </c>
      <c r="B60" s="927" t="s">
        <v>833</v>
      </c>
      <c r="C60" s="927" t="s">
        <v>228</v>
      </c>
      <c r="D60" s="927" t="s">
        <v>362</v>
      </c>
      <c r="E60" s="928">
        <f>F60</f>
        <v>207240</v>
      </c>
      <c r="F60" s="323">
        <f>(200000)+7240</f>
        <v>207240</v>
      </c>
      <c r="G60" s="323"/>
      <c r="H60" s="323"/>
      <c r="I60" s="323"/>
      <c r="J60" s="928">
        <f>L60+O60</f>
        <v>0</v>
      </c>
      <c r="K60" s="323"/>
      <c r="L60" s="323"/>
      <c r="M60" s="323"/>
      <c r="N60" s="323"/>
      <c r="O60" s="977">
        <f>K60</f>
        <v>0</v>
      </c>
      <c r="P60" s="928">
        <f>E60+J60</f>
        <v>207240</v>
      </c>
      <c r="R60" s="191"/>
    </row>
    <row r="61" spans="1:18" ht="93" thickTop="1" thickBot="1" x14ac:dyDescent="0.25">
      <c r="A61" s="445" t="s">
        <v>834</v>
      </c>
      <c r="B61" s="445" t="s">
        <v>835</v>
      </c>
      <c r="C61" s="445"/>
      <c r="D61" s="445" t="s">
        <v>459</v>
      </c>
      <c r="E61" s="446">
        <f>E62+E63</f>
        <v>5034485</v>
      </c>
      <c r="F61" s="446">
        <f>F62+F63</f>
        <v>5034485</v>
      </c>
      <c r="G61" s="446">
        <f t="shared" ref="G61:O61" si="35">G62+G63</f>
        <v>3766490</v>
      </c>
      <c r="H61" s="446">
        <f t="shared" si="35"/>
        <v>87755</v>
      </c>
      <c r="I61" s="446">
        <f t="shared" si="35"/>
        <v>0</v>
      </c>
      <c r="J61" s="446">
        <f t="shared" si="35"/>
        <v>50000</v>
      </c>
      <c r="K61" s="446">
        <f t="shared" si="35"/>
        <v>50000</v>
      </c>
      <c r="L61" s="446">
        <f t="shared" si="35"/>
        <v>0</v>
      </c>
      <c r="M61" s="446">
        <f t="shared" si="35"/>
        <v>0</v>
      </c>
      <c r="N61" s="446">
        <f t="shared" si="35"/>
        <v>0</v>
      </c>
      <c r="O61" s="446">
        <f t="shared" si="35"/>
        <v>50000</v>
      </c>
      <c r="P61" s="446">
        <f>E61+J61</f>
        <v>5084485</v>
      </c>
      <c r="R61" s="409"/>
    </row>
    <row r="62" spans="1:18" ht="184.5" thickTop="1" thickBot="1" x14ac:dyDescent="0.25">
      <c r="A62" s="927" t="s">
        <v>836</v>
      </c>
      <c r="B62" s="927" t="s">
        <v>837</v>
      </c>
      <c r="C62" s="927" t="s">
        <v>228</v>
      </c>
      <c r="D62" s="927" t="s">
        <v>838</v>
      </c>
      <c r="E62" s="928">
        <f>F62</f>
        <v>1147685</v>
      </c>
      <c r="F62" s="323">
        <f>(708190+179200+39200+15020+76200+1430+6000+4125+2320)+116000</f>
        <v>1147685</v>
      </c>
      <c r="G62" s="323">
        <f>(580490)</f>
        <v>580490</v>
      </c>
      <c r="H62" s="323">
        <f>(76200+1430+6000+4125)</f>
        <v>87755</v>
      </c>
      <c r="I62" s="323"/>
      <c r="J62" s="928">
        <f>L62+O62</f>
        <v>50000</v>
      </c>
      <c r="K62" s="323">
        <v>50000</v>
      </c>
      <c r="L62" s="323"/>
      <c r="M62" s="323"/>
      <c r="N62" s="323"/>
      <c r="O62" s="977">
        <f>K62</f>
        <v>50000</v>
      </c>
      <c r="P62" s="928">
        <f>E62+J62</f>
        <v>1197685</v>
      </c>
      <c r="R62" s="124" t="b">
        <f>K62=[1]d6!J76</f>
        <v>1</v>
      </c>
    </row>
    <row r="63" spans="1:18" ht="138.75" thickTop="1" thickBot="1" x14ac:dyDescent="0.25">
      <c r="A63" s="927" t="s">
        <v>839</v>
      </c>
      <c r="B63" s="927" t="s">
        <v>840</v>
      </c>
      <c r="C63" s="927" t="s">
        <v>228</v>
      </c>
      <c r="D63" s="927" t="s">
        <v>841</v>
      </c>
      <c r="E63" s="928">
        <f>F63</f>
        <v>3886800</v>
      </c>
      <c r="F63" s="323">
        <f>(3886800)</f>
        <v>3886800</v>
      </c>
      <c r="G63" s="323">
        <f>(3186000)</f>
        <v>3186000</v>
      </c>
      <c r="H63" s="323"/>
      <c r="I63" s="323"/>
      <c r="J63" s="928">
        <f t="shared" ref="J63:J64" si="36">L63+O63</f>
        <v>0</v>
      </c>
      <c r="K63" s="323"/>
      <c r="L63" s="323"/>
      <c r="M63" s="323"/>
      <c r="N63" s="323"/>
      <c r="O63" s="977">
        <f t="shared" ref="O63:O64" si="37">K63</f>
        <v>0</v>
      </c>
      <c r="P63" s="928">
        <f t="shared" ref="P63:P70" si="38">E63+J63</f>
        <v>3886800</v>
      </c>
      <c r="R63" s="191"/>
    </row>
    <row r="64" spans="1:18" ht="138.75" thickTop="1" thickBot="1" x14ac:dyDescent="0.25">
      <c r="A64" s="927" t="s">
        <v>806</v>
      </c>
      <c r="B64" s="927" t="s">
        <v>807</v>
      </c>
      <c r="C64" s="927" t="s">
        <v>228</v>
      </c>
      <c r="D64" s="927" t="s">
        <v>808</v>
      </c>
      <c r="E64" s="928">
        <f t="shared" ref="E64:E77" si="39">F64</f>
        <v>2060415</v>
      </c>
      <c r="F64" s="323">
        <f>(2996350)-692000-152240-80795-2000-8900</f>
        <v>2060415</v>
      </c>
      <c r="G64" s="323">
        <f>(2181048)-692000</f>
        <v>1489048</v>
      </c>
      <c r="H64" s="323">
        <f>(174445)-80795-2000-8900</f>
        <v>82750</v>
      </c>
      <c r="I64" s="323"/>
      <c r="J64" s="928">
        <f t="shared" si="36"/>
        <v>50000</v>
      </c>
      <c r="K64" s="323">
        <v>50000</v>
      </c>
      <c r="L64" s="323"/>
      <c r="M64" s="323"/>
      <c r="N64" s="323"/>
      <c r="O64" s="977">
        <f t="shared" si="37"/>
        <v>50000</v>
      </c>
      <c r="P64" s="928">
        <f t="shared" si="38"/>
        <v>2110415</v>
      </c>
      <c r="R64" s="124" t="b">
        <f>K64=[1]d6!J77</f>
        <v>1</v>
      </c>
    </row>
    <row r="65" spans="1:18" s="39" customFormat="1" ht="230.25" thickTop="1" thickBot="1" x14ac:dyDescent="0.25">
      <c r="A65" s="445" t="s">
        <v>811</v>
      </c>
      <c r="B65" s="445" t="s">
        <v>812</v>
      </c>
      <c r="C65" s="445"/>
      <c r="D65" s="445" t="s">
        <v>813</v>
      </c>
      <c r="E65" s="446">
        <f t="shared" si="39"/>
        <v>9043301</v>
      </c>
      <c r="F65" s="446">
        <f>SUM(F66:F67)</f>
        <v>9043301</v>
      </c>
      <c r="G65" s="446">
        <f t="shared" ref="G65:I65" si="40">SUM(G66:G67)</f>
        <v>0</v>
      </c>
      <c r="H65" s="446">
        <f t="shared" si="40"/>
        <v>0</v>
      </c>
      <c r="I65" s="446">
        <f t="shared" si="40"/>
        <v>0</v>
      </c>
      <c r="J65" s="446">
        <f t="shared" si="22"/>
        <v>3500200</v>
      </c>
      <c r="K65" s="446">
        <f>SUM(K66:K67)</f>
        <v>3500200</v>
      </c>
      <c r="L65" s="446">
        <f t="shared" ref="L65:N65" si="41">SUM(L66:L67)</f>
        <v>0</v>
      </c>
      <c r="M65" s="446">
        <f t="shared" si="41"/>
        <v>0</v>
      </c>
      <c r="N65" s="446">
        <f t="shared" si="41"/>
        <v>0</v>
      </c>
      <c r="O65" s="446">
        <f>SUM(O66:O67)</f>
        <v>3500200</v>
      </c>
      <c r="P65" s="446">
        <f t="shared" si="38"/>
        <v>12543501</v>
      </c>
      <c r="Q65" s="194"/>
      <c r="R65" s="48"/>
    </row>
    <row r="66" spans="1:18" s="39" customFormat="1" ht="367.5" thickTop="1" thickBot="1" x14ac:dyDescent="0.25">
      <c r="A66" s="927" t="s">
        <v>814</v>
      </c>
      <c r="B66" s="927" t="s">
        <v>815</v>
      </c>
      <c r="C66" s="927" t="s">
        <v>228</v>
      </c>
      <c r="D66" s="927" t="s">
        <v>816</v>
      </c>
      <c r="E66" s="928">
        <f t="shared" si="39"/>
        <v>4362735</v>
      </c>
      <c r="F66" s="323">
        <f>(2300000+600000)+1462735</f>
        <v>4362735</v>
      </c>
      <c r="G66" s="323"/>
      <c r="H66" s="323"/>
      <c r="I66" s="323"/>
      <c r="J66" s="928">
        <f t="shared" si="22"/>
        <v>2117071</v>
      </c>
      <c r="K66" s="323">
        <f>117071+(2000000)</f>
        <v>2117071</v>
      </c>
      <c r="L66" s="323"/>
      <c r="M66" s="323"/>
      <c r="N66" s="323"/>
      <c r="O66" s="977">
        <f t="shared" ref="O66:O67" si="42">K66</f>
        <v>2117071</v>
      </c>
      <c r="P66" s="928">
        <f t="shared" si="38"/>
        <v>6479806</v>
      </c>
      <c r="Q66" s="194"/>
      <c r="R66" s="124" t="b">
        <f>K66=[1]d6!J78</f>
        <v>1</v>
      </c>
    </row>
    <row r="67" spans="1:18" s="39" customFormat="1" ht="321.75" thickTop="1" thickBot="1" x14ac:dyDescent="0.25">
      <c r="A67" s="927" t="s">
        <v>1291</v>
      </c>
      <c r="B67" s="927" t="s">
        <v>1292</v>
      </c>
      <c r="C67" s="927" t="s">
        <v>228</v>
      </c>
      <c r="D67" s="927" t="s">
        <v>1293</v>
      </c>
      <c r="E67" s="928">
        <f t="shared" si="39"/>
        <v>4680566</v>
      </c>
      <c r="F67" s="323">
        <v>4680566</v>
      </c>
      <c r="G67" s="323"/>
      <c r="H67" s="323"/>
      <c r="I67" s="323"/>
      <c r="J67" s="928">
        <f t="shared" si="22"/>
        <v>1383129</v>
      </c>
      <c r="K67" s="323">
        <v>1383129</v>
      </c>
      <c r="L67" s="323"/>
      <c r="M67" s="323"/>
      <c r="N67" s="323"/>
      <c r="O67" s="977">
        <f t="shared" si="42"/>
        <v>1383129</v>
      </c>
      <c r="P67" s="928">
        <f t="shared" si="38"/>
        <v>6063695</v>
      </c>
      <c r="Q67" s="194"/>
      <c r="R67" s="124" t="b">
        <f>K67=[1]d6!J79</f>
        <v>1</v>
      </c>
    </row>
    <row r="68" spans="1:18" s="39" customFormat="1" ht="409.6" hidden="1" thickTop="1" thickBot="1" x14ac:dyDescent="0.25">
      <c r="A68" s="445" t="s">
        <v>1321</v>
      </c>
      <c r="B68" s="445" t="s">
        <v>1323</v>
      </c>
      <c r="C68" s="445"/>
      <c r="D68" s="445" t="s">
        <v>1325</v>
      </c>
      <c r="E68" s="446">
        <f>E69+E70</f>
        <v>0</v>
      </c>
      <c r="F68" s="446">
        <f>F69+F70</f>
        <v>0</v>
      </c>
      <c r="G68" s="446">
        <f t="shared" ref="G68:I68" si="43">G69+G70</f>
        <v>0</v>
      </c>
      <c r="H68" s="446">
        <f t="shared" si="43"/>
        <v>0</v>
      </c>
      <c r="I68" s="446">
        <f t="shared" si="43"/>
        <v>0</v>
      </c>
      <c r="J68" s="446">
        <f>L68+O68</f>
        <v>0</v>
      </c>
      <c r="K68" s="446">
        <f t="shared" ref="K68:O68" si="44">K69+K70</f>
        <v>0</v>
      </c>
      <c r="L68" s="446">
        <f t="shared" si="44"/>
        <v>0</v>
      </c>
      <c r="M68" s="446">
        <f t="shared" si="44"/>
        <v>0</v>
      </c>
      <c r="N68" s="446">
        <f t="shared" si="44"/>
        <v>0</v>
      </c>
      <c r="O68" s="446">
        <f t="shared" si="44"/>
        <v>0</v>
      </c>
      <c r="P68" s="446">
        <f t="shared" si="38"/>
        <v>0</v>
      </c>
      <c r="Q68" s="194"/>
      <c r="R68" s="124"/>
    </row>
    <row r="69" spans="1:18" s="39" customFormat="1" ht="409.6" hidden="1" thickTop="1" thickBot="1" x14ac:dyDescent="0.25">
      <c r="A69" s="927" t="s">
        <v>1322</v>
      </c>
      <c r="B69" s="927" t="s">
        <v>1324</v>
      </c>
      <c r="C69" s="927" t="s">
        <v>228</v>
      </c>
      <c r="D69" s="927" t="s">
        <v>1326</v>
      </c>
      <c r="E69" s="928">
        <f t="shared" ref="E69:E70" si="45">F69</f>
        <v>0</v>
      </c>
      <c r="F69" s="323"/>
      <c r="G69" s="323"/>
      <c r="H69" s="323"/>
      <c r="I69" s="323"/>
      <c r="J69" s="928">
        <f t="shared" ref="J69:J70" si="46">L69+O69</f>
        <v>0</v>
      </c>
      <c r="K69" s="323">
        <f>4547046.18-4547046.18</f>
        <v>0</v>
      </c>
      <c r="L69" s="323"/>
      <c r="M69" s="323"/>
      <c r="N69" s="323"/>
      <c r="O69" s="977">
        <f t="shared" ref="O69:O70" si="47">K69</f>
        <v>0</v>
      </c>
      <c r="P69" s="928">
        <f t="shared" si="38"/>
        <v>0</v>
      </c>
      <c r="Q69" s="194"/>
      <c r="R69" s="124" t="b">
        <f>K69=[1]d6!J80</f>
        <v>1</v>
      </c>
    </row>
    <row r="70" spans="1:18" s="39" customFormat="1" ht="312" hidden="1" customHeight="1" thickTop="1" x14ac:dyDescent="0.2">
      <c r="A70" s="1024" t="s">
        <v>1350</v>
      </c>
      <c r="B70" s="1024" t="s">
        <v>1351</v>
      </c>
      <c r="C70" s="1024" t="s">
        <v>228</v>
      </c>
      <c r="D70" s="1024" t="s">
        <v>1352</v>
      </c>
      <c r="E70" s="1215">
        <f t="shared" si="45"/>
        <v>0</v>
      </c>
      <c r="F70" s="1215"/>
      <c r="G70" s="1215"/>
      <c r="H70" s="1215"/>
      <c r="I70" s="1215"/>
      <c r="J70" s="1215">
        <f t="shared" si="46"/>
        <v>0</v>
      </c>
      <c r="K70" s="1216">
        <f>10623233.82-10623233.82</f>
        <v>0</v>
      </c>
      <c r="L70" s="1215"/>
      <c r="M70" s="1215"/>
      <c r="N70" s="1215"/>
      <c r="O70" s="1216">
        <f t="shared" si="47"/>
        <v>0</v>
      </c>
      <c r="P70" s="1215">
        <f t="shared" si="38"/>
        <v>0</v>
      </c>
      <c r="Q70" s="194"/>
      <c r="R70" s="124" t="b">
        <f>K70=[1]d6!J81</f>
        <v>1</v>
      </c>
    </row>
    <row r="71" spans="1:18" s="39" customFormat="1" ht="195" hidden="1" customHeight="1" thickBot="1" x14ac:dyDescent="0.25">
      <c r="A71" s="1026"/>
      <c r="B71" s="1026"/>
      <c r="C71" s="1026"/>
      <c r="D71" s="1026"/>
      <c r="E71" s="1026"/>
      <c r="F71" s="1026"/>
      <c r="G71" s="1026"/>
      <c r="H71" s="1026"/>
      <c r="I71" s="1026"/>
      <c r="J71" s="1026"/>
      <c r="K71" s="1026"/>
      <c r="L71" s="1026"/>
      <c r="M71" s="1026"/>
      <c r="N71" s="1026"/>
      <c r="O71" s="1026"/>
      <c r="P71" s="1026"/>
      <c r="Q71" s="194"/>
      <c r="R71" s="124"/>
    </row>
    <row r="72" spans="1:18" s="39" customFormat="1" ht="321.75" thickTop="1" thickBot="1" x14ac:dyDescent="0.25">
      <c r="A72" s="927" t="s">
        <v>803</v>
      </c>
      <c r="B72" s="927" t="s">
        <v>804</v>
      </c>
      <c r="C72" s="927" t="s">
        <v>228</v>
      </c>
      <c r="D72" s="927" t="s">
        <v>805</v>
      </c>
      <c r="E72" s="928">
        <f t="shared" si="39"/>
        <v>4721984</v>
      </c>
      <c r="F72" s="323">
        <f>4721984</f>
        <v>4721984</v>
      </c>
      <c r="G72" s="323">
        <f>(1855198+1937278)</f>
        <v>3792476</v>
      </c>
      <c r="H72" s="323"/>
      <c r="I72" s="323"/>
      <c r="J72" s="928">
        <f t="shared" ref="J72:J73" si="48">L72+O72</f>
        <v>2396198</v>
      </c>
      <c r="K72" s="323">
        <v>2396198</v>
      </c>
      <c r="L72" s="323"/>
      <c r="M72" s="323"/>
      <c r="N72" s="323"/>
      <c r="O72" s="977">
        <f t="shared" ref="O72:O73" si="49">K72</f>
        <v>2396198</v>
      </c>
      <c r="P72" s="928">
        <f t="shared" ref="P72:P73" si="50">E72+J72</f>
        <v>7118182</v>
      </c>
      <c r="Q72" s="194"/>
      <c r="R72" s="124" t="b">
        <f>K72=[1]d6!J83</f>
        <v>1</v>
      </c>
    </row>
    <row r="73" spans="1:18" s="39" customFormat="1" ht="321.75" thickTop="1" thickBot="1" x14ac:dyDescent="0.25">
      <c r="A73" s="927" t="s">
        <v>1213</v>
      </c>
      <c r="B73" s="927" t="s">
        <v>1214</v>
      </c>
      <c r="C73" s="927" t="s">
        <v>228</v>
      </c>
      <c r="D73" s="927" t="s">
        <v>1215</v>
      </c>
      <c r="E73" s="928">
        <f t="shared" si="39"/>
        <v>1072435</v>
      </c>
      <c r="F73" s="323">
        <f>879350+193085</f>
        <v>1072435</v>
      </c>
      <c r="G73" s="323">
        <v>879350</v>
      </c>
      <c r="H73" s="323"/>
      <c r="I73" s="323"/>
      <c r="J73" s="928">
        <f t="shared" si="48"/>
        <v>576190</v>
      </c>
      <c r="K73" s="323">
        <v>576190</v>
      </c>
      <c r="L73" s="323"/>
      <c r="M73" s="323"/>
      <c r="N73" s="323"/>
      <c r="O73" s="977">
        <f t="shared" si="49"/>
        <v>576190</v>
      </c>
      <c r="P73" s="928">
        <f t="shared" si="50"/>
        <v>1648625</v>
      </c>
      <c r="Q73" s="194"/>
      <c r="R73" s="124" t="b">
        <f>K73=[1]d6!J84</f>
        <v>1</v>
      </c>
    </row>
    <row r="74" spans="1:18" s="39" customFormat="1" ht="91.5" hidden="1" thickTop="1" thickBot="1" x14ac:dyDescent="0.25">
      <c r="A74" s="173" t="s">
        <v>869</v>
      </c>
      <c r="B74" s="173" t="s">
        <v>870</v>
      </c>
      <c r="C74" s="173"/>
      <c r="D74" s="173" t="s">
        <v>871</v>
      </c>
      <c r="E74" s="928">
        <f>SUM(E75)</f>
        <v>0</v>
      </c>
      <c r="F74" s="928">
        <f t="shared" ref="F74:O74" si="51">SUM(F75)</f>
        <v>0</v>
      </c>
      <c r="G74" s="928">
        <f t="shared" si="51"/>
        <v>0</v>
      </c>
      <c r="H74" s="928">
        <f t="shared" si="51"/>
        <v>0</v>
      </c>
      <c r="I74" s="928">
        <f t="shared" si="51"/>
        <v>0</v>
      </c>
      <c r="J74" s="928">
        <f t="shared" si="51"/>
        <v>0</v>
      </c>
      <c r="K74" s="928">
        <f t="shared" si="51"/>
        <v>0</v>
      </c>
      <c r="L74" s="928">
        <f t="shared" si="51"/>
        <v>0</v>
      </c>
      <c r="M74" s="928">
        <f t="shared" si="51"/>
        <v>0</v>
      </c>
      <c r="N74" s="928">
        <f t="shared" si="51"/>
        <v>0</v>
      </c>
      <c r="O74" s="928">
        <f t="shared" si="51"/>
        <v>0</v>
      </c>
      <c r="P74" s="928">
        <f>SUM(P75)</f>
        <v>0</v>
      </c>
      <c r="Q74" s="194"/>
      <c r="R74" s="124"/>
    </row>
    <row r="75" spans="1:18" s="39" customFormat="1" ht="367.5" hidden="1" thickTop="1" thickBot="1" x14ac:dyDescent="0.25">
      <c r="A75" s="927" t="s">
        <v>461</v>
      </c>
      <c r="B75" s="927" t="s">
        <v>462</v>
      </c>
      <c r="C75" s="927" t="s">
        <v>203</v>
      </c>
      <c r="D75" s="927" t="s">
        <v>460</v>
      </c>
      <c r="E75" s="928">
        <f t="shared" si="39"/>
        <v>0</v>
      </c>
      <c r="F75" s="323">
        <f>(2688000)-2688000</f>
        <v>0</v>
      </c>
      <c r="G75" s="323"/>
      <c r="H75" s="323"/>
      <c r="I75" s="323"/>
      <c r="J75" s="928">
        <f>L75+O75</f>
        <v>0</v>
      </c>
      <c r="K75" s="323"/>
      <c r="L75" s="323"/>
      <c r="M75" s="323"/>
      <c r="N75" s="323"/>
      <c r="O75" s="977">
        <f>K75</f>
        <v>0</v>
      </c>
      <c r="P75" s="928">
        <f>E75+J75</f>
        <v>0</v>
      </c>
      <c r="Q75" s="194"/>
      <c r="R75" s="196"/>
    </row>
    <row r="76" spans="1:18" s="39" customFormat="1" ht="230.25" thickTop="1" thickBot="1" x14ac:dyDescent="0.25">
      <c r="A76" s="445" t="s">
        <v>1327</v>
      </c>
      <c r="B76" s="445" t="s">
        <v>1329</v>
      </c>
      <c r="C76" s="445"/>
      <c r="D76" s="445" t="s">
        <v>1331</v>
      </c>
      <c r="E76" s="446">
        <f t="shared" si="39"/>
        <v>0</v>
      </c>
      <c r="F76" s="446">
        <f>F77</f>
        <v>0</v>
      </c>
      <c r="G76" s="446">
        <f t="shared" ref="G76:I76" si="52">G77</f>
        <v>0</v>
      </c>
      <c r="H76" s="446">
        <f t="shared" si="52"/>
        <v>0</v>
      </c>
      <c r="I76" s="446">
        <f t="shared" si="52"/>
        <v>0</v>
      </c>
      <c r="J76" s="446">
        <f>L76+O76</f>
        <v>1500000</v>
      </c>
      <c r="K76" s="446">
        <f t="shared" ref="K76:O76" si="53">K77</f>
        <v>1500000</v>
      </c>
      <c r="L76" s="446">
        <f t="shared" si="53"/>
        <v>0</v>
      </c>
      <c r="M76" s="446">
        <f t="shared" si="53"/>
        <v>0</v>
      </c>
      <c r="N76" s="446">
        <f t="shared" si="53"/>
        <v>0</v>
      </c>
      <c r="O76" s="446">
        <f t="shared" si="53"/>
        <v>1500000</v>
      </c>
      <c r="P76" s="446">
        <f>E76+J76</f>
        <v>1500000</v>
      </c>
      <c r="Q76" s="194"/>
      <c r="R76" s="196"/>
    </row>
    <row r="77" spans="1:18" s="39" customFormat="1" ht="367.5" thickTop="1" thickBot="1" x14ac:dyDescent="0.25">
      <c r="A77" s="927" t="s">
        <v>1328</v>
      </c>
      <c r="B77" s="927" t="s">
        <v>1330</v>
      </c>
      <c r="C77" s="927" t="s">
        <v>228</v>
      </c>
      <c r="D77" s="927" t="s">
        <v>1332</v>
      </c>
      <c r="E77" s="928">
        <f t="shared" si="39"/>
        <v>0</v>
      </c>
      <c r="F77" s="323"/>
      <c r="G77" s="323"/>
      <c r="H77" s="323"/>
      <c r="I77" s="323"/>
      <c r="J77" s="928">
        <f t="shared" ref="J77" si="54">L77+O77</f>
        <v>1500000</v>
      </c>
      <c r="K77" s="323">
        <f>100000+1400000</f>
        <v>1500000</v>
      </c>
      <c r="L77" s="323"/>
      <c r="M77" s="323"/>
      <c r="N77" s="323"/>
      <c r="O77" s="977">
        <f t="shared" ref="O77" si="55">K77</f>
        <v>1500000</v>
      </c>
      <c r="P77" s="928">
        <f>E77+J77</f>
        <v>1500000</v>
      </c>
      <c r="Q77" s="194"/>
      <c r="R77" s="124" t="b">
        <f>K77=[1]d6!J85+[1]d6!J86</f>
        <v>1</v>
      </c>
    </row>
    <row r="78" spans="1:18" s="39" customFormat="1" ht="47.25" thickTop="1" thickBot="1" x14ac:dyDescent="0.25">
      <c r="A78" s="173" t="s">
        <v>1373</v>
      </c>
      <c r="B78" s="173" t="s">
        <v>861</v>
      </c>
      <c r="C78" s="173"/>
      <c r="D78" s="173" t="s">
        <v>862</v>
      </c>
      <c r="E78" s="928">
        <f>E79</f>
        <v>0</v>
      </c>
      <c r="F78" s="928">
        <f t="shared" ref="F78:P79" si="56">F79</f>
        <v>0</v>
      </c>
      <c r="G78" s="928">
        <f t="shared" si="56"/>
        <v>0</v>
      </c>
      <c r="H78" s="928">
        <f t="shared" si="56"/>
        <v>0</v>
      </c>
      <c r="I78" s="928">
        <f t="shared" si="56"/>
        <v>0</v>
      </c>
      <c r="J78" s="928">
        <f t="shared" si="56"/>
        <v>4547046.18</v>
      </c>
      <c r="K78" s="928">
        <f t="shared" si="56"/>
        <v>4547046.18</v>
      </c>
      <c r="L78" s="928">
        <f t="shared" si="56"/>
        <v>0</v>
      </c>
      <c r="M78" s="928">
        <f t="shared" si="56"/>
        <v>0</v>
      </c>
      <c r="N78" s="928">
        <f t="shared" si="56"/>
        <v>0</v>
      </c>
      <c r="O78" s="928">
        <f t="shared" si="56"/>
        <v>4547046.18</v>
      </c>
      <c r="P78" s="928">
        <f t="shared" si="56"/>
        <v>4547046.18</v>
      </c>
      <c r="Q78" s="194"/>
      <c r="R78" s="124"/>
    </row>
    <row r="79" spans="1:18" s="39" customFormat="1" ht="271.5" thickTop="1" thickBot="1" x14ac:dyDescent="0.25">
      <c r="A79" s="450" t="s">
        <v>1374</v>
      </c>
      <c r="B79" s="450" t="s">
        <v>864</v>
      </c>
      <c r="C79" s="450"/>
      <c r="D79" s="450" t="s">
        <v>865</v>
      </c>
      <c r="E79" s="448">
        <f>E80</f>
        <v>0</v>
      </c>
      <c r="F79" s="448">
        <f t="shared" si="56"/>
        <v>0</v>
      </c>
      <c r="G79" s="448">
        <f t="shared" si="56"/>
        <v>0</v>
      </c>
      <c r="H79" s="448">
        <f t="shared" si="56"/>
        <v>0</v>
      </c>
      <c r="I79" s="448">
        <f t="shared" si="56"/>
        <v>0</v>
      </c>
      <c r="J79" s="448">
        <f t="shared" si="56"/>
        <v>4547046.18</v>
      </c>
      <c r="K79" s="448">
        <f t="shared" si="56"/>
        <v>4547046.18</v>
      </c>
      <c r="L79" s="448">
        <f t="shared" si="56"/>
        <v>0</v>
      </c>
      <c r="M79" s="448">
        <f t="shared" si="56"/>
        <v>0</v>
      </c>
      <c r="N79" s="448">
        <f t="shared" si="56"/>
        <v>0</v>
      </c>
      <c r="O79" s="448">
        <f t="shared" si="56"/>
        <v>4547046.18</v>
      </c>
      <c r="P79" s="448">
        <f t="shared" si="56"/>
        <v>4547046.18</v>
      </c>
      <c r="Q79" s="194"/>
      <c r="R79" s="124"/>
    </row>
    <row r="80" spans="1:18" s="39" customFormat="1" ht="93" thickTop="1" thickBot="1" x14ac:dyDescent="0.25">
      <c r="A80" s="927" t="s">
        <v>1375</v>
      </c>
      <c r="B80" s="927" t="s">
        <v>389</v>
      </c>
      <c r="C80" s="927" t="s">
        <v>45</v>
      </c>
      <c r="D80" s="927" t="s">
        <v>390</v>
      </c>
      <c r="E80" s="928">
        <f t="shared" ref="E80" si="57">F80</f>
        <v>0</v>
      </c>
      <c r="F80" s="323"/>
      <c r="G80" s="323"/>
      <c r="H80" s="323"/>
      <c r="I80" s="323"/>
      <c r="J80" s="928">
        <f>L80+O80</f>
        <v>4547046.18</v>
      </c>
      <c r="K80" s="323">
        <v>4547046.18</v>
      </c>
      <c r="L80" s="323"/>
      <c r="M80" s="323"/>
      <c r="N80" s="323"/>
      <c r="O80" s="977">
        <f>K80</f>
        <v>4547046.18</v>
      </c>
      <c r="P80" s="928">
        <f>E80+J80</f>
        <v>4547046.18</v>
      </c>
      <c r="Q80" s="194"/>
      <c r="R80" s="124" t="b">
        <f>K80=[1]d6!J87</f>
        <v>1</v>
      </c>
    </row>
    <row r="81" spans="1:18" ht="136.5" thickTop="1" thickBot="1" x14ac:dyDescent="0.25">
      <c r="A81" s="969" t="s">
        <v>168</v>
      </c>
      <c r="B81" s="969"/>
      <c r="C81" s="969"/>
      <c r="D81" s="970" t="s">
        <v>18</v>
      </c>
      <c r="E81" s="971">
        <f>E82</f>
        <v>79760852</v>
      </c>
      <c r="F81" s="972">
        <f t="shared" ref="F81:G81" si="58">F82</f>
        <v>79760852</v>
      </c>
      <c r="G81" s="972">
        <f t="shared" si="58"/>
        <v>4186600</v>
      </c>
      <c r="H81" s="972">
        <f>H82</f>
        <v>201540</v>
      </c>
      <c r="I81" s="972">
        <f t="shared" ref="I81" si="59">I82</f>
        <v>0</v>
      </c>
      <c r="J81" s="971">
        <f>J82</f>
        <v>21650518</v>
      </c>
      <c r="K81" s="972">
        <f>K82</f>
        <v>21628518</v>
      </c>
      <c r="L81" s="972">
        <f>L82</f>
        <v>22000</v>
      </c>
      <c r="M81" s="972">
        <f t="shared" ref="M81" si="60">M82</f>
        <v>0</v>
      </c>
      <c r="N81" s="971">
        <f>N82</f>
        <v>0</v>
      </c>
      <c r="O81" s="971">
        <f>O82</f>
        <v>21628518</v>
      </c>
      <c r="P81" s="972">
        <f>P82</f>
        <v>101411370</v>
      </c>
    </row>
    <row r="82" spans="1:18" ht="136.5" thickTop="1" thickBot="1" x14ac:dyDescent="0.25">
      <c r="A82" s="973" t="s">
        <v>169</v>
      </c>
      <c r="B82" s="973"/>
      <c r="C82" s="973"/>
      <c r="D82" s="974" t="s">
        <v>38</v>
      </c>
      <c r="E82" s="975">
        <f>E83+E85+E98</f>
        <v>79760852</v>
      </c>
      <c r="F82" s="975">
        <f t="shared" ref="F82:I82" si="61">F83+F85+F98</f>
        <v>79760852</v>
      </c>
      <c r="G82" s="975">
        <f t="shared" si="61"/>
        <v>4186600</v>
      </c>
      <c r="H82" s="975">
        <f t="shared" si="61"/>
        <v>201540</v>
      </c>
      <c r="I82" s="975">
        <f t="shared" si="61"/>
        <v>0</v>
      </c>
      <c r="J82" s="975">
        <f>L82+O82</f>
        <v>21650518</v>
      </c>
      <c r="K82" s="975">
        <f t="shared" ref="K82:O82" si="62">K83+K85+K98</f>
        <v>21628518</v>
      </c>
      <c r="L82" s="975">
        <f t="shared" si="62"/>
        <v>22000</v>
      </c>
      <c r="M82" s="975">
        <f t="shared" si="62"/>
        <v>0</v>
      </c>
      <c r="N82" s="975">
        <f t="shared" si="62"/>
        <v>0</v>
      </c>
      <c r="O82" s="975">
        <f t="shared" si="62"/>
        <v>21628518</v>
      </c>
      <c r="P82" s="976">
        <f t="shared" ref="P82:P101" si="63">E82+J82</f>
        <v>101411370</v>
      </c>
      <c r="Q82" s="124" t="b">
        <f>P82=P84+P86+P87+P88+P89+P90+P92+P94+P96+P97+P100</f>
        <v>1</v>
      </c>
      <c r="R82" s="124" t="b">
        <f>K82=[1]d6!J89</f>
        <v>1</v>
      </c>
    </row>
    <row r="83" spans="1:18" ht="47.25" thickTop="1" thickBot="1" x14ac:dyDescent="0.25">
      <c r="A83" s="173" t="s">
        <v>872</v>
      </c>
      <c r="B83" s="173" t="s">
        <v>843</v>
      </c>
      <c r="C83" s="173"/>
      <c r="D83" s="173" t="s">
        <v>844</v>
      </c>
      <c r="E83" s="928">
        <f>SUM(E84)</f>
        <v>2447825</v>
      </c>
      <c r="F83" s="928">
        <f t="shared" ref="F83:O83" si="64">SUM(F84)</f>
        <v>2447825</v>
      </c>
      <c r="G83" s="928">
        <f t="shared" si="64"/>
        <v>1821600</v>
      </c>
      <c r="H83" s="928">
        <f t="shared" si="64"/>
        <v>110635</v>
      </c>
      <c r="I83" s="928">
        <f t="shared" si="64"/>
        <v>0</v>
      </c>
      <c r="J83" s="928">
        <f t="shared" si="64"/>
        <v>0</v>
      </c>
      <c r="K83" s="928">
        <f t="shared" si="64"/>
        <v>0</v>
      </c>
      <c r="L83" s="928">
        <f t="shared" si="64"/>
        <v>0</v>
      </c>
      <c r="M83" s="928">
        <f t="shared" si="64"/>
        <v>0</v>
      </c>
      <c r="N83" s="928">
        <f t="shared" si="64"/>
        <v>0</v>
      </c>
      <c r="O83" s="928">
        <f t="shared" si="64"/>
        <v>0</v>
      </c>
      <c r="P83" s="928">
        <f>SUM(P84)</f>
        <v>2447825</v>
      </c>
      <c r="Q83" s="124"/>
      <c r="R83" s="124"/>
    </row>
    <row r="84" spans="1:18" ht="230.25" thickTop="1" thickBot="1" x14ac:dyDescent="0.25">
      <c r="A84" s="927" t="s">
        <v>444</v>
      </c>
      <c r="B84" s="927" t="s">
        <v>254</v>
      </c>
      <c r="C84" s="927" t="s">
        <v>252</v>
      </c>
      <c r="D84" s="927" t="s">
        <v>253</v>
      </c>
      <c r="E84" s="928">
        <f>F84</f>
        <v>2447825</v>
      </c>
      <c r="F84" s="323">
        <f>(1821600+400750+56870+45495+11375+110635+1100)</f>
        <v>2447825</v>
      </c>
      <c r="G84" s="323">
        <f>(1821600)</f>
        <v>1821600</v>
      </c>
      <c r="H84" s="323">
        <f>(1900+27000+81735)</f>
        <v>110635</v>
      </c>
      <c r="I84" s="323"/>
      <c r="J84" s="928">
        <f t="shared" ref="J84:J101" si="65">L84+O84</f>
        <v>0</v>
      </c>
      <c r="K84" s="928"/>
      <c r="L84" s="928"/>
      <c r="M84" s="928"/>
      <c r="N84" s="928"/>
      <c r="O84" s="977">
        <f>K84</f>
        <v>0</v>
      </c>
      <c r="P84" s="928">
        <f t="shared" si="63"/>
        <v>2447825</v>
      </c>
      <c r="Q84" s="196"/>
      <c r="R84" s="196"/>
    </row>
    <row r="85" spans="1:18" ht="47.25" thickTop="1" thickBot="1" x14ac:dyDescent="0.25">
      <c r="A85" s="173" t="s">
        <v>873</v>
      </c>
      <c r="B85" s="173" t="s">
        <v>874</v>
      </c>
      <c r="C85" s="173"/>
      <c r="D85" s="173" t="s">
        <v>875</v>
      </c>
      <c r="E85" s="928">
        <f>SUM(E86:E97)-E91-E93-E95</f>
        <v>77313027</v>
      </c>
      <c r="F85" s="928">
        <f t="shared" ref="F85:P85" si="66">SUM(F86:F97)-F91-F93-F95</f>
        <v>77313027</v>
      </c>
      <c r="G85" s="928">
        <f t="shared" si="66"/>
        <v>2365000</v>
      </c>
      <c r="H85" s="928">
        <f t="shared" si="66"/>
        <v>90905</v>
      </c>
      <c r="I85" s="928">
        <f t="shared" si="66"/>
        <v>0</v>
      </c>
      <c r="J85" s="928">
        <f t="shared" si="66"/>
        <v>22000</v>
      </c>
      <c r="K85" s="928">
        <f t="shared" si="66"/>
        <v>0</v>
      </c>
      <c r="L85" s="928">
        <f t="shared" si="66"/>
        <v>22000</v>
      </c>
      <c r="M85" s="928">
        <f t="shared" si="66"/>
        <v>0</v>
      </c>
      <c r="N85" s="928">
        <f t="shared" si="66"/>
        <v>0</v>
      </c>
      <c r="O85" s="928">
        <f t="shared" si="66"/>
        <v>0</v>
      </c>
      <c r="P85" s="928">
        <f t="shared" si="66"/>
        <v>77335027</v>
      </c>
      <c r="Q85" s="196"/>
      <c r="R85" s="196"/>
    </row>
    <row r="86" spans="1:18" ht="93" thickTop="1" thickBot="1" x14ac:dyDescent="0.25">
      <c r="A86" s="927" t="s">
        <v>232</v>
      </c>
      <c r="B86" s="927" t="s">
        <v>229</v>
      </c>
      <c r="C86" s="927" t="s">
        <v>233</v>
      </c>
      <c r="D86" s="927" t="s">
        <v>19</v>
      </c>
      <c r="E86" s="928">
        <f>F86</f>
        <v>15249455</v>
      </c>
      <c r="F86" s="323">
        <f>(14263455+200000+78000)+508000+200000</f>
        <v>15249455</v>
      </c>
      <c r="G86" s="323"/>
      <c r="H86" s="323"/>
      <c r="I86" s="323"/>
      <c r="J86" s="928">
        <f t="shared" si="65"/>
        <v>0</v>
      </c>
      <c r="K86" s="323"/>
      <c r="L86" s="323"/>
      <c r="M86" s="323"/>
      <c r="N86" s="323"/>
      <c r="O86" s="977">
        <f>K86</f>
        <v>0</v>
      </c>
      <c r="P86" s="928">
        <f t="shared" si="63"/>
        <v>15249455</v>
      </c>
      <c r="R86" s="191"/>
    </row>
    <row r="87" spans="1:18" ht="93" thickTop="1" thickBot="1" x14ac:dyDescent="0.25">
      <c r="A87" s="927" t="s">
        <v>552</v>
      </c>
      <c r="B87" s="927" t="s">
        <v>555</v>
      </c>
      <c r="C87" s="927" t="s">
        <v>554</v>
      </c>
      <c r="D87" s="927" t="s">
        <v>553</v>
      </c>
      <c r="E87" s="928">
        <f>F87</f>
        <v>7747407</v>
      </c>
      <c r="F87" s="323">
        <f>((6277220+100000+165100)+122207+973902)+58283+50695</f>
        <v>7747407</v>
      </c>
      <c r="G87" s="323"/>
      <c r="H87" s="323"/>
      <c r="I87" s="323"/>
      <c r="J87" s="928">
        <f t="shared" si="65"/>
        <v>0</v>
      </c>
      <c r="K87" s="323"/>
      <c r="L87" s="323"/>
      <c r="M87" s="323"/>
      <c r="N87" s="323"/>
      <c r="O87" s="977"/>
      <c r="P87" s="928">
        <f t="shared" si="63"/>
        <v>7747407</v>
      </c>
      <c r="R87" s="196"/>
    </row>
    <row r="88" spans="1:18" ht="138.75" thickTop="1" thickBot="1" x14ac:dyDescent="0.25">
      <c r="A88" s="927" t="s">
        <v>234</v>
      </c>
      <c r="B88" s="927" t="s">
        <v>235</v>
      </c>
      <c r="C88" s="927" t="s">
        <v>236</v>
      </c>
      <c r="D88" s="927" t="s">
        <v>237</v>
      </c>
      <c r="E88" s="928">
        <f t="shared" ref="E88:E101" si="67">F88</f>
        <v>5291200</v>
      </c>
      <c r="F88" s="323">
        <f>(4320000+100000+31200)+840000</f>
        <v>5291200</v>
      </c>
      <c r="G88" s="323"/>
      <c r="H88" s="323"/>
      <c r="I88" s="323"/>
      <c r="J88" s="928">
        <f t="shared" si="65"/>
        <v>0</v>
      </c>
      <c r="K88" s="323"/>
      <c r="L88" s="323"/>
      <c r="M88" s="323"/>
      <c r="N88" s="323"/>
      <c r="O88" s="977">
        <f>K88</f>
        <v>0</v>
      </c>
      <c r="P88" s="928">
        <f t="shared" si="63"/>
        <v>5291200</v>
      </c>
      <c r="R88" s="196"/>
    </row>
    <row r="89" spans="1:18" ht="138.75" thickTop="1" thickBot="1" x14ac:dyDescent="0.25">
      <c r="A89" s="927" t="s">
        <v>238</v>
      </c>
      <c r="B89" s="927" t="s">
        <v>239</v>
      </c>
      <c r="C89" s="927" t="s">
        <v>240</v>
      </c>
      <c r="D89" s="927" t="s">
        <v>371</v>
      </c>
      <c r="E89" s="928">
        <f t="shared" si="67"/>
        <v>10996090</v>
      </c>
      <c r="F89" s="323">
        <f>((7180650+300000+100000+9100)+748920+336950+50000+265000+705470)+1200000+600000-500000</f>
        <v>10996090</v>
      </c>
      <c r="G89" s="323"/>
      <c r="H89" s="323"/>
      <c r="I89" s="323"/>
      <c r="J89" s="928">
        <f t="shared" si="65"/>
        <v>0</v>
      </c>
      <c r="K89" s="323"/>
      <c r="L89" s="323"/>
      <c r="M89" s="323"/>
      <c r="N89" s="323"/>
      <c r="O89" s="977">
        <f>K89</f>
        <v>0</v>
      </c>
      <c r="P89" s="928">
        <f t="shared" si="63"/>
        <v>10996090</v>
      </c>
      <c r="R89" s="196"/>
    </row>
    <row r="90" spans="1:18" ht="93" thickTop="1" thickBot="1" x14ac:dyDescent="0.25">
      <c r="A90" s="927" t="s">
        <v>241</v>
      </c>
      <c r="B90" s="927" t="s">
        <v>242</v>
      </c>
      <c r="C90" s="927" t="s">
        <v>243</v>
      </c>
      <c r="D90" s="927" t="s">
        <v>244</v>
      </c>
      <c r="E90" s="928">
        <f t="shared" si="67"/>
        <v>6881935</v>
      </c>
      <c r="F90" s="323">
        <v>6881935</v>
      </c>
      <c r="G90" s="323"/>
      <c r="H90" s="323"/>
      <c r="I90" s="323"/>
      <c r="J90" s="928">
        <f t="shared" si="65"/>
        <v>0</v>
      </c>
      <c r="K90" s="323"/>
      <c r="L90" s="323"/>
      <c r="M90" s="323"/>
      <c r="N90" s="323"/>
      <c r="O90" s="977">
        <f>K90</f>
        <v>0</v>
      </c>
      <c r="P90" s="928">
        <f t="shared" si="63"/>
        <v>6881935</v>
      </c>
      <c r="R90" s="196"/>
    </row>
    <row r="91" spans="1:18" ht="93" thickTop="1" thickBot="1" x14ac:dyDescent="0.25">
      <c r="A91" s="445" t="s">
        <v>876</v>
      </c>
      <c r="B91" s="445" t="s">
        <v>877</v>
      </c>
      <c r="C91" s="445"/>
      <c r="D91" s="445" t="s">
        <v>878</v>
      </c>
      <c r="E91" s="446">
        <f>E92</f>
        <v>10247515</v>
      </c>
      <c r="F91" s="446">
        <f t="shared" ref="F91:P91" si="68">F92</f>
        <v>10247515</v>
      </c>
      <c r="G91" s="446">
        <f t="shared" si="68"/>
        <v>0</v>
      </c>
      <c r="H91" s="446">
        <f t="shared" si="68"/>
        <v>0</v>
      </c>
      <c r="I91" s="446">
        <f t="shared" si="68"/>
        <v>0</v>
      </c>
      <c r="J91" s="446">
        <f t="shared" si="68"/>
        <v>0</v>
      </c>
      <c r="K91" s="446">
        <f t="shared" si="68"/>
        <v>0</v>
      </c>
      <c r="L91" s="446">
        <f t="shared" si="68"/>
        <v>0</v>
      </c>
      <c r="M91" s="446">
        <f t="shared" si="68"/>
        <v>0</v>
      </c>
      <c r="N91" s="446">
        <f t="shared" si="68"/>
        <v>0</v>
      </c>
      <c r="O91" s="446">
        <f t="shared" si="68"/>
        <v>0</v>
      </c>
      <c r="P91" s="446">
        <f t="shared" si="68"/>
        <v>10247515</v>
      </c>
      <c r="R91" s="196"/>
    </row>
    <row r="92" spans="1:18" ht="184.5" thickTop="1" thickBot="1" x14ac:dyDescent="0.25">
      <c r="A92" s="927" t="s">
        <v>245</v>
      </c>
      <c r="B92" s="927" t="s">
        <v>246</v>
      </c>
      <c r="C92" s="927" t="s">
        <v>372</v>
      </c>
      <c r="D92" s="927" t="s">
        <v>247</v>
      </c>
      <c r="E92" s="928">
        <f t="shared" si="67"/>
        <v>10247515</v>
      </c>
      <c r="F92" s="323">
        <f>(10788065+359450)-300000-100000-500000</f>
        <v>10247515</v>
      </c>
      <c r="G92" s="323"/>
      <c r="H92" s="323"/>
      <c r="I92" s="323"/>
      <c r="J92" s="928">
        <f t="shared" si="65"/>
        <v>0</v>
      </c>
      <c r="K92" s="323"/>
      <c r="L92" s="323"/>
      <c r="M92" s="323"/>
      <c r="N92" s="323"/>
      <c r="O92" s="977">
        <f t="shared" ref="O92:O101" si="69">K92</f>
        <v>0</v>
      </c>
      <c r="P92" s="928">
        <f t="shared" si="63"/>
        <v>10247515</v>
      </c>
      <c r="R92" s="196"/>
    </row>
    <row r="93" spans="1:18" ht="138.75" thickTop="1" thickBot="1" x14ac:dyDescent="0.25">
      <c r="A93" s="445" t="s">
        <v>879</v>
      </c>
      <c r="B93" s="445" t="s">
        <v>880</v>
      </c>
      <c r="C93" s="445"/>
      <c r="D93" s="445" t="s">
        <v>881</v>
      </c>
      <c r="E93" s="446">
        <f>E94</f>
        <v>14254000</v>
      </c>
      <c r="F93" s="446">
        <f t="shared" ref="F93:P93" si="70">F94</f>
        <v>14254000</v>
      </c>
      <c r="G93" s="446">
        <f t="shared" si="70"/>
        <v>0</v>
      </c>
      <c r="H93" s="446">
        <f t="shared" si="70"/>
        <v>0</v>
      </c>
      <c r="I93" s="446">
        <f t="shared" si="70"/>
        <v>0</v>
      </c>
      <c r="J93" s="446">
        <f t="shared" si="70"/>
        <v>0</v>
      </c>
      <c r="K93" s="446">
        <f t="shared" si="70"/>
        <v>0</v>
      </c>
      <c r="L93" s="446">
        <f t="shared" si="70"/>
        <v>0</v>
      </c>
      <c r="M93" s="446">
        <f t="shared" si="70"/>
        <v>0</v>
      </c>
      <c r="N93" s="446">
        <f t="shared" si="70"/>
        <v>0</v>
      </c>
      <c r="O93" s="446">
        <f t="shared" si="70"/>
        <v>0</v>
      </c>
      <c r="P93" s="446">
        <f t="shared" si="70"/>
        <v>14254000</v>
      </c>
      <c r="R93" s="196"/>
    </row>
    <row r="94" spans="1:18" ht="138.75" thickTop="1" thickBot="1" x14ac:dyDescent="0.25">
      <c r="A94" s="927" t="s">
        <v>519</v>
      </c>
      <c r="B94" s="927" t="s">
        <v>520</v>
      </c>
      <c r="C94" s="927" t="s">
        <v>248</v>
      </c>
      <c r="D94" s="927" t="s">
        <v>521</v>
      </c>
      <c r="E94" s="928">
        <f t="shared" si="67"/>
        <v>14254000</v>
      </c>
      <c r="F94" s="323">
        <f>((9137200)+334400)+4782400</f>
        <v>14254000</v>
      </c>
      <c r="G94" s="323"/>
      <c r="H94" s="323"/>
      <c r="I94" s="323"/>
      <c r="J94" s="928">
        <f t="shared" si="65"/>
        <v>0</v>
      </c>
      <c r="K94" s="323"/>
      <c r="L94" s="323"/>
      <c r="M94" s="323"/>
      <c r="N94" s="323"/>
      <c r="O94" s="977">
        <f t="shared" si="69"/>
        <v>0</v>
      </c>
      <c r="P94" s="928">
        <f t="shared" si="63"/>
        <v>14254000</v>
      </c>
      <c r="R94" s="196"/>
    </row>
    <row r="95" spans="1:18" ht="138.75" thickTop="1" thickBot="1" x14ac:dyDescent="0.25">
      <c r="A95" s="445" t="s">
        <v>882</v>
      </c>
      <c r="B95" s="445" t="s">
        <v>883</v>
      </c>
      <c r="C95" s="445"/>
      <c r="D95" s="445" t="s">
        <v>884</v>
      </c>
      <c r="E95" s="446">
        <f>SUM(E96:E97)</f>
        <v>6645425</v>
      </c>
      <c r="F95" s="446">
        <f t="shared" ref="F95:P95" si="71">SUM(F96:F97)</f>
        <v>6645425</v>
      </c>
      <c r="G95" s="446">
        <f t="shared" si="71"/>
        <v>2365000</v>
      </c>
      <c r="H95" s="446">
        <f t="shared" si="71"/>
        <v>90905</v>
      </c>
      <c r="I95" s="446">
        <f t="shared" si="71"/>
        <v>0</v>
      </c>
      <c r="J95" s="446">
        <f t="shared" si="71"/>
        <v>22000</v>
      </c>
      <c r="K95" s="446">
        <f t="shared" si="71"/>
        <v>0</v>
      </c>
      <c r="L95" s="446">
        <f t="shared" si="71"/>
        <v>22000</v>
      </c>
      <c r="M95" s="446">
        <f t="shared" si="71"/>
        <v>0</v>
      </c>
      <c r="N95" s="446">
        <f t="shared" si="71"/>
        <v>0</v>
      </c>
      <c r="O95" s="446">
        <f t="shared" si="71"/>
        <v>0</v>
      </c>
      <c r="P95" s="446">
        <f t="shared" si="71"/>
        <v>6667425</v>
      </c>
      <c r="R95" s="196"/>
    </row>
    <row r="96" spans="1:18" s="39" customFormat="1" ht="138.75" thickTop="1" thickBot="1" x14ac:dyDescent="0.25">
      <c r="A96" s="927" t="s">
        <v>346</v>
      </c>
      <c r="B96" s="927" t="s">
        <v>348</v>
      </c>
      <c r="C96" s="927" t="s">
        <v>248</v>
      </c>
      <c r="D96" s="337" t="s">
        <v>344</v>
      </c>
      <c r="E96" s="928">
        <f t="shared" si="67"/>
        <v>3229425</v>
      </c>
      <c r="F96" s="323">
        <f>(2365000+520300+93000+157000+3220+90905)</f>
        <v>3229425</v>
      </c>
      <c r="G96" s="323">
        <f>(2365000)</f>
        <v>2365000</v>
      </c>
      <c r="H96" s="323">
        <f>(1900+22650+55260+11095)</f>
        <v>90905</v>
      </c>
      <c r="I96" s="323"/>
      <c r="J96" s="928">
        <f t="shared" si="65"/>
        <v>22000</v>
      </c>
      <c r="K96" s="323"/>
      <c r="L96" s="323">
        <v>22000</v>
      </c>
      <c r="M96" s="323"/>
      <c r="N96" s="323"/>
      <c r="O96" s="977">
        <f t="shared" si="69"/>
        <v>0</v>
      </c>
      <c r="P96" s="928">
        <f t="shared" si="63"/>
        <v>3251425</v>
      </c>
      <c r="Q96" s="194"/>
      <c r="R96" s="196"/>
    </row>
    <row r="97" spans="1:20" s="39" customFormat="1" ht="93" thickTop="1" thickBot="1" x14ac:dyDescent="0.25">
      <c r="A97" s="927" t="s">
        <v>347</v>
      </c>
      <c r="B97" s="927" t="s">
        <v>349</v>
      </c>
      <c r="C97" s="927" t="s">
        <v>248</v>
      </c>
      <c r="D97" s="337" t="s">
        <v>345</v>
      </c>
      <c r="E97" s="928">
        <f t="shared" si="67"/>
        <v>3416000</v>
      </c>
      <c r="F97" s="323">
        <f>(3016000)+400000</f>
        <v>3416000</v>
      </c>
      <c r="G97" s="323"/>
      <c r="H97" s="323"/>
      <c r="I97" s="323"/>
      <c r="J97" s="928">
        <f t="shared" si="65"/>
        <v>0</v>
      </c>
      <c r="K97" s="323"/>
      <c r="L97" s="323"/>
      <c r="M97" s="323"/>
      <c r="N97" s="323"/>
      <c r="O97" s="977">
        <f t="shared" si="69"/>
        <v>0</v>
      </c>
      <c r="P97" s="928">
        <f t="shared" si="63"/>
        <v>3416000</v>
      </c>
      <c r="Q97" s="194"/>
      <c r="R97" s="196"/>
    </row>
    <row r="98" spans="1:20" s="39" customFormat="1" ht="47.25" thickTop="1" thickBot="1" x14ac:dyDescent="0.25">
      <c r="A98" s="173" t="s">
        <v>910</v>
      </c>
      <c r="B98" s="981" t="s">
        <v>908</v>
      </c>
      <c r="C98" s="981"/>
      <c r="D98" s="981" t="s">
        <v>909</v>
      </c>
      <c r="E98" s="928">
        <f>SUM(E99)</f>
        <v>0</v>
      </c>
      <c r="F98" s="928">
        <f t="shared" ref="F98:P99" si="72">SUM(F99)</f>
        <v>0</v>
      </c>
      <c r="G98" s="928">
        <f t="shared" si="72"/>
        <v>0</v>
      </c>
      <c r="H98" s="928">
        <f t="shared" si="72"/>
        <v>0</v>
      </c>
      <c r="I98" s="928">
        <f t="shared" si="72"/>
        <v>0</v>
      </c>
      <c r="J98" s="928">
        <f t="shared" si="72"/>
        <v>21628518</v>
      </c>
      <c r="K98" s="928">
        <f t="shared" si="72"/>
        <v>21628518</v>
      </c>
      <c r="L98" s="928">
        <f t="shared" si="72"/>
        <v>0</v>
      </c>
      <c r="M98" s="928">
        <f t="shared" si="72"/>
        <v>0</v>
      </c>
      <c r="N98" s="928">
        <f t="shared" si="72"/>
        <v>0</v>
      </c>
      <c r="O98" s="928">
        <f t="shared" si="72"/>
        <v>21628518</v>
      </c>
      <c r="P98" s="928">
        <f t="shared" si="72"/>
        <v>21628518</v>
      </c>
      <c r="Q98" s="194"/>
      <c r="R98" s="196"/>
    </row>
    <row r="99" spans="1:20" s="402" customFormat="1" ht="136.5" thickTop="1" thickBot="1" x14ac:dyDescent="0.25">
      <c r="A99" s="450" t="s">
        <v>885</v>
      </c>
      <c r="B99" s="450" t="s">
        <v>850</v>
      </c>
      <c r="C99" s="450"/>
      <c r="D99" s="450" t="s">
        <v>848</v>
      </c>
      <c r="E99" s="448">
        <f>SUM(E100)</f>
        <v>0</v>
      </c>
      <c r="F99" s="448">
        <f t="shared" si="72"/>
        <v>0</v>
      </c>
      <c r="G99" s="448">
        <f t="shared" si="72"/>
        <v>0</v>
      </c>
      <c r="H99" s="448">
        <f t="shared" si="72"/>
        <v>0</v>
      </c>
      <c r="I99" s="448">
        <f t="shared" si="72"/>
        <v>0</v>
      </c>
      <c r="J99" s="448">
        <f t="shared" si="72"/>
        <v>21628518</v>
      </c>
      <c r="K99" s="448">
        <f t="shared" si="72"/>
        <v>21628518</v>
      </c>
      <c r="L99" s="448">
        <f t="shared" si="72"/>
        <v>0</v>
      </c>
      <c r="M99" s="448">
        <f t="shared" si="72"/>
        <v>0</v>
      </c>
      <c r="N99" s="448">
        <f t="shared" si="72"/>
        <v>0</v>
      </c>
      <c r="O99" s="448">
        <f t="shared" si="72"/>
        <v>21628518</v>
      </c>
      <c r="P99" s="448">
        <f t="shared" si="72"/>
        <v>21628518</v>
      </c>
      <c r="Q99" s="407"/>
      <c r="R99" s="410"/>
    </row>
    <row r="100" spans="1:20" s="39" customFormat="1" ht="93" thickTop="1" thickBot="1" x14ac:dyDescent="0.25">
      <c r="A100" s="927" t="s">
        <v>466</v>
      </c>
      <c r="B100" s="927" t="s">
        <v>215</v>
      </c>
      <c r="C100" s="927" t="s">
        <v>184</v>
      </c>
      <c r="D100" s="927" t="s">
        <v>36</v>
      </c>
      <c r="E100" s="928">
        <f t="shared" si="67"/>
        <v>0</v>
      </c>
      <c r="F100" s="323"/>
      <c r="G100" s="323"/>
      <c r="H100" s="323"/>
      <c r="I100" s="323"/>
      <c r="J100" s="928">
        <f t="shared" si="65"/>
        <v>21628518</v>
      </c>
      <c r="K100" s="323">
        <f>((5413599+372664+500000+500000+201012+437500)+800000+355048+952000-100000+6800000)+5396695</f>
        <v>21628518</v>
      </c>
      <c r="L100" s="323"/>
      <c r="M100" s="323"/>
      <c r="N100" s="323"/>
      <c r="O100" s="977">
        <f t="shared" si="69"/>
        <v>21628518</v>
      </c>
      <c r="P100" s="928">
        <f t="shared" si="63"/>
        <v>21628518</v>
      </c>
      <c r="Q100" s="194"/>
      <c r="R100" s="124" t="b">
        <f>K100=[1]d6!J90+[1]d6!J91+[1]d6!J92+[1]d6!J93+[1]d6!J94+[1]d6!J95+[1]d6!J96+[1]d6!J97+[1]d6!J98+[1]d6!J99+[1]d6!J100+[1]d6!J101+[1]d6!J102+[1]d6!J103+[1]d6!J104+[1]d6!J105</f>
        <v>1</v>
      </c>
    </row>
    <row r="101" spans="1:20" s="39" customFormat="1" ht="93" hidden="1" thickTop="1" thickBot="1" x14ac:dyDescent="0.25">
      <c r="A101" s="156" t="s">
        <v>556</v>
      </c>
      <c r="B101" s="156" t="s">
        <v>389</v>
      </c>
      <c r="C101" s="156" t="s">
        <v>45</v>
      </c>
      <c r="D101" s="156" t="s">
        <v>390</v>
      </c>
      <c r="E101" s="155">
        <f t="shared" si="67"/>
        <v>0</v>
      </c>
      <c r="F101" s="157"/>
      <c r="G101" s="157"/>
      <c r="H101" s="157"/>
      <c r="I101" s="157"/>
      <c r="J101" s="155">
        <f t="shared" si="65"/>
        <v>0</v>
      </c>
      <c r="K101" s="157"/>
      <c r="L101" s="157"/>
      <c r="M101" s="157"/>
      <c r="N101" s="157"/>
      <c r="O101" s="987">
        <f t="shared" si="69"/>
        <v>0</v>
      </c>
      <c r="P101" s="155">
        <f t="shared" si="63"/>
        <v>0</v>
      </c>
      <c r="Q101" s="194"/>
      <c r="R101" s="191"/>
    </row>
    <row r="102" spans="1:20" ht="226.5" thickTop="1" thickBot="1" x14ac:dyDescent="0.25">
      <c r="A102" s="969" t="s">
        <v>170</v>
      </c>
      <c r="B102" s="969"/>
      <c r="C102" s="969"/>
      <c r="D102" s="970" t="s">
        <v>39</v>
      </c>
      <c r="E102" s="971">
        <f>E103</f>
        <v>207864834</v>
      </c>
      <c r="F102" s="972">
        <f t="shared" ref="F102:G102" si="73">F103</f>
        <v>207864834</v>
      </c>
      <c r="G102" s="972">
        <f t="shared" si="73"/>
        <v>68381820</v>
      </c>
      <c r="H102" s="972">
        <f>H103</f>
        <v>2088707</v>
      </c>
      <c r="I102" s="972">
        <f t="shared" ref="I102" si="74">I103</f>
        <v>0</v>
      </c>
      <c r="J102" s="971">
        <f>J103</f>
        <v>9357995</v>
      </c>
      <c r="K102" s="972">
        <f>K103</f>
        <v>8740995</v>
      </c>
      <c r="L102" s="972">
        <f>L103</f>
        <v>617000</v>
      </c>
      <c r="M102" s="972">
        <f t="shared" ref="M102" si="75">M103</f>
        <v>104000</v>
      </c>
      <c r="N102" s="971">
        <f>N103</f>
        <v>137000</v>
      </c>
      <c r="O102" s="971">
        <f>O103</f>
        <v>8740995</v>
      </c>
      <c r="P102" s="972">
        <f>P103</f>
        <v>217222829</v>
      </c>
    </row>
    <row r="103" spans="1:20" ht="226.5" thickTop="1" thickBot="1" x14ac:dyDescent="0.25">
      <c r="A103" s="973" t="s">
        <v>171</v>
      </c>
      <c r="B103" s="973"/>
      <c r="C103" s="973"/>
      <c r="D103" s="974" t="s">
        <v>40</v>
      </c>
      <c r="E103" s="975">
        <f>E104+E108+E134+E137</f>
        <v>207864834</v>
      </c>
      <c r="F103" s="975">
        <f t="shared" ref="F103:I103" si="76">F104+F108+F134+F137</f>
        <v>207864834</v>
      </c>
      <c r="G103" s="975">
        <f t="shared" si="76"/>
        <v>68381820</v>
      </c>
      <c r="H103" s="975">
        <f t="shared" si="76"/>
        <v>2088707</v>
      </c>
      <c r="I103" s="975">
        <f t="shared" si="76"/>
        <v>0</v>
      </c>
      <c r="J103" s="975">
        <f t="shared" ref="J103:J130" si="77">L103+O103</f>
        <v>9357995</v>
      </c>
      <c r="K103" s="975">
        <f t="shared" ref="K103:O103" si="78">K104+K108+K134+K137</f>
        <v>8740995</v>
      </c>
      <c r="L103" s="975">
        <f t="shared" si="78"/>
        <v>617000</v>
      </c>
      <c r="M103" s="975">
        <f t="shared" si="78"/>
        <v>104000</v>
      </c>
      <c r="N103" s="975">
        <f t="shared" si="78"/>
        <v>137000</v>
      </c>
      <c r="O103" s="975">
        <f t="shared" si="78"/>
        <v>8740995</v>
      </c>
      <c r="P103" s="976">
        <f t="shared" ref="P103:P120" si="79">E103+J103</f>
        <v>217222829</v>
      </c>
      <c r="Q103" s="125" t="b">
        <f>P103=P105+P106+P110+P111+P112+P113+P114+P119+P120+P123+P126+P128+P130+P132+P133+P136+P143+P115+P117+P125+P107+P116+P140+P122</f>
        <v>1</v>
      </c>
      <c r="R103" s="930" t="b">
        <f>K103=[1]d6!J106</f>
        <v>1</v>
      </c>
      <c r="S103" s="930" t="b">
        <f>P103=P104+P108+P134+P137</f>
        <v>1</v>
      </c>
      <c r="T103" s="125"/>
    </row>
    <row r="104" spans="1:20" ht="47.25" thickTop="1" thickBot="1" x14ac:dyDescent="0.25">
      <c r="A104" s="173" t="s">
        <v>887</v>
      </c>
      <c r="B104" s="173" t="s">
        <v>843</v>
      </c>
      <c r="C104" s="173"/>
      <c r="D104" s="173" t="s">
        <v>844</v>
      </c>
      <c r="E104" s="928">
        <f t="shared" ref="E104:P104" si="80">SUM(E105:E107)</f>
        <v>52483540</v>
      </c>
      <c r="F104" s="928">
        <f t="shared" si="80"/>
        <v>52483540</v>
      </c>
      <c r="G104" s="928">
        <f t="shared" si="80"/>
        <v>38906520</v>
      </c>
      <c r="H104" s="928">
        <f t="shared" si="80"/>
        <v>856085</v>
      </c>
      <c r="I104" s="928">
        <f t="shared" si="80"/>
        <v>0</v>
      </c>
      <c r="J104" s="928">
        <f t="shared" si="80"/>
        <v>1210000</v>
      </c>
      <c r="K104" s="928">
        <f t="shared" si="80"/>
        <v>1210000</v>
      </c>
      <c r="L104" s="928">
        <f t="shared" si="80"/>
        <v>0</v>
      </c>
      <c r="M104" s="928">
        <f t="shared" si="80"/>
        <v>0</v>
      </c>
      <c r="N104" s="928">
        <f t="shared" si="80"/>
        <v>0</v>
      </c>
      <c r="O104" s="928">
        <f t="shared" si="80"/>
        <v>1210000</v>
      </c>
      <c r="P104" s="928">
        <f t="shared" si="80"/>
        <v>53693540</v>
      </c>
      <c r="Q104" s="125"/>
      <c r="R104" s="930"/>
      <c r="T104" s="125"/>
    </row>
    <row r="105" spans="1:20" ht="230.25" thickTop="1" thickBot="1" x14ac:dyDescent="0.25">
      <c r="A105" s="927" t="s">
        <v>443</v>
      </c>
      <c r="B105" s="927" t="s">
        <v>254</v>
      </c>
      <c r="C105" s="927" t="s">
        <v>252</v>
      </c>
      <c r="D105" s="927" t="s">
        <v>253</v>
      </c>
      <c r="E105" s="928">
        <f t="shared" ref="E105:E107" si="81">F105</f>
        <v>52443540</v>
      </c>
      <c r="F105" s="323">
        <f>-49000+((51797540-10000)+205000+300000+200000)</f>
        <v>52443540</v>
      </c>
      <c r="G105" s="323">
        <v>38906520</v>
      </c>
      <c r="H105" s="323">
        <f>(511665+29000+284370+31050)</f>
        <v>856085</v>
      </c>
      <c r="I105" s="323"/>
      <c r="J105" s="928">
        <f t="shared" si="77"/>
        <v>1210000</v>
      </c>
      <c r="K105" s="323">
        <f>49000+((911000)+250000)</f>
        <v>1210000</v>
      </c>
      <c r="L105" s="323"/>
      <c r="M105" s="323"/>
      <c r="N105" s="323"/>
      <c r="O105" s="977">
        <f>K105</f>
        <v>1210000</v>
      </c>
      <c r="P105" s="928">
        <f t="shared" si="79"/>
        <v>53653540</v>
      </c>
      <c r="Q105" s="197"/>
      <c r="R105" s="930" t="b">
        <f>K105=[1]d6!J108+[1]d6!J109</f>
        <v>1</v>
      </c>
      <c r="T105" s="125"/>
    </row>
    <row r="106" spans="1:20" ht="184.5" thickTop="1" thickBot="1" x14ac:dyDescent="0.25">
      <c r="A106" s="927" t="s">
        <v>786</v>
      </c>
      <c r="B106" s="927" t="s">
        <v>388</v>
      </c>
      <c r="C106" s="927" t="s">
        <v>778</v>
      </c>
      <c r="D106" s="927" t="s">
        <v>779</v>
      </c>
      <c r="E106" s="928">
        <f t="shared" si="81"/>
        <v>10000</v>
      </c>
      <c r="F106" s="323">
        <v>10000</v>
      </c>
      <c r="G106" s="323"/>
      <c r="H106" s="323"/>
      <c r="I106" s="323"/>
      <c r="J106" s="928">
        <f t="shared" si="77"/>
        <v>0</v>
      </c>
      <c r="K106" s="323"/>
      <c r="L106" s="323"/>
      <c r="M106" s="323"/>
      <c r="N106" s="323"/>
      <c r="O106" s="977">
        <f>K106</f>
        <v>0</v>
      </c>
      <c r="P106" s="928">
        <f t="shared" si="79"/>
        <v>10000</v>
      </c>
      <c r="Q106" s="197"/>
      <c r="R106" s="930"/>
      <c r="T106" s="125"/>
    </row>
    <row r="107" spans="1:20" ht="93" thickTop="1" thickBot="1" x14ac:dyDescent="0.25">
      <c r="A107" s="932" t="s">
        <v>1136</v>
      </c>
      <c r="B107" s="932" t="s">
        <v>45</v>
      </c>
      <c r="C107" s="932" t="s">
        <v>44</v>
      </c>
      <c r="D107" s="932" t="s">
        <v>266</v>
      </c>
      <c r="E107" s="928">
        <f t="shared" si="81"/>
        <v>30000</v>
      </c>
      <c r="F107" s="323">
        <v>30000</v>
      </c>
      <c r="G107" s="323"/>
      <c r="H107" s="323"/>
      <c r="I107" s="323"/>
      <c r="J107" s="928">
        <f t="shared" si="77"/>
        <v>0</v>
      </c>
      <c r="K107" s="323"/>
      <c r="L107" s="323"/>
      <c r="M107" s="323"/>
      <c r="N107" s="323"/>
      <c r="O107" s="977"/>
      <c r="P107" s="928">
        <f t="shared" si="79"/>
        <v>30000</v>
      </c>
      <c r="Q107" s="197"/>
      <c r="R107" s="930"/>
      <c r="T107" s="125"/>
    </row>
    <row r="108" spans="1:20" ht="91.5" thickTop="1" thickBot="1" x14ac:dyDescent="0.25">
      <c r="A108" s="173" t="s">
        <v>888</v>
      </c>
      <c r="B108" s="173" t="s">
        <v>870</v>
      </c>
      <c r="C108" s="173"/>
      <c r="D108" s="173" t="s">
        <v>871</v>
      </c>
      <c r="E108" s="928">
        <f>SUM(E109:E133)-E109-E118-E127-E129-E131-E124-E121</f>
        <v>155381294</v>
      </c>
      <c r="F108" s="928">
        <f t="shared" ref="F108:O108" si="82">SUM(F109:F133)-F109-F118-F127-F129-F131-F124-F121</f>
        <v>155381294</v>
      </c>
      <c r="G108" s="928">
        <f t="shared" si="82"/>
        <v>29475300</v>
      </c>
      <c r="H108" s="928">
        <f t="shared" si="82"/>
        <v>1232622</v>
      </c>
      <c r="I108" s="928">
        <f t="shared" si="82"/>
        <v>0</v>
      </c>
      <c r="J108" s="928">
        <f t="shared" si="82"/>
        <v>3605995</v>
      </c>
      <c r="K108" s="928">
        <f t="shared" si="82"/>
        <v>3310995</v>
      </c>
      <c r="L108" s="928">
        <f t="shared" si="82"/>
        <v>295000</v>
      </c>
      <c r="M108" s="928">
        <f t="shared" si="82"/>
        <v>104000</v>
      </c>
      <c r="N108" s="928">
        <f t="shared" si="82"/>
        <v>137000</v>
      </c>
      <c r="O108" s="928">
        <f t="shared" si="82"/>
        <v>3310995</v>
      </c>
      <c r="P108" s="928">
        <f>SUM(P109:P133)-P109-P118-P127-P129-P131-P124-P121</f>
        <v>158987289</v>
      </c>
      <c r="Q108" s="197"/>
      <c r="R108" s="930"/>
      <c r="T108" s="125"/>
    </row>
    <row r="109" spans="1:20" ht="276" thickTop="1" thickBot="1" x14ac:dyDescent="0.25">
      <c r="A109" s="445" t="s">
        <v>889</v>
      </c>
      <c r="B109" s="445" t="s">
        <v>890</v>
      </c>
      <c r="C109" s="445"/>
      <c r="D109" s="445" t="s">
        <v>891</v>
      </c>
      <c r="E109" s="446">
        <f>SUM(E110:E114)</f>
        <v>74624700</v>
      </c>
      <c r="F109" s="446">
        <f t="shared" ref="F109:P109" si="83">SUM(F110:F114)</f>
        <v>74624700</v>
      </c>
      <c r="G109" s="446">
        <f t="shared" si="83"/>
        <v>0</v>
      </c>
      <c r="H109" s="446">
        <f t="shared" si="83"/>
        <v>0</v>
      </c>
      <c r="I109" s="446">
        <f t="shared" si="83"/>
        <v>0</v>
      </c>
      <c r="J109" s="446">
        <f t="shared" si="83"/>
        <v>199000</v>
      </c>
      <c r="K109" s="446">
        <f t="shared" si="83"/>
        <v>199000</v>
      </c>
      <c r="L109" s="446">
        <f t="shared" si="83"/>
        <v>0</v>
      </c>
      <c r="M109" s="446">
        <f t="shared" si="83"/>
        <v>0</v>
      </c>
      <c r="N109" s="446">
        <f t="shared" si="83"/>
        <v>0</v>
      </c>
      <c r="O109" s="446">
        <f t="shared" si="83"/>
        <v>199000</v>
      </c>
      <c r="P109" s="446">
        <f t="shared" si="83"/>
        <v>74823700</v>
      </c>
      <c r="Q109" s="223"/>
      <c r="R109" s="443"/>
      <c r="T109" s="444"/>
    </row>
    <row r="110" spans="1:20" s="39" customFormat="1" ht="138.75" thickTop="1" thickBot="1" x14ac:dyDescent="0.25">
      <c r="A110" s="927" t="s">
        <v>287</v>
      </c>
      <c r="B110" s="927" t="s">
        <v>288</v>
      </c>
      <c r="C110" s="927" t="s">
        <v>223</v>
      </c>
      <c r="D110" s="280" t="s">
        <v>289</v>
      </c>
      <c r="E110" s="928">
        <f>F110</f>
        <v>270000</v>
      </c>
      <c r="F110" s="323">
        <f>(570000)-300000</f>
        <v>270000</v>
      </c>
      <c r="G110" s="323"/>
      <c r="H110" s="323"/>
      <c r="I110" s="323"/>
      <c r="J110" s="928">
        <f t="shared" si="77"/>
        <v>199000</v>
      </c>
      <c r="K110" s="323">
        <v>199000</v>
      </c>
      <c r="L110" s="323"/>
      <c r="M110" s="323"/>
      <c r="N110" s="323"/>
      <c r="O110" s="977">
        <f t="shared" ref="O110:O130" si="84">K110</f>
        <v>199000</v>
      </c>
      <c r="P110" s="928">
        <f t="shared" si="79"/>
        <v>469000</v>
      </c>
      <c r="Q110" s="194"/>
      <c r="R110" s="930" t="b">
        <f>K110=[1]d6!J110</f>
        <v>1</v>
      </c>
    </row>
    <row r="111" spans="1:20" s="39" customFormat="1" ht="138.75" thickTop="1" thickBot="1" x14ac:dyDescent="0.25">
      <c r="A111" s="927" t="s">
        <v>290</v>
      </c>
      <c r="B111" s="927" t="s">
        <v>291</v>
      </c>
      <c r="C111" s="927" t="s">
        <v>224</v>
      </c>
      <c r="D111" s="927" t="s">
        <v>6</v>
      </c>
      <c r="E111" s="928">
        <f t="shared" ref="E111:E143" si="85">F111</f>
        <v>1350000</v>
      </c>
      <c r="F111" s="323">
        <v>1350000</v>
      </c>
      <c r="G111" s="323"/>
      <c r="H111" s="323"/>
      <c r="I111" s="323"/>
      <c r="J111" s="928">
        <f t="shared" si="77"/>
        <v>0</v>
      </c>
      <c r="K111" s="323"/>
      <c r="L111" s="323"/>
      <c r="M111" s="323"/>
      <c r="N111" s="323"/>
      <c r="O111" s="977">
        <f t="shared" si="84"/>
        <v>0</v>
      </c>
      <c r="P111" s="928">
        <f t="shared" si="79"/>
        <v>1350000</v>
      </c>
      <c r="Q111" s="194"/>
      <c r="R111" s="198"/>
    </row>
    <row r="112" spans="1:20" s="39" customFormat="1" ht="184.5" thickTop="1" thickBot="1" x14ac:dyDescent="0.25">
      <c r="A112" s="927" t="s">
        <v>293</v>
      </c>
      <c r="B112" s="927" t="s">
        <v>294</v>
      </c>
      <c r="C112" s="927" t="s">
        <v>224</v>
      </c>
      <c r="D112" s="927" t="s">
        <v>7</v>
      </c>
      <c r="E112" s="928">
        <f t="shared" si="85"/>
        <v>14700000</v>
      </c>
      <c r="F112" s="323">
        <f>(11250000)+3450000</f>
        <v>14700000</v>
      </c>
      <c r="G112" s="323"/>
      <c r="H112" s="323"/>
      <c r="I112" s="323"/>
      <c r="J112" s="928">
        <f t="shared" si="77"/>
        <v>0</v>
      </c>
      <c r="K112" s="323"/>
      <c r="L112" s="323"/>
      <c r="M112" s="323"/>
      <c r="N112" s="323"/>
      <c r="O112" s="977">
        <f t="shared" si="84"/>
        <v>0</v>
      </c>
      <c r="P112" s="928">
        <f t="shared" si="79"/>
        <v>14700000</v>
      </c>
      <c r="Q112" s="194"/>
      <c r="R112" s="198"/>
    </row>
    <row r="113" spans="1:18" s="39" customFormat="1" ht="184.5" thickTop="1" thickBot="1" x14ac:dyDescent="0.25">
      <c r="A113" s="927" t="s">
        <v>295</v>
      </c>
      <c r="B113" s="927" t="s">
        <v>292</v>
      </c>
      <c r="C113" s="927" t="s">
        <v>224</v>
      </c>
      <c r="D113" s="927" t="s">
        <v>8</v>
      </c>
      <c r="E113" s="928">
        <f t="shared" si="85"/>
        <v>500000</v>
      </c>
      <c r="F113" s="323">
        <v>500000</v>
      </c>
      <c r="G113" s="323"/>
      <c r="H113" s="323"/>
      <c r="I113" s="323"/>
      <c r="J113" s="928">
        <f t="shared" si="77"/>
        <v>0</v>
      </c>
      <c r="K113" s="323"/>
      <c r="L113" s="323"/>
      <c r="M113" s="323"/>
      <c r="N113" s="323"/>
      <c r="O113" s="977">
        <f t="shared" si="84"/>
        <v>0</v>
      </c>
      <c r="P113" s="928">
        <f t="shared" si="79"/>
        <v>500000</v>
      </c>
      <c r="Q113" s="194"/>
      <c r="R113" s="198"/>
    </row>
    <row r="114" spans="1:18" s="39" customFormat="1" ht="184.5" thickTop="1" thickBot="1" x14ac:dyDescent="0.25">
      <c r="A114" s="927" t="s">
        <v>296</v>
      </c>
      <c r="B114" s="927" t="s">
        <v>297</v>
      </c>
      <c r="C114" s="927" t="s">
        <v>224</v>
      </c>
      <c r="D114" s="927" t="s">
        <v>9</v>
      </c>
      <c r="E114" s="928">
        <f t="shared" si="85"/>
        <v>57804700</v>
      </c>
      <c r="F114" s="323">
        <f>(74942240)-17137540</f>
        <v>57804700</v>
      </c>
      <c r="G114" s="323"/>
      <c r="H114" s="323"/>
      <c r="I114" s="323"/>
      <c r="J114" s="928">
        <f t="shared" si="77"/>
        <v>0</v>
      </c>
      <c r="K114" s="323"/>
      <c r="L114" s="323"/>
      <c r="M114" s="323"/>
      <c r="N114" s="323"/>
      <c r="O114" s="977">
        <f t="shared" si="84"/>
        <v>0</v>
      </c>
      <c r="P114" s="928">
        <f t="shared" si="79"/>
        <v>57804700</v>
      </c>
      <c r="Q114" s="194"/>
      <c r="R114" s="198"/>
    </row>
    <row r="115" spans="1:18" s="39" customFormat="1" ht="184.5" thickTop="1" thickBot="1" x14ac:dyDescent="0.25">
      <c r="A115" s="927" t="s">
        <v>522</v>
      </c>
      <c r="B115" s="927" t="s">
        <v>523</v>
      </c>
      <c r="C115" s="927" t="s">
        <v>224</v>
      </c>
      <c r="D115" s="927" t="s">
        <v>524</v>
      </c>
      <c r="E115" s="928">
        <f t="shared" si="85"/>
        <v>206796</v>
      </c>
      <c r="F115" s="323">
        <v>206796</v>
      </c>
      <c r="G115" s="323"/>
      <c r="H115" s="323"/>
      <c r="I115" s="323"/>
      <c r="J115" s="928">
        <f t="shared" si="77"/>
        <v>0</v>
      </c>
      <c r="K115" s="323"/>
      <c r="L115" s="323"/>
      <c r="M115" s="323"/>
      <c r="N115" s="323"/>
      <c r="O115" s="977">
        <f t="shared" si="84"/>
        <v>0</v>
      </c>
      <c r="P115" s="928">
        <f t="shared" si="79"/>
        <v>206796</v>
      </c>
      <c r="Q115" s="194"/>
      <c r="R115" s="198"/>
    </row>
    <row r="116" spans="1:18" s="39" customFormat="1" ht="138.75" thickTop="1" thickBot="1" x14ac:dyDescent="0.25">
      <c r="A116" s="927" t="s">
        <v>1137</v>
      </c>
      <c r="B116" s="927" t="s">
        <v>1138</v>
      </c>
      <c r="C116" s="927" t="s">
        <v>224</v>
      </c>
      <c r="D116" s="927" t="s">
        <v>1139</v>
      </c>
      <c r="E116" s="928">
        <f t="shared" si="85"/>
        <v>180000</v>
      </c>
      <c r="F116" s="323">
        <v>180000</v>
      </c>
      <c r="G116" s="323"/>
      <c r="H116" s="323"/>
      <c r="I116" s="323"/>
      <c r="J116" s="928">
        <f t="shared" si="77"/>
        <v>0</v>
      </c>
      <c r="K116" s="323"/>
      <c r="L116" s="323"/>
      <c r="M116" s="323"/>
      <c r="N116" s="323"/>
      <c r="O116" s="977">
        <f t="shared" si="84"/>
        <v>0</v>
      </c>
      <c r="P116" s="928">
        <f t="shared" si="79"/>
        <v>180000</v>
      </c>
      <c r="Q116" s="194"/>
      <c r="R116" s="198"/>
    </row>
    <row r="117" spans="1:18" ht="138.75" thickTop="1" thickBot="1" x14ac:dyDescent="0.25">
      <c r="A117" s="927" t="s">
        <v>525</v>
      </c>
      <c r="B117" s="927" t="s">
        <v>526</v>
      </c>
      <c r="C117" s="927" t="s">
        <v>223</v>
      </c>
      <c r="D117" s="927" t="s">
        <v>527</v>
      </c>
      <c r="E117" s="928">
        <f t="shared" si="85"/>
        <v>353047</v>
      </c>
      <c r="F117" s="323">
        <v>353047</v>
      </c>
      <c r="G117" s="323"/>
      <c r="H117" s="323"/>
      <c r="I117" s="323"/>
      <c r="J117" s="928">
        <f t="shared" si="77"/>
        <v>0</v>
      </c>
      <c r="K117" s="323"/>
      <c r="L117" s="323"/>
      <c r="M117" s="323"/>
      <c r="N117" s="323"/>
      <c r="O117" s="977">
        <f>K117</f>
        <v>0</v>
      </c>
      <c r="P117" s="928">
        <f t="shared" si="79"/>
        <v>353047</v>
      </c>
      <c r="R117" s="198"/>
    </row>
    <row r="118" spans="1:18" s="39" customFormat="1" ht="276" thickTop="1" thickBot="1" x14ac:dyDescent="0.25">
      <c r="A118" s="445" t="s">
        <v>892</v>
      </c>
      <c r="B118" s="445" t="s">
        <v>893</v>
      </c>
      <c r="C118" s="445"/>
      <c r="D118" s="445" t="s">
        <v>894</v>
      </c>
      <c r="E118" s="446">
        <f>SUM(E119:E120)</f>
        <v>36030285</v>
      </c>
      <c r="F118" s="446">
        <f t="shared" ref="F118:P118" si="86">SUM(F119:F120)</f>
        <v>36030285</v>
      </c>
      <c r="G118" s="446">
        <f t="shared" si="86"/>
        <v>25148685</v>
      </c>
      <c r="H118" s="446">
        <f t="shared" si="86"/>
        <v>742295</v>
      </c>
      <c r="I118" s="446">
        <f t="shared" si="86"/>
        <v>0</v>
      </c>
      <c r="J118" s="446">
        <f t="shared" si="86"/>
        <v>321440</v>
      </c>
      <c r="K118" s="446">
        <f t="shared" si="86"/>
        <v>171440</v>
      </c>
      <c r="L118" s="446">
        <f t="shared" si="86"/>
        <v>150000</v>
      </c>
      <c r="M118" s="446">
        <f t="shared" si="86"/>
        <v>100000</v>
      </c>
      <c r="N118" s="446">
        <f t="shared" si="86"/>
        <v>3000</v>
      </c>
      <c r="O118" s="446">
        <f t="shared" si="86"/>
        <v>171440</v>
      </c>
      <c r="P118" s="446">
        <f t="shared" si="86"/>
        <v>36351725</v>
      </c>
      <c r="Q118" s="194"/>
      <c r="R118" s="447"/>
    </row>
    <row r="119" spans="1:18" ht="276" thickTop="1" thickBot="1" x14ac:dyDescent="0.25">
      <c r="A119" s="927" t="s">
        <v>285</v>
      </c>
      <c r="B119" s="927" t="s">
        <v>283</v>
      </c>
      <c r="C119" s="927" t="s">
        <v>218</v>
      </c>
      <c r="D119" s="927" t="s">
        <v>17</v>
      </c>
      <c r="E119" s="928">
        <f t="shared" si="85"/>
        <v>28469120</v>
      </c>
      <c r="F119" s="323">
        <f>108000+400000+((27960820)-25000+2060+10800+12440)</f>
        <v>28469120</v>
      </c>
      <c r="G119" s="323">
        <v>19746545</v>
      </c>
      <c r="H119" s="323">
        <f>(266000+30800+72660+10800)+2060+10800+12440</f>
        <v>405560</v>
      </c>
      <c r="I119" s="323"/>
      <c r="J119" s="928">
        <f t="shared" si="77"/>
        <v>278000</v>
      </c>
      <c r="K119" s="323">
        <f>58000+15000+25000+30000</f>
        <v>128000</v>
      </c>
      <c r="L119" s="323">
        <f>(100000+22000+15000+4000+6000+1500+500+1000)</f>
        <v>150000</v>
      </c>
      <c r="M119" s="323">
        <v>100000</v>
      </c>
      <c r="N119" s="323">
        <f>(1500+500+1000)</f>
        <v>3000</v>
      </c>
      <c r="O119" s="977">
        <f t="shared" si="84"/>
        <v>128000</v>
      </c>
      <c r="P119" s="928">
        <f t="shared" si="79"/>
        <v>28747120</v>
      </c>
      <c r="R119" s="930" t="b">
        <f>K119=[1]d6!J111</f>
        <v>1</v>
      </c>
    </row>
    <row r="120" spans="1:18" ht="138.75" thickTop="1" thickBot="1" x14ac:dyDescent="0.25">
      <c r="A120" s="927" t="s">
        <v>286</v>
      </c>
      <c r="B120" s="927" t="s">
        <v>284</v>
      </c>
      <c r="C120" s="927" t="s">
        <v>217</v>
      </c>
      <c r="D120" s="927" t="s">
        <v>491</v>
      </c>
      <c r="E120" s="928">
        <f t="shared" si="85"/>
        <v>7561165</v>
      </c>
      <c r="F120" s="323">
        <f>14525+4550+((7298180)+112800+1570+107500+19900+2140)</f>
        <v>7561165</v>
      </c>
      <c r="G120" s="323">
        <f>(3013390+2388750)</f>
        <v>5402140</v>
      </c>
      <c r="H120" s="323">
        <f>(133610+1950+28250+148195+4870+19620+240)</f>
        <v>336735</v>
      </c>
      <c r="I120" s="323"/>
      <c r="J120" s="928">
        <f t="shared" si="77"/>
        <v>43440</v>
      </c>
      <c r="K120" s="323">
        <v>43440</v>
      </c>
      <c r="L120" s="323"/>
      <c r="M120" s="323"/>
      <c r="N120" s="323"/>
      <c r="O120" s="977">
        <f t="shared" si="84"/>
        <v>43440</v>
      </c>
      <c r="P120" s="928">
        <f t="shared" si="79"/>
        <v>7604605</v>
      </c>
      <c r="R120" s="930" t="b">
        <f>K120=[1]d6!J112</f>
        <v>1</v>
      </c>
    </row>
    <row r="121" spans="1:18" ht="138.75" thickTop="1" thickBot="1" x14ac:dyDescent="0.25">
      <c r="A121" s="445" t="s">
        <v>1354</v>
      </c>
      <c r="B121" s="445" t="s">
        <v>925</v>
      </c>
      <c r="C121" s="445"/>
      <c r="D121" s="445" t="s">
        <v>926</v>
      </c>
      <c r="E121" s="446">
        <f>E122</f>
        <v>267380</v>
      </c>
      <c r="F121" s="446">
        <f t="shared" ref="F121:P121" si="87">F122</f>
        <v>267380</v>
      </c>
      <c r="G121" s="446">
        <f t="shared" si="87"/>
        <v>0</v>
      </c>
      <c r="H121" s="446">
        <f t="shared" si="87"/>
        <v>0</v>
      </c>
      <c r="I121" s="446">
        <f t="shared" si="87"/>
        <v>0</v>
      </c>
      <c r="J121" s="446">
        <f t="shared" si="87"/>
        <v>2304215</v>
      </c>
      <c r="K121" s="446">
        <f t="shared" si="87"/>
        <v>2304215</v>
      </c>
      <c r="L121" s="446">
        <f t="shared" si="87"/>
        <v>0</v>
      </c>
      <c r="M121" s="446">
        <f t="shared" si="87"/>
        <v>0</v>
      </c>
      <c r="N121" s="446">
        <f t="shared" si="87"/>
        <v>0</v>
      </c>
      <c r="O121" s="446">
        <f t="shared" si="87"/>
        <v>2304215</v>
      </c>
      <c r="P121" s="446">
        <f t="shared" si="87"/>
        <v>2571595</v>
      </c>
      <c r="R121" s="930"/>
    </row>
    <row r="122" spans="1:18" ht="276" thickTop="1" thickBot="1" x14ac:dyDescent="0.25">
      <c r="A122" s="927" t="s">
        <v>1355</v>
      </c>
      <c r="B122" s="927" t="s">
        <v>1356</v>
      </c>
      <c r="C122" s="927" t="s">
        <v>203</v>
      </c>
      <c r="D122" s="927" t="s">
        <v>1357</v>
      </c>
      <c r="E122" s="928">
        <f t="shared" ref="E122" si="88">F122</f>
        <v>267380</v>
      </c>
      <c r="F122" s="323">
        <v>267380</v>
      </c>
      <c r="G122" s="323"/>
      <c r="H122" s="323"/>
      <c r="I122" s="323"/>
      <c r="J122" s="928">
        <f t="shared" ref="J122" si="89">L122+O122</f>
        <v>2304215</v>
      </c>
      <c r="K122" s="323">
        <f>166110+1240000+898105</f>
        <v>2304215</v>
      </c>
      <c r="L122" s="323"/>
      <c r="M122" s="323"/>
      <c r="N122" s="323"/>
      <c r="O122" s="977">
        <f t="shared" ref="O122" si="90">K122</f>
        <v>2304215</v>
      </c>
      <c r="P122" s="928">
        <f t="shared" ref="P122" si="91">E122+J122</f>
        <v>2571595</v>
      </c>
      <c r="R122" s="930" t="b">
        <f>K122=[1]d6!J113+[1]d6!J114</f>
        <v>1</v>
      </c>
    </row>
    <row r="123" spans="1:18" ht="409.6" thickTop="1" thickBot="1" x14ac:dyDescent="0.25">
      <c r="A123" s="927" t="s">
        <v>281</v>
      </c>
      <c r="B123" s="927" t="s">
        <v>282</v>
      </c>
      <c r="C123" s="927" t="s">
        <v>217</v>
      </c>
      <c r="D123" s="927" t="s">
        <v>489</v>
      </c>
      <c r="E123" s="928">
        <f t="shared" si="85"/>
        <v>2246695</v>
      </c>
      <c r="F123" s="323">
        <f>((1242695)+1000000)+4000</f>
        <v>2246695</v>
      </c>
      <c r="G123" s="323"/>
      <c r="H123" s="323"/>
      <c r="I123" s="323"/>
      <c r="J123" s="928">
        <f t="shared" si="77"/>
        <v>0</v>
      </c>
      <c r="K123" s="928"/>
      <c r="L123" s="323"/>
      <c r="M123" s="323"/>
      <c r="N123" s="323"/>
      <c r="O123" s="977">
        <f t="shared" si="84"/>
        <v>0</v>
      </c>
      <c r="P123" s="928">
        <f>+J123+E123</f>
        <v>2246695</v>
      </c>
      <c r="R123" s="198"/>
    </row>
    <row r="124" spans="1:18" ht="138.75" thickTop="1" thickBot="1" x14ac:dyDescent="0.25">
      <c r="A124" s="445" t="s">
        <v>1055</v>
      </c>
      <c r="B124" s="445" t="s">
        <v>1056</v>
      </c>
      <c r="C124" s="445"/>
      <c r="D124" s="445" t="s">
        <v>1057</v>
      </c>
      <c r="E124" s="446">
        <f t="shared" si="85"/>
        <v>147491</v>
      </c>
      <c r="F124" s="446">
        <f>F125</f>
        <v>147491</v>
      </c>
      <c r="G124" s="446">
        <f t="shared" ref="G124:I124" si="92">G125</f>
        <v>0</v>
      </c>
      <c r="H124" s="446">
        <f t="shared" si="92"/>
        <v>0</v>
      </c>
      <c r="I124" s="446">
        <f t="shared" si="92"/>
        <v>0</v>
      </c>
      <c r="J124" s="446">
        <f t="shared" si="77"/>
        <v>0</v>
      </c>
      <c r="K124" s="446">
        <f t="shared" ref="K124:N124" si="93">K125</f>
        <v>0</v>
      </c>
      <c r="L124" s="446">
        <f t="shared" si="93"/>
        <v>0</v>
      </c>
      <c r="M124" s="446">
        <f t="shared" si="93"/>
        <v>0</v>
      </c>
      <c r="N124" s="446">
        <f t="shared" si="93"/>
        <v>0</v>
      </c>
      <c r="O124" s="446">
        <f t="shared" si="84"/>
        <v>0</v>
      </c>
      <c r="P124" s="446">
        <f>+J124+E124</f>
        <v>147491</v>
      </c>
      <c r="R124" s="198"/>
    </row>
    <row r="125" spans="1:18" ht="276" thickTop="1" thickBot="1" x14ac:dyDescent="0.25">
      <c r="A125" s="927" t="s">
        <v>528</v>
      </c>
      <c r="B125" s="927" t="s">
        <v>529</v>
      </c>
      <c r="C125" s="927" t="s">
        <v>217</v>
      </c>
      <c r="D125" s="927" t="s">
        <v>530</v>
      </c>
      <c r="E125" s="928">
        <f t="shared" si="85"/>
        <v>147491</v>
      </c>
      <c r="F125" s="323">
        <v>147491</v>
      </c>
      <c r="G125" s="323"/>
      <c r="H125" s="323"/>
      <c r="I125" s="323"/>
      <c r="J125" s="928">
        <f t="shared" si="77"/>
        <v>0</v>
      </c>
      <c r="K125" s="928"/>
      <c r="L125" s="323"/>
      <c r="M125" s="323"/>
      <c r="N125" s="323"/>
      <c r="O125" s="977">
        <f t="shared" si="84"/>
        <v>0</v>
      </c>
      <c r="P125" s="928">
        <f>+J125+E125</f>
        <v>147491</v>
      </c>
      <c r="R125" s="198"/>
    </row>
    <row r="126" spans="1:18" ht="367.5" thickTop="1" thickBot="1" x14ac:dyDescent="0.25">
      <c r="A126" s="927" t="s">
        <v>374</v>
      </c>
      <c r="B126" s="927" t="s">
        <v>373</v>
      </c>
      <c r="C126" s="927" t="s">
        <v>52</v>
      </c>
      <c r="D126" s="927" t="s">
        <v>490</v>
      </c>
      <c r="E126" s="928">
        <f t="shared" si="85"/>
        <v>2625425</v>
      </c>
      <c r="F126" s="323">
        <v>2625425</v>
      </c>
      <c r="G126" s="323"/>
      <c r="H126" s="323"/>
      <c r="I126" s="323"/>
      <c r="J126" s="928">
        <f t="shared" si="77"/>
        <v>0</v>
      </c>
      <c r="K126" s="928"/>
      <c r="L126" s="323"/>
      <c r="M126" s="323"/>
      <c r="N126" s="323"/>
      <c r="O126" s="977">
        <f t="shared" si="84"/>
        <v>0</v>
      </c>
      <c r="P126" s="928">
        <f>E126+J126</f>
        <v>2625425</v>
      </c>
      <c r="R126" s="198"/>
    </row>
    <row r="127" spans="1:18" s="39" customFormat="1" ht="93" thickTop="1" thickBot="1" x14ac:dyDescent="0.25">
      <c r="A127" s="445" t="s">
        <v>895</v>
      </c>
      <c r="B127" s="445" t="s">
        <v>896</v>
      </c>
      <c r="C127" s="445"/>
      <c r="D127" s="445" t="s">
        <v>897</v>
      </c>
      <c r="E127" s="446">
        <f>E128</f>
        <v>500000</v>
      </c>
      <c r="F127" s="446">
        <f t="shared" ref="F127:P127" si="94">F128</f>
        <v>500000</v>
      </c>
      <c r="G127" s="446">
        <f t="shared" si="94"/>
        <v>0</v>
      </c>
      <c r="H127" s="446">
        <f t="shared" si="94"/>
        <v>0</v>
      </c>
      <c r="I127" s="446">
        <f t="shared" si="94"/>
        <v>0</v>
      </c>
      <c r="J127" s="446">
        <f t="shared" si="94"/>
        <v>0</v>
      </c>
      <c r="K127" s="446">
        <f t="shared" si="94"/>
        <v>0</v>
      </c>
      <c r="L127" s="446">
        <f t="shared" si="94"/>
        <v>0</v>
      </c>
      <c r="M127" s="446">
        <f t="shared" si="94"/>
        <v>0</v>
      </c>
      <c r="N127" s="446">
        <f t="shared" si="94"/>
        <v>0</v>
      </c>
      <c r="O127" s="446">
        <f t="shared" si="94"/>
        <v>0</v>
      </c>
      <c r="P127" s="446">
        <f t="shared" si="94"/>
        <v>500000</v>
      </c>
      <c r="Q127" s="194"/>
      <c r="R127" s="447"/>
    </row>
    <row r="128" spans="1:18" ht="230.25" thickTop="1" thickBot="1" x14ac:dyDescent="0.25">
      <c r="A128" s="927" t="s">
        <v>350</v>
      </c>
      <c r="B128" s="927" t="s">
        <v>351</v>
      </c>
      <c r="C128" s="927" t="s">
        <v>223</v>
      </c>
      <c r="D128" s="927" t="s">
        <v>793</v>
      </c>
      <c r="E128" s="928">
        <f t="shared" si="85"/>
        <v>500000</v>
      </c>
      <c r="F128" s="323">
        <f>(500000)</f>
        <v>500000</v>
      </c>
      <c r="G128" s="323"/>
      <c r="H128" s="323"/>
      <c r="I128" s="323"/>
      <c r="J128" s="928">
        <f t="shared" si="77"/>
        <v>0</v>
      </c>
      <c r="K128" s="323"/>
      <c r="L128" s="323"/>
      <c r="M128" s="323"/>
      <c r="N128" s="323"/>
      <c r="O128" s="977">
        <f t="shared" si="84"/>
        <v>0</v>
      </c>
      <c r="P128" s="928">
        <f>E128+J128</f>
        <v>500000</v>
      </c>
      <c r="R128" s="198"/>
    </row>
    <row r="129" spans="1:18" s="39" customFormat="1" ht="184.5" thickTop="1" thickBot="1" x14ac:dyDescent="0.25">
      <c r="A129" s="445" t="s">
        <v>1501</v>
      </c>
      <c r="B129" s="445" t="s">
        <v>1502</v>
      </c>
      <c r="C129" s="445"/>
      <c r="D129" s="445" t="s">
        <v>1503</v>
      </c>
      <c r="E129" s="446">
        <f t="shared" ref="E129:P129" si="95">E130</f>
        <v>100040</v>
      </c>
      <c r="F129" s="446">
        <f t="shared" si="95"/>
        <v>100040</v>
      </c>
      <c r="G129" s="446">
        <f t="shared" si="95"/>
        <v>82000</v>
      </c>
      <c r="H129" s="446">
        <f t="shared" si="95"/>
        <v>0</v>
      </c>
      <c r="I129" s="446">
        <f t="shared" si="95"/>
        <v>0</v>
      </c>
      <c r="J129" s="446">
        <f t="shared" si="95"/>
        <v>0</v>
      </c>
      <c r="K129" s="446">
        <f t="shared" si="95"/>
        <v>0</v>
      </c>
      <c r="L129" s="446">
        <f t="shared" si="95"/>
        <v>0</v>
      </c>
      <c r="M129" s="446">
        <f t="shared" si="95"/>
        <v>0</v>
      </c>
      <c r="N129" s="446">
        <f t="shared" si="95"/>
        <v>0</v>
      </c>
      <c r="O129" s="446">
        <f t="shared" si="95"/>
        <v>0</v>
      </c>
      <c r="P129" s="446">
        <f t="shared" si="95"/>
        <v>100040</v>
      </c>
      <c r="Q129" s="194"/>
      <c r="R129" s="447"/>
    </row>
    <row r="130" spans="1:18" ht="93" thickTop="1" thickBot="1" x14ac:dyDescent="0.25">
      <c r="A130" s="927" t="s">
        <v>456</v>
      </c>
      <c r="B130" s="927" t="s">
        <v>398</v>
      </c>
      <c r="C130" s="927" t="s">
        <v>399</v>
      </c>
      <c r="D130" s="927" t="s">
        <v>397</v>
      </c>
      <c r="E130" s="338">
        <f t="shared" si="85"/>
        <v>100040</v>
      </c>
      <c r="F130" s="323">
        <v>100040</v>
      </c>
      <c r="G130" s="323">
        <v>82000</v>
      </c>
      <c r="H130" s="323"/>
      <c r="I130" s="323"/>
      <c r="J130" s="928">
        <f t="shared" si="77"/>
        <v>0</v>
      </c>
      <c r="K130" s="323"/>
      <c r="L130" s="323"/>
      <c r="M130" s="323"/>
      <c r="N130" s="323"/>
      <c r="O130" s="977">
        <f t="shared" si="84"/>
        <v>0</v>
      </c>
      <c r="P130" s="928">
        <f>E130+J130</f>
        <v>100040</v>
      </c>
      <c r="R130" s="198"/>
    </row>
    <row r="131" spans="1:18" s="39" customFormat="1" ht="48" thickTop="1" thickBot="1" x14ac:dyDescent="0.25">
      <c r="A131" s="445" t="s">
        <v>898</v>
      </c>
      <c r="B131" s="445" t="s">
        <v>899</v>
      </c>
      <c r="C131" s="445"/>
      <c r="D131" s="445" t="s">
        <v>900</v>
      </c>
      <c r="E131" s="446">
        <f>SUM(E132:E133)</f>
        <v>38099435</v>
      </c>
      <c r="F131" s="446">
        <f t="shared" ref="F131:P131" si="96">SUM(F132:F133)</f>
        <v>38099435</v>
      </c>
      <c r="G131" s="446">
        <f t="shared" si="96"/>
        <v>4244615</v>
      </c>
      <c r="H131" s="446">
        <f t="shared" si="96"/>
        <v>490327</v>
      </c>
      <c r="I131" s="446">
        <f t="shared" si="96"/>
        <v>0</v>
      </c>
      <c r="J131" s="446">
        <f t="shared" si="96"/>
        <v>781340</v>
      </c>
      <c r="K131" s="446">
        <f t="shared" si="96"/>
        <v>636340</v>
      </c>
      <c r="L131" s="446">
        <f t="shared" si="96"/>
        <v>145000</v>
      </c>
      <c r="M131" s="446">
        <f t="shared" si="96"/>
        <v>4000</v>
      </c>
      <c r="N131" s="446">
        <f t="shared" si="96"/>
        <v>134000</v>
      </c>
      <c r="O131" s="446">
        <f t="shared" si="96"/>
        <v>636340</v>
      </c>
      <c r="P131" s="446">
        <f t="shared" si="96"/>
        <v>38880775</v>
      </c>
      <c r="Q131" s="194"/>
      <c r="R131" s="447"/>
    </row>
    <row r="132" spans="1:18" ht="184.5" thickTop="1" thickBot="1" x14ac:dyDescent="0.25">
      <c r="A132" s="927" t="s">
        <v>352</v>
      </c>
      <c r="B132" s="927" t="s">
        <v>354</v>
      </c>
      <c r="C132" s="927" t="s">
        <v>209</v>
      </c>
      <c r="D132" s="337" t="s">
        <v>356</v>
      </c>
      <c r="E132" s="928">
        <f t="shared" si="85"/>
        <v>7868312</v>
      </c>
      <c r="F132" s="323">
        <f>9000+5940+6350+((8173362-388340)+17000+45000)</f>
        <v>7868312</v>
      </c>
      <c r="G132" s="170">
        <f>(1948670+2295945)</f>
        <v>4244615</v>
      </c>
      <c r="H132" s="170">
        <f>(245557+131600+6000+27000+40000+39000+1170)</f>
        <v>490327</v>
      </c>
      <c r="I132" s="323"/>
      <c r="J132" s="928">
        <f t="shared" ref="J132:J143" si="97">L132+O132</f>
        <v>631340</v>
      </c>
      <c r="K132" s="323">
        <f>98000+((72894+138259+40788+136399))</f>
        <v>486340</v>
      </c>
      <c r="L132" s="323">
        <f>(4000+900+6100+23000+65000+45000+1000)</f>
        <v>145000</v>
      </c>
      <c r="M132" s="323">
        <v>4000</v>
      </c>
      <c r="N132" s="323">
        <f>(23000+65000+45000+1000)</f>
        <v>134000</v>
      </c>
      <c r="O132" s="977">
        <f t="shared" ref="O132:O143" si="98">K132</f>
        <v>486340</v>
      </c>
      <c r="P132" s="928">
        <f t="shared" ref="P132:P143" si="99">E132+J132</f>
        <v>8499652</v>
      </c>
      <c r="R132" s="930" t="b">
        <f>K132=[1]d6!J115+[1]d6!J116</f>
        <v>1</v>
      </c>
    </row>
    <row r="133" spans="1:18" ht="138.75" thickTop="1" thickBot="1" x14ac:dyDescent="0.25">
      <c r="A133" s="927" t="s">
        <v>353</v>
      </c>
      <c r="B133" s="927" t="s">
        <v>355</v>
      </c>
      <c r="C133" s="927" t="s">
        <v>209</v>
      </c>
      <c r="D133" s="337" t="s">
        <v>357</v>
      </c>
      <c r="E133" s="928">
        <f t="shared" si="85"/>
        <v>30231123</v>
      </c>
      <c r="F133" s="323">
        <f>2000000+400000+52000+((27403151)+44000+81972+200000+50000)</f>
        <v>30231123</v>
      </c>
      <c r="G133" s="323"/>
      <c r="H133" s="323"/>
      <c r="I133" s="323"/>
      <c r="J133" s="928">
        <f t="shared" si="97"/>
        <v>150000</v>
      </c>
      <c r="K133" s="323">
        <v>150000</v>
      </c>
      <c r="L133" s="323"/>
      <c r="M133" s="323"/>
      <c r="N133" s="323"/>
      <c r="O133" s="977">
        <f t="shared" si="98"/>
        <v>150000</v>
      </c>
      <c r="P133" s="928">
        <f t="shared" si="99"/>
        <v>30381123</v>
      </c>
      <c r="R133" s="930" t="b">
        <f>K133=[1]d6!J117</f>
        <v>1</v>
      </c>
    </row>
    <row r="134" spans="1:18" ht="91.5" thickTop="1" thickBot="1" x14ac:dyDescent="0.25">
      <c r="A134" s="173" t="s">
        <v>901</v>
      </c>
      <c r="B134" s="173" t="s">
        <v>902</v>
      </c>
      <c r="C134" s="173"/>
      <c r="D134" s="449" t="s">
        <v>903</v>
      </c>
      <c r="E134" s="928">
        <f>SUM(E135)</f>
        <v>0</v>
      </c>
      <c r="F134" s="928">
        <f t="shared" ref="F134:P135" si="100">SUM(F135)</f>
        <v>0</v>
      </c>
      <c r="G134" s="928">
        <f t="shared" si="100"/>
        <v>0</v>
      </c>
      <c r="H134" s="928">
        <f t="shared" si="100"/>
        <v>0</v>
      </c>
      <c r="I134" s="928">
        <f t="shared" si="100"/>
        <v>0</v>
      </c>
      <c r="J134" s="928">
        <f t="shared" si="100"/>
        <v>4000000</v>
      </c>
      <c r="K134" s="928">
        <f t="shared" si="100"/>
        <v>4000000</v>
      </c>
      <c r="L134" s="928">
        <f t="shared" si="100"/>
        <v>0</v>
      </c>
      <c r="M134" s="928">
        <f t="shared" si="100"/>
        <v>0</v>
      </c>
      <c r="N134" s="928">
        <f t="shared" si="100"/>
        <v>0</v>
      </c>
      <c r="O134" s="928">
        <f t="shared" si="100"/>
        <v>4000000</v>
      </c>
      <c r="P134" s="928">
        <f t="shared" si="100"/>
        <v>4000000</v>
      </c>
      <c r="R134" s="930"/>
    </row>
    <row r="135" spans="1:18" s="39" customFormat="1" ht="93" thickTop="1" thickBot="1" x14ac:dyDescent="0.25">
      <c r="A135" s="445" t="s">
        <v>904</v>
      </c>
      <c r="B135" s="445" t="s">
        <v>905</v>
      </c>
      <c r="C135" s="445"/>
      <c r="D135" s="451" t="s">
        <v>906</v>
      </c>
      <c r="E135" s="446">
        <f>SUM(E136)</f>
        <v>0</v>
      </c>
      <c r="F135" s="446">
        <f t="shared" si="100"/>
        <v>0</v>
      </c>
      <c r="G135" s="446">
        <f t="shared" si="100"/>
        <v>0</v>
      </c>
      <c r="H135" s="446">
        <f t="shared" si="100"/>
        <v>0</v>
      </c>
      <c r="I135" s="446">
        <f t="shared" si="100"/>
        <v>0</v>
      </c>
      <c r="J135" s="446">
        <f t="shared" si="100"/>
        <v>4000000</v>
      </c>
      <c r="K135" s="446">
        <f t="shared" si="100"/>
        <v>4000000</v>
      </c>
      <c r="L135" s="446">
        <f t="shared" si="100"/>
        <v>0</v>
      </c>
      <c r="M135" s="446">
        <f t="shared" si="100"/>
        <v>0</v>
      </c>
      <c r="N135" s="446">
        <f t="shared" si="100"/>
        <v>0</v>
      </c>
      <c r="O135" s="446">
        <f t="shared" si="100"/>
        <v>4000000</v>
      </c>
      <c r="P135" s="446">
        <f t="shared" si="100"/>
        <v>4000000</v>
      </c>
      <c r="Q135" s="194"/>
      <c r="R135" s="453"/>
    </row>
    <row r="136" spans="1:18" ht="138.75" thickTop="1" thickBot="1" x14ac:dyDescent="0.25">
      <c r="A136" s="927" t="s">
        <v>393</v>
      </c>
      <c r="B136" s="927" t="s">
        <v>391</v>
      </c>
      <c r="C136" s="927" t="s">
        <v>365</v>
      </c>
      <c r="D136" s="337" t="s">
        <v>392</v>
      </c>
      <c r="E136" s="928">
        <f t="shared" si="85"/>
        <v>0</v>
      </c>
      <c r="F136" s="323"/>
      <c r="G136" s="323"/>
      <c r="H136" s="323"/>
      <c r="I136" s="323"/>
      <c r="J136" s="928">
        <f t="shared" si="97"/>
        <v>4000000</v>
      </c>
      <c r="K136" s="323">
        <v>4000000</v>
      </c>
      <c r="L136" s="323"/>
      <c r="M136" s="323"/>
      <c r="N136" s="323"/>
      <c r="O136" s="977">
        <f t="shared" si="98"/>
        <v>4000000</v>
      </c>
      <c r="P136" s="928">
        <f t="shared" si="99"/>
        <v>4000000</v>
      </c>
      <c r="R136" s="930" t="b">
        <f>K136=[1]d6!J118</f>
        <v>1</v>
      </c>
    </row>
    <row r="137" spans="1:18" ht="47.25" thickTop="1" thickBot="1" x14ac:dyDescent="0.25">
      <c r="A137" s="173" t="s">
        <v>911</v>
      </c>
      <c r="B137" s="981" t="s">
        <v>908</v>
      </c>
      <c r="C137" s="981"/>
      <c r="D137" s="981" t="s">
        <v>909</v>
      </c>
      <c r="E137" s="928">
        <f t="shared" ref="E137:P137" si="101">E141+E138</f>
        <v>0</v>
      </c>
      <c r="F137" s="928">
        <f t="shared" si="101"/>
        <v>0</v>
      </c>
      <c r="G137" s="928">
        <f t="shared" si="101"/>
        <v>0</v>
      </c>
      <c r="H137" s="928">
        <f t="shared" si="101"/>
        <v>0</v>
      </c>
      <c r="I137" s="928">
        <f t="shared" si="101"/>
        <v>0</v>
      </c>
      <c r="J137" s="928">
        <f t="shared" si="101"/>
        <v>542000</v>
      </c>
      <c r="K137" s="928">
        <f t="shared" si="101"/>
        <v>220000</v>
      </c>
      <c r="L137" s="928">
        <f t="shared" si="101"/>
        <v>322000</v>
      </c>
      <c r="M137" s="928">
        <f t="shared" si="101"/>
        <v>0</v>
      </c>
      <c r="N137" s="928">
        <f t="shared" si="101"/>
        <v>0</v>
      </c>
      <c r="O137" s="928">
        <f t="shared" si="101"/>
        <v>220000</v>
      </c>
      <c r="P137" s="928">
        <f t="shared" si="101"/>
        <v>542000</v>
      </c>
      <c r="R137" s="930"/>
    </row>
    <row r="138" spans="1:18" ht="91.5" thickTop="1" thickBot="1" x14ac:dyDescent="0.25">
      <c r="A138" s="450" t="s">
        <v>1146</v>
      </c>
      <c r="B138" s="982" t="s">
        <v>964</v>
      </c>
      <c r="C138" s="982"/>
      <c r="D138" s="982" t="s">
        <v>965</v>
      </c>
      <c r="E138" s="448">
        <f>E139</f>
        <v>0</v>
      </c>
      <c r="F138" s="448">
        <f t="shared" ref="F138:P142" si="102">F139</f>
        <v>0</v>
      </c>
      <c r="G138" s="448">
        <f t="shared" si="102"/>
        <v>0</v>
      </c>
      <c r="H138" s="448">
        <f t="shared" si="102"/>
        <v>0</v>
      </c>
      <c r="I138" s="448">
        <f t="shared" si="102"/>
        <v>0</v>
      </c>
      <c r="J138" s="448">
        <f t="shared" si="102"/>
        <v>220000</v>
      </c>
      <c r="K138" s="448">
        <f t="shared" si="102"/>
        <v>220000</v>
      </c>
      <c r="L138" s="448">
        <f t="shared" si="102"/>
        <v>0</v>
      </c>
      <c r="M138" s="448">
        <f t="shared" si="102"/>
        <v>0</v>
      </c>
      <c r="N138" s="448">
        <f t="shared" si="102"/>
        <v>0</v>
      </c>
      <c r="O138" s="448">
        <f t="shared" si="102"/>
        <v>220000</v>
      </c>
      <c r="P138" s="448">
        <f t="shared" si="102"/>
        <v>220000</v>
      </c>
      <c r="R138" s="930"/>
    </row>
    <row r="139" spans="1:18" ht="146.25" thickTop="1" thickBot="1" x14ac:dyDescent="0.25">
      <c r="A139" s="445" t="s">
        <v>1142</v>
      </c>
      <c r="B139" s="445" t="s">
        <v>983</v>
      </c>
      <c r="C139" s="445"/>
      <c r="D139" s="445" t="s">
        <v>984</v>
      </c>
      <c r="E139" s="446">
        <f>E140</f>
        <v>0</v>
      </c>
      <c r="F139" s="446">
        <f t="shared" si="102"/>
        <v>0</v>
      </c>
      <c r="G139" s="446">
        <f t="shared" si="102"/>
        <v>0</v>
      </c>
      <c r="H139" s="446">
        <f t="shared" si="102"/>
        <v>0</v>
      </c>
      <c r="I139" s="446">
        <f t="shared" si="102"/>
        <v>0</v>
      </c>
      <c r="J139" s="446">
        <f t="shared" si="102"/>
        <v>220000</v>
      </c>
      <c r="K139" s="446">
        <f t="shared" si="102"/>
        <v>220000</v>
      </c>
      <c r="L139" s="446">
        <f t="shared" si="102"/>
        <v>0</v>
      </c>
      <c r="M139" s="446">
        <f t="shared" si="102"/>
        <v>0</v>
      </c>
      <c r="N139" s="446">
        <f t="shared" si="102"/>
        <v>0</v>
      </c>
      <c r="O139" s="446">
        <f t="shared" si="102"/>
        <v>220000</v>
      </c>
      <c r="P139" s="446">
        <f t="shared" si="102"/>
        <v>220000</v>
      </c>
      <c r="R139" s="930"/>
    </row>
    <row r="140" spans="1:18" ht="99.75" thickTop="1" thickBot="1" x14ac:dyDescent="0.25">
      <c r="A140" s="927" t="s">
        <v>1143</v>
      </c>
      <c r="B140" s="927" t="s">
        <v>1144</v>
      </c>
      <c r="C140" s="927" t="s">
        <v>323</v>
      </c>
      <c r="D140" s="927" t="s">
        <v>1145</v>
      </c>
      <c r="E140" s="928">
        <f>E141</f>
        <v>0</v>
      </c>
      <c r="F140" s="323"/>
      <c r="G140" s="323"/>
      <c r="H140" s="323"/>
      <c r="I140" s="323"/>
      <c r="J140" s="928">
        <f>L140+O140</f>
        <v>220000</v>
      </c>
      <c r="K140" s="323">
        <f>180000+40000</f>
        <v>220000</v>
      </c>
      <c r="L140" s="323"/>
      <c r="M140" s="323"/>
      <c r="N140" s="323"/>
      <c r="O140" s="977">
        <f>K140</f>
        <v>220000</v>
      </c>
      <c r="P140" s="928">
        <f>E140+J140</f>
        <v>220000</v>
      </c>
      <c r="R140" s="930" t="b">
        <f>K140=[1]d6!J119</f>
        <v>1</v>
      </c>
    </row>
    <row r="141" spans="1:18" ht="136.5" thickTop="1" thickBot="1" x14ac:dyDescent="0.25">
      <c r="A141" s="450" t="s">
        <v>913</v>
      </c>
      <c r="B141" s="982" t="s">
        <v>850</v>
      </c>
      <c r="C141" s="982"/>
      <c r="D141" s="982" t="s">
        <v>848</v>
      </c>
      <c r="E141" s="448">
        <f>E142</f>
        <v>0</v>
      </c>
      <c r="F141" s="448">
        <f t="shared" si="102"/>
        <v>0</v>
      </c>
      <c r="G141" s="448">
        <f t="shared" si="102"/>
        <v>0</v>
      </c>
      <c r="H141" s="448">
        <f t="shared" si="102"/>
        <v>0</v>
      </c>
      <c r="I141" s="448">
        <f t="shared" si="102"/>
        <v>0</v>
      </c>
      <c r="J141" s="448">
        <f t="shared" si="102"/>
        <v>322000</v>
      </c>
      <c r="K141" s="448">
        <f t="shared" si="102"/>
        <v>0</v>
      </c>
      <c r="L141" s="448">
        <f t="shared" si="102"/>
        <v>322000</v>
      </c>
      <c r="M141" s="448">
        <f t="shared" si="102"/>
        <v>0</v>
      </c>
      <c r="N141" s="448">
        <f t="shared" si="102"/>
        <v>0</v>
      </c>
      <c r="O141" s="448">
        <f t="shared" si="102"/>
        <v>0</v>
      </c>
      <c r="P141" s="448">
        <f t="shared" si="102"/>
        <v>322000</v>
      </c>
      <c r="R141" s="930"/>
    </row>
    <row r="142" spans="1:18" ht="48" thickTop="1" thickBot="1" x14ac:dyDescent="0.25">
      <c r="A142" s="983" t="s">
        <v>912</v>
      </c>
      <c r="B142" s="983" t="s">
        <v>853</v>
      </c>
      <c r="C142" s="983"/>
      <c r="D142" s="451" t="s">
        <v>851</v>
      </c>
      <c r="E142" s="446">
        <f>E143</f>
        <v>0</v>
      </c>
      <c r="F142" s="446">
        <f t="shared" si="102"/>
        <v>0</v>
      </c>
      <c r="G142" s="446">
        <f t="shared" si="102"/>
        <v>0</v>
      </c>
      <c r="H142" s="446">
        <f t="shared" si="102"/>
        <v>0</v>
      </c>
      <c r="I142" s="446">
        <f t="shared" si="102"/>
        <v>0</v>
      </c>
      <c r="J142" s="446">
        <f t="shared" si="102"/>
        <v>322000</v>
      </c>
      <c r="K142" s="446">
        <f t="shared" si="102"/>
        <v>0</v>
      </c>
      <c r="L142" s="446">
        <f t="shared" si="102"/>
        <v>322000</v>
      </c>
      <c r="M142" s="446">
        <f t="shared" si="102"/>
        <v>0</v>
      </c>
      <c r="N142" s="446">
        <f t="shared" si="102"/>
        <v>0</v>
      </c>
      <c r="O142" s="446">
        <f t="shared" si="102"/>
        <v>0</v>
      </c>
      <c r="P142" s="446">
        <f t="shared" si="102"/>
        <v>322000</v>
      </c>
      <c r="R142" s="930"/>
    </row>
    <row r="143" spans="1:18" ht="409.6" thickTop="1" thickBot="1" x14ac:dyDescent="0.7">
      <c r="A143" s="1048" t="s">
        <v>451</v>
      </c>
      <c r="B143" s="1048" t="s">
        <v>363</v>
      </c>
      <c r="C143" s="1048" t="s">
        <v>184</v>
      </c>
      <c r="D143" s="326" t="s">
        <v>473</v>
      </c>
      <c r="E143" s="1058">
        <f t="shared" si="85"/>
        <v>0</v>
      </c>
      <c r="F143" s="1055"/>
      <c r="G143" s="1055"/>
      <c r="H143" s="1055"/>
      <c r="I143" s="1055"/>
      <c r="J143" s="1058">
        <f t="shared" si="97"/>
        <v>322000</v>
      </c>
      <c r="K143" s="1055"/>
      <c r="L143" s="1055">
        <v>322000</v>
      </c>
      <c r="M143" s="1055"/>
      <c r="N143" s="1055"/>
      <c r="O143" s="1222">
        <f t="shared" si="98"/>
        <v>0</v>
      </c>
      <c r="P143" s="1224">
        <f t="shared" si="99"/>
        <v>322000</v>
      </c>
      <c r="R143" s="198"/>
    </row>
    <row r="144" spans="1:18" ht="184.5" thickTop="1" thickBot="1" x14ac:dyDescent="0.25">
      <c r="A144" s="1219"/>
      <c r="B144" s="1050"/>
      <c r="C144" s="1219"/>
      <c r="D144" s="329" t="s">
        <v>474</v>
      </c>
      <c r="E144" s="1219"/>
      <c r="F144" s="1220"/>
      <c r="G144" s="1220"/>
      <c r="H144" s="1220"/>
      <c r="I144" s="1220"/>
      <c r="J144" s="1219"/>
      <c r="K144" s="1219"/>
      <c r="L144" s="1220"/>
      <c r="M144" s="1220"/>
      <c r="N144" s="1220"/>
      <c r="O144" s="1223"/>
      <c r="P144" s="1225"/>
      <c r="R144" s="198"/>
    </row>
    <row r="145" spans="1:18" ht="181.5" thickTop="1" thickBot="1" x14ac:dyDescent="0.25">
      <c r="A145" s="969">
        <v>1000000</v>
      </c>
      <c r="B145" s="969"/>
      <c r="C145" s="969"/>
      <c r="D145" s="970" t="s">
        <v>24</v>
      </c>
      <c r="E145" s="971">
        <f>E146</f>
        <v>125824028</v>
      </c>
      <c r="F145" s="972">
        <f t="shared" ref="F145:G145" si="103">F146</f>
        <v>125824028</v>
      </c>
      <c r="G145" s="972">
        <f t="shared" si="103"/>
        <v>90762390</v>
      </c>
      <c r="H145" s="972">
        <f>H146</f>
        <v>3908556</v>
      </c>
      <c r="I145" s="972">
        <f>I146</f>
        <v>0</v>
      </c>
      <c r="J145" s="971">
        <f>J146</f>
        <v>17477025</v>
      </c>
      <c r="K145" s="972">
        <f>K146</f>
        <v>7646625</v>
      </c>
      <c r="L145" s="972">
        <f>L146</f>
        <v>9724400</v>
      </c>
      <c r="M145" s="972">
        <f t="shared" ref="M145" si="104">M146</f>
        <v>7345900</v>
      </c>
      <c r="N145" s="971">
        <f>N146</f>
        <v>257400</v>
      </c>
      <c r="O145" s="971">
        <f>O146</f>
        <v>7752625</v>
      </c>
      <c r="P145" s="972">
        <f t="shared" ref="P145" si="105">P146</f>
        <v>143301053</v>
      </c>
    </row>
    <row r="146" spans="1:18" ht="181.5" thickTop="1" thickBot="1" x14ac:dyDescent="0.25">
      <c r="A146" s="973">
        <v>1010000</v>
      </c>
      <c r="B146" s="973"/>
      <c r="C146" s="973"/>
      <c r="D146" s="974" t="s">
        <v>41</v>
      </c>
      <c r="E146" s="975">
        <f>E147+E149+E162+E157</f>
        <v>125824028</v>
      </c>
      <c r="F146" s="975">
        <f>F147+F149+F162+F157</f>
        <v>125824028</v>
      </c>
      <c r="G146" s="975">
        <f>G147+G149+G162+G157</f>
        <v>90762390</v>
      </c>
      <c r="H146" s="975">
        <f>H147+H149+H162+H157</f>
        <v>3908556</v>
      </c>
      <c r="I146" s="975">
        <f>I147+I149+I162+I157</f>
        <v>0</v>
      </c>
      <c r="J146" s="975">
        <f t="shared" ref="J146:J156" si="106">L146+O146</f>
        <v>17477025</v>
      </c>
      <c r="K146" s="975">
        <f>K147+K149+K162+K157</f>
        <v>7646625</v>
      </c>
      <c r="L146" s="975">
        <f>L147+L149+L162+L157</f>
        <v>9724400</v>
      </c>
      <c r="M146" s="975">
        <f>M147+M149+M162+M157</f>
        <v>7345900</v>
      </c>
      <c r="N146" s="975">
        <f>N147+N149+N162+N157</f>
        <v>257400</v>
      </c>
      <c r="O146" s="975">
        <f>O147+O149+O162+O157</f>
        <v>7752625</v>
      </c>
      <c r="P146" s="976">
        <f t="shared" ref="P146:P156" si="107">E146+J146</f>
        <v>143301053</v>
      </c>
      <c r="Q146" s="125" t="b">
        <f>P146=P148+P150+P151+P152+P153+P155+P156+P164+P161+P160</f>
        <v>1</v>
      </c>
      <c r="R146" s="930" t="b">
        <f>K146=[1]d6!J120</f>
        <v>1</v>
      </c>
    </row>
    <row r="147" spans="1:18" ht="47.25" thickTop="1" thickBot="1" x14ac:dyDescent="0.25">
      <c r="A147" s="173" t="s">
        <v>914</v>
      </c>
      <c r="B147" s="173" t="s">
        <v>867</v>
      </c>
      <c r="C147" s="173"/>
      <c r="D147" s="173" t="s">
        <v>868</v>
      </c>
      <c r="E147" s="928">
        <f>E148</f>
        <v>69368356</v>
      </c>
      <c r="F147" s="928">
        <f t="shared" ref="F147:P147" si="108">F148</f>
        <v>69368356</v>
      </c>
      <c r="G147" s="928">
        <f t="shared" si="108"/>
        <v>54485440</v>
      </c>
      <c r="H147" s="928">
        <f t="shared" si="108"/>
        <v>2249246</v>
      </c>
      <c r="I147" s="928">
        <f t="shared" si="108"/>
        <v>0</v>
      </c>
      <c r="J147" s="928">
        <f t="shared" si="108"/>
        <v>10111100</v>
      </c>
      <c r="K147" s="928">
        <f t="shared" si="108"/>
        <v>1049000</v>
      </c>
      <c r="L147" s="928">
        <f t="shared" si="108"/>
        <v>9029100</v>
      </c>
      <c r="M147" s="928">
        <f t="shared" si="108"/>
        <v>6977500</v>
      </c>
      <c r="N147" s="928">
        <f t="shared" si="108"/>
        <v>190100</v>
      </c>
      <c r="O147" s="928">
        <f t="shared" si="108"/>
        <v>1082000</v>
      </c>
      <c r="P147" s="928">
        <f t="shared" si="108"/>
        <v>79479456</v>
      </c>
      <c r="Q147" s="125"/>
      <c r="R147" s="930"/>
    </row>
    <row r="148" spans="1:18" ht="93" thickTop="1" thickBot="1" x14ac:dyDescent="0.25">
      <c r="A148" s="927" t="s">
        <v>794</v>
      </c>
      <c r="B148" s="927" t="s">
        <v>795</v>
      </c>
      <c r="C148" s="927" t="s">
        <v>199</v>
      </c>
      <c r="D148" s="927" t="s">
        <v>546</v>
      </c>
      <c r="E148" s="928">
        <f>F148</f>
        <v>69368356</v>
      </c>
      <c r="F148" s="323">
        <f>320540+76800+1220+13+198+(54164900+11916270+176295+394855+51550+1849900+30235+235500+100600+31580+17900)</f>
        <v>69368356</v>
      </c>
      <c r="G148" s="323">
        <f>(54164900)+320540</f>
        <v>54485440</v>
      </c>
      <c r="H148" s="323">
        <f>(1849900+30235+235500+100600+31580)+1220+13+198</f>
        <v>2249246</v>
      </c>
      <c r="I148" s="323"/>
      <c r="J148" s="928">
        <f t="shared" si="106"/>
        <v>10111100</v>
      </c>
      <c r="K148" s="323">
        <f>(1000000)+49000</f>
        <v>1049000</v>
      </c>
      <c r="L148" s="323">
        <f>(6977500+1530200+218650+101550+5500+190100+4000+1600)</f>
        <v>9029100</v>
      </c>
      <c r="M148" s="323">
        <v>6977500</v>
      </c>
      <c r="N148" s="323">
        <f>(160400+4900+18800+6000)</f>
        <v>190100</v>
      </c>
      <c r="O148" s="977">
        <f>K148+33000</f>
        <v>1082000</v>
      </c>
      <c r="P148" s="928">
        <f t="shared" si="107"/>
        <v>79479456</v>
      </c>
      <c r="R148" s="930" t="b">
        <f>K148=[1]d6!J123+[1]d6!J122</f>
        <v>1</v>
      </c>
    </row>
    <row r="149" spans="1:18" s="2" customFormat="1" ht="47.25" thickTop="1" thickBot="1" x14ac:dyDescent="0.25">
      <c r="A149" s="173" t="s">
        <v>915</v>
      </c>
      <c r="B149" s="173" t="s">
        <v>916</v>
      </c>
      <c r="C149" s="173"/>
      <c r="D149" s="173" t="s">
        <v>917</v>
      </c>
      <c r="E149" s="928">
        <f>SUM(E150:E156)-E154</f>
        <v>55747535</v>
      </c>
      <c r="F149" s="928">
        <f t="shared" ref="F149:P149" si="109">SUM(F150:F156)-F154</f>
        <v>55747535</v>
      </c>
      <c r="G149" s="928">
        <f t="shared" si="109"/>
        <v>36276950</v>
      </c>
      <c r="H149" s="928">
        <f t="shared" si="109"/>
        <v>1659310</v>
      </c>
      <c r="I149" s="928">
        <f t="shared" si="109"/>
        <v>0</v>
      </c>
      <c r="J149" s="928">
        <f t="shared" si="109"/>
        <v>7065925</v>
      </c>
      <c r="K149" s="928">
        <f t="shared" si="109"/>
        <v>6297625</v>
      </c>
      <c r="L149" s="928">
        <f t="shared" si="109"/>
        <v>695300</v>
      </c>
      <c r="M149" s="928">
        <f t="shared" si="109"/>
        <v>368400</v>
      </c>
      <c r="N149" s="928">
        <f t="shared" si="109"/>
        <v>67300</v>
      </c>
      <c r="O149" s="928">
        <f t="shared" si="109"/>
        <v>6370625</v>
      </c>
      <c r="P149" s="928">
        <f t="shared" si="109"/>
        <v>62813460</v>
      </c>
      <c r="Q149" s="190"/>
      <c r="R149" s="198"/>
    </row>
    <row r="150" spans="1:18" ht="48" thickTop="1" thickBot="1" x14ac:dyDescent="0.25">
      <c r="A150" s="927" t="s">
        <v>185</v>
      </c>
      <c r="B150" s="927" t="s">
        <v>186</v>
      </c>
      <c r="C150" s="927" t="s">
        <v>188</v>
      </c>
      <c r="D150" s="927" t="s">
        <v>189</v>
      </c>
      <c r="E150" s="928">
        <f t="shared" ref="E150:E153" si="110">F150</f>
        <v>1030790</v>
      </c>
      <c r="F150" s="323">
        <f>(964300)+66490</f>
        <v>1030790</v>
      </c>
      <c r="G150" s="323"/>
      <c r="H150" s="323"/>
      <c r="I150" s="323"/>
      <c r="J150" s="928">
        <f t="shared" si="106"/>
        <v>0</v>
      </c>
      <c r="K150" s="323"/>
      <c r="L150" s="323"/>
      <c r="M150" s="323"/>
      <c r="N150" s="323"/>
      <c r="O150" s="977">
        <f t="shared" ref="O150:O156" si="111">K150</f>
        <v>0</v>
      </c>
      <c r="P150" s="928">
        <f t="shared" si="107"/>
        <v>1030790</v>
      </c>
      <c r="R150" s="198"/>
    </row>
    <row r="151" spans="1:18" ht="93" thickTop="1" thickBot="1" x14ac:dyDescent="0.25">
      <c r="A151" s="927" t="s">
        <v>190</v>
      </c>
      <c r="B151" s="927" t="s">
        <v>191</v>
      </c>
      <c r="C151" s="927" t="s">
        <v>192</v>
      </c>
      <c r="D151" s="927" t="s">
        <v>193</v>
      </c>
      <c r="E151" s="928">
        <f t="shared" si="110"/>
        <v>13805895</v>
      </c>
      <c r="F151" s="323">
        <f>49500+((10344300+2275745+143250+311400+5000+399000+9000+108420+19500+19280+56000+55000)+10500)</f>
        <v>13805895</v>
      </c>
      <c r="G151" s="323">
        <v>10344300</v>
      </c>
      <c r="H151" s="323">
        <f>(399000+9000+108420+19500+19280)</f>
        <v>555200</v>
      </c>
      <c r="I151" s="323"/>
      <c r="J151" s="928">
        <f t="shared" si="106"/>
        <v>1050000</v>
      </c>
      <c r="K151" s="323">
        <f>(10000+84000+28000+67000)+766000</f>
        <v>955000</v>
      </c>
      <c r="L151" s="323">
        <f>(15600+4400+29500+26200+19000+300)</f>
        <v>95000</v>
      </c>
      <c r="M151" s="323">
        <v>15600</v>
      </c>
      <c r="N151" s="323">
        <f>(17500+500+1000)</f>
        <v>19000</v>
      </c>
      <c r="O151" s="977">
        <f t="shared" si="111"/>
        <v>955000</v>
      </c>
      <c r="P151" s="928">
        <f t="shared" si="107"/>
        <v>14855895</v>
      </c>
      <c r="R151" s="930" t="b">
        <f>K151=[1]d6!J124+[1]d6!J125+[1]d6!J126</f>
        <v>1</v>
      </c>
    </row>
    <row r="152" spans="1:18" ht="93" thickTop="1" thickBot="1" x14ac:dyDescent="0.25">
      <c r="A152" s="927" t="s">
        <v>194</v>
      </c>
      <c r="B152" s="927" t="s">
        <v>195</v>
      </c>
      <c r="C152" s="927" t="s">
        <v>192</v>
      </c>
      <c r="D152" s="927" t="s">
        <v>500</v>
      </c>
      <c r="E152" s="928">
        <f t="shared" si="110"/>
        <v>1856955</v>
      </c>
      <c r="F152" s="323">
        <f>(1328500+292270+14055+20330+139800+4305+53715+3980)</f>
        <v>1856955</v>
      </c>
      <c r="G152" s="323">
        <v>1328500</v>
      </c>
      <c r="H152" s="323">
        <f>(139800+4305+53715+3980)</f>
        <v>201800</v>
      </c>
      <c r="I152" s="323"/>
      <c r="J152" s="928">
        <f t="shared" si="106"/>
        <v>5245100</v>
      </c>
      <c r="K152" s="323">
        <f>(3000000)+2000000+14900+150000</f>
        <v>5164900</v>
      </c>
      <c r="L152" s="323">
        <f>(8100+1900+35800+27700+5700+1000)</f>
        <v>80200</v>
      </c>
      <c r="M152" s="323">
        <v>8100</v>
      </c>
      <c r="N152" s="323">
        <f>(3800+400+1500)</f>
        <v>5700</v>
      </c>
      <c r="O152" s="977">
        <f t="shared" si="111"/>
        <v>5164900</v>
      </c>
      <c r="P152" s="928">
        <f t="shared" si="107"/>
        <v>7102055</v>
      </c>
      <c r="R152" s="930" t="b">
        <f>K152=[1]d6!J127+[1]d6!J128</f>
        <v>1</v>
      </c>
    </row>
    <row r="153" spans="1:18" ht="184.5" thickTop="1" thickBot="1" x14ac:dyDescent="0.25">
      <c r="A153" s="927" t="s">
        <v>196</v>
      </c>
      <c r="B153" s="927" t="s">
        <v>187</v>
      </c>
      <c r="C153" s="927" t="s">
        <v>197</v>
      </c>
      <c r="D153" s="927" t="s">
        <v>198</v>
      </c>
      <c r="E153" s="928">
        <f t="shared" si="110"/>
        <v>13555465</v>
      </c>
      <c r="F153" s="323">
        <f>39000+8550+15000+((8640350+1900875+330000+342570+7900+428200+11375+288695+93120+37570+3760+24800)+7500+7000+1122300+246900)</f>
        <v>13555465</v>
      </c>
      <c r="G153" s="323">
        <f>39000+((8640350)+1122300)</f>
        <v>9801650</v>
      </c>
      <c r="H153" s="323">
        <f>(428200+11375+288695+93120+37570)</f>
        <v>858960</v>
      </c>
      <c r="I153" s="323"/>
      <c r="J153" s="928">
        <f t="shared" si="106"/>
        <v>602200</v>
      </c>
      <c r="K153" s="323">
        <f>(124500)+16500+5100</f>
        <v>146100</v>
      </c>
      <c r="L153" s="323">
        <f>(334300+73600+5500+42600+100)</f>
        <v>456100</v>
      </c>
      <c r="M153" s="323">
        <v>334300</v>
      </c>
      <c r="N153" s="323">
        <f>(32600+800+9200)</f>
        <v>42600</v>
      </c>
      <c r="O153" s="977">
        <f>K153</f>
        <v>146100</v>
      </c>
      <c r="P153" s="928">
        <f t="shared" si="107"/>
        <v>14157665</v>
      </c>
      <c r="R153" s="930" t="b">
        <f>K153=[1]d6!J129</f>
        <v>1</v>
      </c>
    </row>
    <row r="154" spans="1:18" ht="93" thickTop="1" thickBot="1" x14ac:dyDescent="0.25">
      <c r="A154" s="445" t="s">
        <v>918</v>
      </c>
      <c r="B154" s="445" t="s">
        <v>919</v>
      </c>
      <c r="C154" s="445"/>
      <c r="D154" s="445" t="s">
        <v>920</v>
      </c>
      <c r="E154" s="446">
        <f>SUM(E155:E156)</f>
        <v>25498430</v>
      </c>
      <c r="F154" s="446">
        <f t="shared" ref="F154:P154" si="112">SUM(F155:F156)</f>
        <v>25498430</v>
      </c>
      <c r="G154" s="446">
        <f t="shared" si="112"/>
        <v>14802500</v>
      </c>
      <c r="H154" s="446">
        <f t="shared" si="112"/>
        <v>43350</v>
      </c>
      <c r="I154" s="446">
        <f t="shared" si="112"/>
        <v>0</v>
      </c>
      <c r="J154" s="446">
        <f t="shared" si="112"/>
        <v>168625</v>
      </c>
      <c r="K154" s="446">
        <f t="shared" si="112"/>
        <v>31625</v>
      </c>
      <c r="L154" s="446">
        <f t="shared" si="112"/>
        <v>64000</v>
      </c>
      <c r="M154" s="446">
        <f t="shared" si="112"/>
        <v>10400</v>
      </c>
      <c r="N154" s="446">
        <f t="shared" si="112"/>
        <v>0</v>
      </c>
      <c r="O154" s="446">
        <f t="shared" si="112"/>
        <v>104625</v>
      </c>
      <c r="P154" s="446">
        <f t="shared" si="112"/>
        <v>25667055</v>
      </c>
      <c r="R154" s="930"/>
    </row>
    <row r="155" spans="1:18" ht="138.75" thickTop="1" thickBot="1" x14ac:dyDescent="0.25">
      <c r="A155" s="927" t="s">
        <v>358</v>
      </c>
      <c r="B155" s="927" t="s">
        <v>359</v>
      </c>
      <c r="C155" s="927" t="s">
        <v>200</v>
      </c>
      <c r="D155" s="927" t="s">
        <v>501</v>
      </c>
      <c r="E155" s="928">
        <f>F155</f>
        <v>19182270</v>
      </c>
      <c r="F155" s="323">
        <f>(14802500+3256550+131640+99230+39000+3900+450+804000)+45000</f>
        <v>19182270</v>
      </c>
      <c r="G155" s="323">
        <v>14802500</v>
      </c>
      <c r="H155" s="323">
        <f>(39000+3900+450)</f>
        <v>43350</v>
      </c>
      <c r="I155" s="323"/>
      <c r="J155" s="928">
        <f t="shared" si="106"/>
        <v>168625</v>
      </c>
      <c r="K155" s="323">
        <v>31625</v>
      </c>
      <c r="L155" s="323">
        <f>(10400+2200+6000+45400)</f>
        <v>64000</v>
      </c>
      <c r="M155" s="323">
        <v>10400</v>
      </c>
      <c r="N155" s="323"/>
      <c r="O155" s="977">
        <f>K155+73000</f>
        <v>104625</v>
      </c>
      <c r="P155" s="928">
        <f t="shared" si="107"/>
        <v>19350895</v>
      </c>
      <c r="R155" s="930" t="b">
        <f>K155=[1]d6!J130</f>
        <v>1</v>
      </c>
    </row>
    <row r="156" spans="1:18" ht="93" thickTop="1" thickBot="1" x14ac:dyDescent="0.25">
      <c r="A156" s="927" t="s">
        <v>360</v>
      </c>
      <c r="B156" s="927" t="s">
        <v>361</v>
      </c>
      <c r="C156" s="927" t="s">
        <v>200</v>
      </c>
      <c r="D156" s="927" t="s">
        <v>502</v>
      </c>
      <c r="E156" s="928">
        <f>F156</f>
        <v>6316160</v>
      </c>
      <c r="F156" s="323">
        <f>(1195320+2805840+315000)+2000000</f>
        <v>6316160</v>
      </c>
      <c r="G156" s="323"/>
      <c r="H156" s="323"/>
      <c r="I156" s="323"/>
      <c r="J156" s="928">
        <f t="shared" si="106"/>
        <v>0</v>
      </c>
      <c r="K156" s="323"/>
      <c r="L156" s="323"/>
      <c r="M156" s="323"/>
      <c r="N156" s="323"/>
      <c r="O156" s="977">
        <f t="shared" si="111"/>
        <v>0</v>
      </c>
      <c r="P156" s="928">
        <f t="shared" si="107"/>
        <v>6316160</v>
      </c>
      <c r="R156" s="198"/>
    </row>
    <row r="157" spans="1:18" ht="47.25" thickTop="1" thickBot="1" x14ac:dyDescent="0.25">
      <c r="A157" s="173" t="s">
        <v>1124</v>
      </c>
      <c r="B157" s="981" t="s">
        <v>908</v>
      </c>
      <c r="C157" s="981"/>
      <c r="D157" s="981" t="s">
        <v>909</v>
      </c>
      <c r="E157" s="928">
        <f>SUM(E158)</f>
        <v>150000</v>
      </c>
      <c r="F157" s="928">
        <f t="shared" ref="F157:P157" si="113">SUM(F158)</f>
        <v>150000</v>
      </c>
      <c r="G157" s="928">
        <f t="shared" si="113"/>
        <v>0</v>
      </c>
      <c r="H157" s="928">
        <f t="shared" si="113"/>
        <v>0</v>
      </c>
      <c r="I157" s="928">
        <f t="shared" si="113"/>
        <v>0</v>
      </c>
      <c r="J157" s="928">
        <f t="shared" si="113"/>
        <v>300000</v>
      </c>
      <c r="K157" s="928">
        <f t="shared" si="113"/>
        <v>300000</v>
      </c>
      <c r="L157" s="928">
        <f t="shared" si="113"/>
        <v>0</v>
      </c>
      <c r="M157" s="928">
        <f t="shared" si="113"/>
        <v>0</v>
      </c>
      <c r="N157" s="928">
        <f t="shared" si="113"/>
        <v>0</v>
      </c>
      <c r="O157" s="928">
        <f t="shared" si="113"/>
        <v>300000</v>
      </c>
      <c r="P157" s="928">
        <f t="shared" si="113"/>
        <v>450000</v>
      </c>
      <c r="R157" s="198"/>
    </row>
    <row r="158" spans="1:18" ht="136.5" thickTop="1" thickBot="1" x14ac:dyDescent="0.25">
      <c r="A158" s="450" t="s">
        <v>1125</v>
      </c>
      <c r="B158" s="450" t="s">
        <v>850</v>
      </c>
      <c r="C158" s="450"/>
      <c r="D158" s="450" t="s">
        <v>848</v>
      </c>
      <c r="E158" s="448">
        <f>E159+E161</f>
        <v>150000</v>
      </c>
      <c r="F158" s="448">
        <f t="shared" ref="F158:O158" si="114">F159+F161</f>
        <v>150000</v>
      </c>
      <c r="G158" s="448">
        <f t="shared" si="114"/>
        <v>0</v>
      </c>
      <c r="H158" s="448">
        <f t="shared" si="114"/>
        <v>0</v>
      </c>
      <c r="I158" s="448">
        <f t="shared" si="114"/>
        <v>0</v>
      </c>
      <c r="J158" s="448">
        <f t="shared" si="114"/>
        <v>300000</v>
      </c>
      <c r="K158" s="448">
        <f t="shared" si="114"/>
        <v>300000</v>
      </c>
      <c r="L158" s="448">
        <f t="shared" si="114"/>
        <v>0</v>
      </c>
      <c r="M158" s="448">
        <f t="shared" si="114"/>
        <v>0</v>
      </c>
      <c r="N158" s="448">
        <f t="shared" si="114"/>
        <v>0</v>
      </c>
      <c r="O158" s="448">
        <f t="shared" si="114"/>
        <v>300000</v>
      </c>
      <c r="P158" s="448">
        <f>P159+P161</f>
        <v>450000</v>
      </c>
      <c r="R158" s="198"/>
    </row>
    <row r="159" spans="1:18" ht="93" thickTop="1" thickBot="1" x14ac:dyDescent="0.25">
      <c r="A159" s="445" t="s">
        <v>1378</v>
      </c>
      <c r="B159" s="445" t="s">
        <v>1379</v>
      </c>
      <c r="C159" s="445"/>
      <c r="D159" s="445" t="s">
        <v>1377</v>
      </c>
      <c r="E159" s="446">
        <f>E160</f>
        <v>150000</v>
      </c>
      <c r="F159" s="446">
        <f t="shared" ref="F159:P159" si="115">F160</f>
        <v>150000</v>
      </c>
      <c r="G159" s="446">
        <f t="shared" si="115"/>
        <v>0</v>
      </c>
      <c r="H159" s="446">
        <f t="shared" si="115"/>
        <v>0</v>
      </c>
      <c r="I159" s="446">
        <f t="shared" si="115"/>
        <v>0</v>
      </c>
      <c r="J159" s="446">
        <f t="shared" si="115"/>
        <v>0</v>
      </c>
      <c r="K159" s="446">
        <f t="shared" si="115"/>
        <v>0</v>
      </c>
      <c r="L159" s="446">
        <f t="shared" si="115"/>
        <v>0</v>
      </c>
      <c r="M159" s="446">
        <f t="shared" si="115"/>
        <v>0</v>
      </c>
      <c r="N159" s="446">
        <f t="shared" si="115"/>
        <v>0</v>
      </c>
      <c r="O159" s="446">
        <f t="shared" si="115"/>
        <v>0</v>
      </c>
      <c r="P159" s="446">
        <f t="shared" si="115"/>
        <v>150000</v>
      </c>
      <c r="R159" s="198"/>
    </row>
    <row r="160" spans="1:18" ht="153" customHeight="1" thickTop="1" thickBot="1" x14ac:dyDescent="0.25">
      <c r="A160" s="927" t="s">
        <v>1381</v>
      </c>
      <c r="B160" s="927" t="s">
        <v>1382</v>
      </c>
      <c r="C160" s="927" t="s">
        <v>231</v>
      </c>
      <c r="D160" s="927" t="s">
        <v>1380</v>
      </c>
      <c r="E160" s="928">
        <f t="shared" ref="E160:E161" si="116">F160</f>
        <v>150000</v>
      </c>
      <c r="F160" s="323">
        <v>150000</v>
      </c>
      <c r="G160" s="323"/>
      <c r="H160" s="323"/>
      <c r="I160" s="323"/>
      <c r="J160" s="928">
        <f>L160+O160</f>
        <v>0</v>
      </c>
      <c r="K160" s="323"/>
      <c r="L160" s="323"/>
      <c r="M160" s="323"/>
      <c r="N160" s="323"/>
      <c r="O160" s="977">
        <f>K160</f>
        <v>0</v>
      </c>
      <c r="P160" s="928">
        <f>E160+J160</f>
        <v>150000</v>
      </c>
      <c r="R160" s="198"/>
    </row>
    <row r="161" spans="1:18" ht="93" thickTop="1" thickBot="1" x14ac:dyDescent="0.25">
      <c r="A161" s="927" t="s">
        <v>1126</v>
      </c>
      <c r="B161" s="927" t="s">
        <v>215</v>
      </c>
      <c r="C161" s="927" t="s">
        <v>184</v>
      </c>
      <c r="D161" s="927" t="s">
        <v>36</v>
      </c>
      <c r="E161" s="928">
        <f t="shared" si="116"/>
        <v>0</v>
      </c>
      <c r="F161" s="323"/>
      <c r="G161" s="323"/>
      <c r="H161" s="323"/>
      <c r="I161" s="323"/>
      <c r="J161" s="928">
        <f t="shared" ref="J161" si="117">L161+O161</f>
        <v>300000</v>
      </c>
      <c r="K161" s="323">
        <f>200000+100000</f>
        <v>300000</v>
      </c>
      <c r="L161" s="323"/>
      <c r="M161" s="323"/>
      <c r="N161" s="323"/>
      <c r="O161" s="977">
        <f t="shared" ref="O161" si="118">K161</f>
        <v>300000</v>
      </c>
      <c r="P161" s="928">
        <f t="shared" ref="P161" si="119">E161+J161</f>
        <v>300000</v>
      </c>
      <c r="R161" s="930" t="b">
        <f>K161=[1]d6!J131+[1]d6!J132</f>
        <v>1</v>
      </c>
    </row>
    <row r="162" spans="1:18" ht="47.25" thickTop="1" thickBot="1" x14ac:dyDescent="0.25">
      <c r="A162" s="173" t="s">
        <v>921</v>
      </c>
      <c r="B162" s="173" t="s">
        <v>861</v>
      </c>
      <c r="C162" s="173"/>
      <c r="D162" s="173" t="s">
        <v>862</v>
      </c>
      <c r="E162" s="928">
        <f>E163</f>
        <v>558137</v>
      </c>
      <c r="F162" s="928">
        <f t="shared" ref="F162:P163" si="120">F163</f>
        <v>558137</v>
      </c>
      <c r="G162" s="928">
        <f t="shared" si="120"/>
        <v>0</v>
      </c>
      <c r="H162" s="928">
        <f t="shared" si="120"/>
        <v>0</v>
      </c>
      <c r="I162" s="928">
        <f t="shared" si="120"/>
        <v>0</v>
      </c>
      <c r="J162" s="928">
        <f t="shared" si="120"/>
        <v>0</v>
      </c>
      <c r="K162" s="928">
        <f t="shared" si="120"/>
        <v>0</v>
      </c>
      <c r="L162" s="928">
        <f t="shared" si="120"/>
        <v>0</v>
      </c>
      <c r="M162" s="928">
        <f t="shared" si="120"/>
        <v>0</v>
      </c>
      <c r="N162" s="928">
        <f t="shared" si="120"/>
        <v>0</v>
      </c>
      <c r="O162" s="928">
        <f t="shared" si="120"/>
        <v>0</v>
      </c>
      <c r="P162" s="928">
        <f t="shared" si="120"/>
        <v>558137</v>
      </c>
      <c r="R162" s="198"/>
    </row>
    <row r="163" spans="1:18" ht="271.5" thickTop="1" thickBot="1" x14ac:dyDescent="0.25">
      <c r="A163" s="450" t="s">
        <v>922</v>
      </c>
      <c r="B163" s="450" t="s">
        <v>864</v>
      </c>
      <c r="C163" s="450"/>
      <c r="D163" s="450" t="s">
        <v>865</v>
      </c>
      <c r="E163" s="448">
        <f>E164</f>
        <v>558137</v>
      </c>
      <c r="F163" s="448">
        <f t="shared" si="120"/>
        <v>558137</v>
      </c>
      <c r="G163" s="448">
        <f t="shared" si="120"/>
        <v>0</v>
      </c>
      <c r="H163" s="448">
        <f t="shared" si="120"/>
        <v>0</v>
      </c>
      <c r="I163" s="448">
        <f t="shared" si="120"/>
        <v>0</v>
      </c>
      <c r="J163" s="448">
        <f t="shared" si="120"/>
        <v>0</v>
      </c>
      <c r="K163" s="448">
        <f t="shared" si="120"/>
        <v>0</v>
      </c>
      <c r="L163" s="448">
        <f t="shared" si="120"/>
        <v>0</v>
      </c>
      <c r="M163" s="448">
        <f t="shared" si="120"/>
        <v>0</v>
      </c>
      <c r="N163" s="448">
        <f t="shared" si="120"/>
        <v>0</v>
      </c>
      <c r="O163" s="448">
        <f t="shared" si="120"/>
        <v>0</v>
      </c>
      <c r="P163" s="448">
        <f t="shared" si="120"/>
        <v>558137</v>
      </c>
      <c r="R163" s="198"/>
    </row>
    <row r="164" spans="1:18" ht="93" thickTop="1" thickBot="1" x14ac:dyDescent="0.25">
      <c r="A164" s="927" t="s">
        <v>715</v>
      </c>
      <c r="B164" s="927" t="s">
        <v>389</v>
      </c>
      <c r="C164" s="927" t="s">
        <v>45</v>
      </c>
      <c r="D164" s="927" t="s">
        <v>390</v>
      </c>
      <c r="E164" s="928">
        <f t="shared" ref="E164" si="121">F164</f>
        <v>558137</v>
      </c>
      <c r="F164" s="323">
        <v>558137</v>
      </c>
      <c r="G164" s="323"/>
      <c r="H164" s="323"/>
      <c r="I164" s="323"/>
      <c r="J164" s="928">
        <f>L164+O164</f>
        <v>0</v>
      </c>
      <c r="K164" s="323"/>
      <c r="L164" s="323"/>
      <c r="M164" s="323"/>
      <c r="N164" s="323"/>
      <c r="O164" s="977">
        <f>K164</f>
        <v>0</v>
      </c>
      <c r="P164" s="928">
        <f>E164+J164</f>
        <v>558137</v>
      </c>
      <c r="R164" s="198"/>
    </row>
    <row r="165" spans="1:18" ht="136.5" thickTop="1" thickBot="1" x14ac:dyDescent="0.25">
      <c r="A165" s="969" t="s">
        <v>22</v>
      </c>
      <c r="B165" s="969"/>
      <c r="C165" s="969"/>
      <c r="D165" s="970" t="s">
        <v>23</v>
      </c>
      <c r="E165" s="971">
        <f>E166</f>
        <v>94491048.530000001</v>
      </c>
      <c r="F165" s="972">
        <f t="shared" ref="F165:G165" si="122">F166</f>
        <v>94491048.530000001</v>
      </c>
      <c r="G165" s="972">
        <f t="shared" si="122"/>
        <v>42269095</v>
      </c>
      <c r="H165" s="972">
        <f>H166</f>
        <v>2293040</v>
      </c>
      <c r="I165" s="972">
        <f t="shared" ref="I165" si="123">I166</f>
        <v>0</v>
      </c>
      <c r="J165" s="971">
        <f>J166</f>
        <v>7374431</v>
      </c>
      <c r="K165" s="972">
        <f>K166</f>
        <v>5470186</v>
      </c>
      <c r="L165" s="972">
        <f>L166</f>
        <v>1894298</v>
      </c>
      <c r="M165" s="972">
        <f t="shared" ref="M165" si="124">M166</f>
        <v>880762</v>
      </c>
      <c r="N165" s="971">
        <f>N166</f>
        <v>290578</v>
      </c>
      <c r="O165" s="971">
        <f>O166</f>
        <v>5480133</v>
      </c>
      <c r="P165" s="972">
        <f t="shared" ref="P165" si="125">P166</f>
        <v>101865479.53</v>
      </c>
    </row>
    <row r="166" spans="1:18" ht="136.5" thickTop="1" thickBot="1" x14ac:dyDescent="0.25">
      <c r="A166" s="973" t="s">
        <v>21</v>
      </c>
      <c r="B166" s="973"/>
      <c r="C166" s="973"/>
      <c r="D166" s="974" t="s">
        <v>37</v>
      </c>
      <c r="E166" s="975">
        <f>E167+E173+E186+E189</f>
        <v>94491048.530000001</v>
      </c>
      <c r="F166" s="975">
        <f t="shared" ref="F166:I166" si="126">F167+F173+F186+F189</f>
        <v>94491048.530000001</v>
      </c>
      <c r="G166" s="975">
        <f t="shared" si="126"/>
        <v>42269095</v>
      </c>
      <c r="H166" s="975">
        <f t="shared" si="126"/>
        <v>2293040</v>
      </c>
      <c r="I166" s="975">
        <f t="shared" si="126"/>
        <v>0</v>
      </c>
      <c r="J166" s="975">
        <f>L166+O166</f>
        <v>7374431</v>
      </c>
      <c r="K166" s="975">
        <f t="shared" ref="K166:N166" si="127">K167+K173+K186+K189</f>
        <v>5470186</v>
      </c>
      <c r="L166" s="975">
        <f t="shared" si="127"/>
        <v>1894298</v>
      </c>
      <c r="M166" s="975">
        <f t="shared" si="127"/>
        <v>880762</v>
      </c>
      <c r="N166" s="975">
        <f t="shared" si="127"/>
        <v>290578</v>
      </c>
      <c r="O166" s="975">
        <f>O167+O173+O186+O189</f>
        <v>5480133</v>
      </c>
      <c r="P166" s="976">
        <f>E166+J166</f>
        <v>101865479.53</v>
      </c>
      <c r="Q166" s="125" t="b">
        <f>P166=P169+P171+P172+P175+P176+P178+P180+P181+P183+P184+P185+P188+P191</f>
        <v>1</v>
      </c>
      <c r="R166" s="930" t="b">
        <f>K166=[1]d6!J134</f>
        <v>1</v>
      </c>
    </row>
    <row r="167" spans="1:18" ht="91.5" thickTop="1" thickBot="1" x14ac:dyDescent="0.25">
      <c r="A167" s="173" t="s">
        <v>923</v>
      </c>
      <c r="B167" s="173" t="s">
        <v>870</v>
      </c>
      <c r="C167" s="173"/>
      <c r="D167" s="173" t="s">
        <v>871</v>
      </c>
      <c r="E167" s="465">
        <f>SUM(E168:E172)-E168-E170</f>
        <v>16783772</v>
      </c>
      <c r="F167" s="465">
        <f t="shared" ref="F167:P167" si="128">SUM(F168:F172)-F168-F170</f>
        <v>16783772</v>
      </c>
      <c r="G167" s="465">
        <f t="shared" si="128"/>
        <v>7871695</v>
      </c>
      <c r="H167" s="465">
        <f t="shared" si="128"/>
        <v>636305</v>
      </c>
      <c r="I167" s="465">
        <f t="shared" si="128"/>
        <v>0</v>
      </c>
      <c r="J167" s="465">
        <f t="shared" si="128"/>
        <v>1061957</v>
      </c>
      <c r="K167" s="465">
        <f t="shared" si="128"/>
        <v>733957</v>
      </c>
      <c r="L167" s="465">
        <f t="shared" si="128"/>
        <v>318053</v>
      </c>
      <c r="M167" s="465">
        <f t="shared" si="128"/>
        <v>175000</v>
      </c>
      <c r="N167" s="465">
        <f t="shared" si="128"/>
        <v>78200</v>
      </c>
      <c r="O167" s="465">
        <f t="shared" si="128"/>
        <v>743904</v>
      </c>
      <c r="P167" s="465">
        <f t="shared" si="128"/>
        <v>17845729</v>
      </c>
      <c r="Q167" s="125"/>
      <c r="R167" s="930"/>
    </row>
    <row r="168" spans="1:18" s="39" customFormat="1" ht="138.75" thickTop="1" thickBot="1" x14ac:dyDescent="0.25">
      <c r="A168" s="445" t="s">
        <v>924</v>
      </c>
      <c r="B168" s="445" t="s">
        <v>925</v>
      </c>
      <c r="C168" s="445"/>
      <c r="D168" s="445" t="s">
        <v>926</v>
      </c>
      <c r="E168" s="462">
        <f>E169</f>
        <v>5308676</v>
      </c>
      <c r="F168" s="462">
        <f t="shared" ref="F168:P168" si="129">F169</f>
        <v>5308676</v>
      </c>
      <c r="G168" s="462">
        <f t="shared" si="129"/>
        <v>4125520</v>
      </c>
      <c r="H168" s="462">
        <f t="shared" si="129"/>
        <v>90420</v>
      </c>
      <c r="I168" s="462">
        <f t="shared" si="129"/>
        <v>0</v>
      </c>
      <c r="J168" s="462">
        <f t="shared" si="129"/>
        <v>0</v>
      </c>
      <c r="K168" s="462">
        <f t="shared" si="129"/>
        <v>0</v>
      </c>
      <c r="L168" s="462">
        <f t="shared" si="129"/>
        <v>0</v>
      </c>
      <c r="M168" s="462">
        <f t="shared" si="129"/>
        <v>0</v>
      </c>
      <c r="N168" s="462">
        <f t="shared" si="129"/>
        <v>0</v>
      </c>
      <c r="O168" s="462">
        <f t="shared" si="129"/>
        <v>0</v>
      </c>
      <c r="P168" s="462">
        <f t="shared" si="129"/>
        <v>5308676</v>
      </c>
      <c r="Q168" s="461"/>
      <c r="R168" s="453"/>
    </row>
    <row r="169" spans="1:18" ht="138.75" thickTop="1" thickBot="1" x14ac:dyDescent="0.25">
      <c r="A169" s="927" t="s">
        <v>201</v>
      </c>
      <c r="B169" s="927" t="s">
        <v>202</v>
      </c>
      <c r="C169" s="927" t="s">
        <v>203</v>
      </c>
      <c r="D169" s="927" t="s">
        <v>796</v>
      </c>
      <c r="E169" s="324">
        <f t="shared" ref="E169:E184" si="130">F169</f>
        <v>5308676</v>
      </c>
      <c r="F169" s="170">
        <f>((4125520+907615+59600+79015+35280+49795+2585+34440+3600+2145)+3500)+3301+2280</f>
        <v>5308676</v>
      </c>
      <c r="G169" s="170">
        <v>4125520</v>
      </c>
      <c r="H169" s="170">
        <f>(49795+2585+34440+3600)</f>
        <v>90420</v>
      </c>
      <c r="I169" s="170"/>
      <c r="J169" s="928">
        <f t="shared" ref="J169:J191" si="131">L169+O169</f>
        <v>0</v>
      </c>
      <c r="K169" s="170"/>
      <c r="L169" s="847"/>
      <c r="M169" s="847"/>
      <c r="N169" s="847"/>
      <c r="O169" s="977">
        <f t="shared" ref="O169:O191" si="132">K169</f>
        <v>0</v>
      </c>
      <c r="P169" s="928">
        <f>+J169+E169</f>
        <v>5308676</v>
      </c>
      <c r="Q169" s="198"/>
      <c r="R169" s="198"/>
    </row>
    <row r="170" spans="1:18" s="39" customFormat="1" ht="93" thickTop="1" thickBot="1" x14ac:dyDescent="0.25">
      <c r="A170" s="445" t="s">
        <v>927</v>
      </c>
      <c r="B170" s="445" t="s">
        <v>928</v>
      </c>
      <c r="C170" s="445"/>
      <c r="D170" s="445" t="s">
        <v>929</v>
      </c>
      <c r="E170" s="464">
        <f>SUM(E171:E172)</f>
        <v>11475096</v>
      </c>
      <c r="F170" s="464">
        <f t="shared" ref="F170:P170" si="133">SUM(F171:F172)</f>
        <v>11475096</v>
      </c>
      <c r="G170" s="464">
        <f t="shared" si="133"/>
        <v>3746175</v>
      </c>
      <c r="H170" s="464">
        <f t="shared" si="133"/>
        <v>545885</v>
      </c>
      <c r="I170" s="464">
        <f t="shared" si="133"/>
        <v>0</v>
      </c>
      <c r="J170" s="464">
        <f t="shared" si="133"/>
        <v>1061957</v>
      </c>
      <c r="K170" s="464">
        <f t="shared" si="133"/>
        <v>733957</v>
      </c>
      <c r="L170" s="464">
        <f t="shared" si="133"/>
        <v>318053</v>
      </c>
      <c r="M170" s="464">
        <f t="shared" si="133"/>
        <v>175000</v>
      </c>
      <c r="N170" s="464">
        <f t="shared" si="133"/>
        <v>78200</v>
      </c>
      <c r="O170" s="464">
        <f t="shared" si="133"/>
        <v>743904</v>
      </c>
      <c r="P170" s="464">
        <f t="shared" si="133"/>
        <v>12537053</v>
      </c>
      <c r="Q170" s="447"/>
      <c r="R170" s="447"/>
    </row>
    <row r="171" spans="1:18" s="501" customFormat="1" ht="93" thickTop="1" thickBot="1" x14ac:dyDescent="0.25">
      <c r="A171" s="927" t="s">
        <v>207</v>
      </c>
      <c r="B171" s="927" t="s">
        <v>208</v>
      </c>
      <c r="C171" s="927" t="s">
        <v>203</v>
      </c>
      <c r="D171" s="927" t="s">
        <v>10</v>
      </c>
      <c r="E171" s="324">
        <f t="shared" si="130"/>
        <v>4435310</v>
      </c>
      <c r="F171" s="170">
        <f>(2725415+599590+377485+251835+384905+4560+86670+3450+1400)</f>
        <v>4435310</v>
      </c>
      <c r="G171" s="170">
        <v>2725415</v>
      </c>
      <c r="H171" s="170">
        <f>(384905+4560+86670+3450)</f>
        <v>479585</v>
      </c>
      <c r="I171" s="170"/>
      <c r="J171" s="928">
        <f t="shared" si="131"/>
        <v>1058957</v>
      </c>
      <c r="K171" s="170">
        <f>(733957)</f>
        <v>733957</v>
      </c>
      <c r="L171" s="847">
        <f>(175000+38500+27300+5000+36500+4800+35400+1500+1000)-9947</f>
        <v>315053</v>
      </c>
      <c r="M171" s="847">
        <v>175000</v>
      </c>
      <c r="N171" s="847">
        <f>(36500+4800+35400+1500)</f>
        <v>78200</v>
      </c>
      <c r="O171" s="977">
        <f>K171+9947</f>
        <v>743904</v>
      </c>
      <c r="P171" s="928">
        <f t="shared" ref="P171:P191" si="134">E171+J171</f>
        <v>5494267</v>
      </c>
      <c r="Q171" s="499"/>
      <c r="R171" s="502" t="b">
        <f>K171=[1]d6!J135</f>
        <v>1</v>
      </c>
    </row>
    <row r="172" spans="1:18" ht="93" thickTop="1" thickBot="1" x14ac:dyDescent="0.25">
      <c r="A172" s="927" t="s">
        <v>377</v>
      </c>
      <c r="B172" s="927" t="s">
        <v>378</v>
      </c>
      <c r="C172" s="927" t="s">
        <v>203</v>
      </c>
      <c r="D172" s="927" t="s">
        <v>379</v>
      </c>
      <c r="E172" s="324">
        <f t="shared" si="130"/>
        <v>7039786</v>
      </c>
      <c r="F172" s="170">
        <f>200000+60000+((83645+830710+1020760+224570+61795+14860+37320+2075+23905+3000+2478500+545270+473390+27940+536310+404810)+10926)</f>
        <v>7039786</v>
      </c>
      <c r="G172" s="170">
        <v>1020760</v>
      </c>
      <c r="H172" s="170">
        <f>(37320+2075+23905+3000)</f>
        <v>66300</v>
      </c>
      <c r="I172" s="170"/>
      <c r="J172" s="928">
        <f t="shared" si="131"/>
        <v>3000</v>
      </c>
      <c r="K172" s="170"/>
      <c r="L172" s="847">
        <v>3000</v>
      </c>
      <c r="M172" s="847"/>
      <c r="N172" s="847"/>
      <c r="O172" s="977">
        <f t="shared" si="132"/>
        <v>0</v>
      </c>
      <c r="P172" s="928">
        <f t="shared" si="134"/>
        <v>7042786</v>
      </c>
      <c r="R172" s="930"/>
    </row>
    <row r="173" spans="1:18" ht="47.25" thickTop="1" thickBot="1" x14ac:dyDescent="0.25">
      <c r="A173" s="173" t="s">
        <v>930</v>
      </c>
      <c r="B173" s="173" t="s">
        <v>931</v>
      </c>
      <c r="C173" s="927"/>
      <c r="D173" s="173" t="s">
        <v>932</v>
      </c>
      <c r="E173" s="324">
        <f>SUM(E174:E185)-E174-E177-E179-E182</f>
        <v>77681852</v>
      </c>
      <c r="F173" s="324">
        <f t="shared" ref="F173:P173" si="135">SUM(F174:F185)-F174-F177-F179-F182</f>
        <v>77681852</v>
      </c>
      <c r="G173" s="324">
        <f t="shared" si="135"/>
        <v>34397400</v>
      </c>
      <c r="H173" s="324">
        <f t="shared" si="135"/>
        <v>1656735</v>
      </c>
      <c r="I173" s="324">
        <f t="shared" si="135"/>
        <v>0</v>
      </c>
      <c r="J173" s="324">
        <f t="shared" si="135"/>
        <v>5291000</v>
      </c>
      <c r="K173" s="324">
        <f t="shared" si="135"/>
        <v>3714755</v>
      </c>
      <c r="L173" s="324">
        <f t="shared" si="135"/>
        <v>1576245</v>
      </c>
      <c r="M173" s="324">
        <f t="shared" si="135"/>
        <v>705762</v>
      </c>
      <c r="N173" s="324">
        <f t="shared" si="135"/>
        <v>212378</v>
      </c>
      <c r="O173" s="324">
        <f t="shared" si="135"/>
        <v>3714755</v>
      </c>
      <c r="P173" s="324">
        <f t="shared" si="135"/>
        <v>82972852</v>
      </c>
      <c r="R173" s="930"/>
    </row>
    <row r="174" spans="1:18" s="39" customFormat="1" ht="93" thickTop="1" thickBot="1" x14ac:dyDescent="0.25">
      <c r="A174" s="445" t="s">
        <v>933</v>
      </c>
      <c r="B174" s="445" t="s">
        <v>934</v>
      </c>
      <c r="C174" s="445"/>
      <c r="D174" s="445" t="s">
        <v>935</v>
      </c>
      <c r="E174" s="464">
        <f>SUM(E175:E176)</f>
        <v>17074487</v>
      </c>
      <c r="F174" s="464">
        <f t="shared" ref="F174:P174" si="136">SUM(F175:F176)</f>
        <v>17074487</v>
      </c>
      <c r="G174" s="464">
        <f t="shared" si="136"/>
        <v>0</v>
      </c>
      <c r="H174" s="464">
        <f t="shared" si="136"/>
        <v>0</v>
      </c>
      <c r="I174" s="464">
        <f t="shared" si="136"/>
        <v>0</v>
      </c>
      <c r="J174" s="464">
        <f t="shared" si="136"/>
        <v>0</v>
      </c>
      <c r="K174" s="464">
        <f t="shared" si="136"/>
        <v>0</v>
      </c>
      <c r="L174" s="464">
        <f t="shared" si="136"/>
        <v>0</v>
      </c>
      <c r="M174" s="464">
        <f t="shared" si="136"/>
        <v>0</v>
      </c>
      <c r="N174" s="464">
        <f t="shared" si="136"/>
        <v>0</v>
      </c>
      <c r="O174" s="464">
        <f t="shared" si="136"/>
        <v>0</v>
      </c>
      <c r="P174" s="464">
        <f t="shared" si="136"/>
        <v>17074487</v>
      </c>
      <c r="Q174" s="194"/>
      <c r="R174" s="453"/>
    </row>
    <row r="175" spans="1:18" s="501" customFormat="1" ht="138.75" thickTop="1" thickBot="1" x14ac:dyDescent="0.25">
      <c r="A175" s="927" t="s">
        <v>46</v>
      </c>
      <c r="B175" s="927" t="s">
        <v>204</v>
      </c>
      <c r="C175" s="927" t="s">
        <v>213</v>
      </c>
      <c r="D175" s="927" t="s">
        <v>47</v>
      </c>
      <c r="E175" s="324">
        <f t="shared" si="130"/>
        <v>15164902</v>
      </c>
      <c r="F175" s="170">
        <f>3000000+((171260+11395570)+500000+98072)</f>
        <v>15164902</v>
      </c>
      <c r="G175" s="323"/>
      <c r="H175" s="323"/>
      <c r="I175" s="323"/>
      <c r="J175" s="928">
        <f t="shared" si="131"/>
        <v>0</v>
      </c>
      <c r="K175" s="323"/>
      <c r="L175" s="323"/>
      <c r="M175" s="323"/>
      <c r="N175" s="323"/>
      <c r="O175" s="977">
        <f t="shared" si="132"/>
        <v>0</v>
      </c>
      <c r="P175" s="928">
        <f t="shared" si="134"/>
        <v>15164902</v>
      </c>
      <c r="Q175" s="499"/>
      <c r="R175" s="502"/>
    </row>
    <row r="176" spans="1:18" s="501" customFormat="1" ht="138.75" thickTop="1" thickBot="1" x14ac:dyDescent="0.25">
      <c r="A176" s="927" t="s">
        <v>48</v>
      </c>
      <c r="B176" s="927" t="s">
        <v>205</v>
      </c>
      <c r="C176" s="927" t="s">
        <v>213</v>
      </c>
      <c r="D176" s="927" t="s">
        <v>4</v>
      </c>
      <c r="E176" s="324">
        <f t="shared" si="130"/>
        <v>1909585</v>
      </c>
      <c r="F176" s="170">
        <f>(99315+1810270)</f>
        <v>1909585</v>
      </c>
      <c r="G176" s="323"/>
      <c r="H176" s="323"/>
      <c r="I176" s="323"/>
      <c r="J176" s="928">
        <f t="shared" si="131"/>
        <v>0</v>
      </c>
      <c r="K176" s="323"/>
      <c r="L176" s="323"/>
      <c r="M176" s="323"/>
      <c r="N176" s="323"/>
      <c r="O176" s="977">
        <f t="shared" si="132"/>
        <v>0</v>
      </c>
      <c r="P176" s="928">
        <f t="shared" si="134"/>
        <v>1909585</v>
      </c>
      <c r="Q176" s="499"/>
      <c r="R176" s="502"/>
    </row>
    <row r="177" spans="1:18" s="39" customFormat="1" ht="184.5" thickTop="1" thickBot="1" x14ac:dyDescent="0.25">
      <c r="A177" s="445" t="s">
        <v>936</v>
      </c>
      <c r="B177" s="445" t="s">
        <v>937</v>
      </c>
      <c r="C177" s="445"/>
      <c r="D177" s="445" t="s">
        <v>938</v>
      </c>
      <c r="E177" s="464">
        <f>E178</f>
        <v>60300</v>
      </c>
      <c r="F177" s="464">
        <f t="shared" ref="F177:P177" si="137">F178</f>
        <v>60300</v>
      </c>
      <c r="G177" s="464">
        <f t="shared" si="137"/>
        <v>0</v>
      </c>
      <c r="H177" s="464">
        <f t="shared" si="137"/>
        <v>0</v>
      </c>
      <c r="I177" s="464">
        <f t="shared" si="137"/>
        <v>0</v>
      </c>
      <c r="J177" s="464">
        <f t="shared" si="137"/>
        <v>0</v>
      </c>
      <c r="K177" s="464">
        <f t="shared" si="137"/>
        <v>0</v>
      </c>
      <c r="L177" s="464">
        <f t="shared" si="137"/>
        <v>0</v>
      </c>
      <c r="M177" s="464">
        <f t="shared" si="137"/>
        <v>0</v>
      </c>
      <c r="N177" s="464">
        <f t="shared" si="137"/>
        <v>0</v>
      </c>
      <c r="O177" s="464">
        <f t="shared" si="137"/>
        <v>0</v>
      </c>
      <c r="P177" s="464">
        <f t="shared" si="137"/>
        <v>60300</v>
      </c>
      <c r="Q177" s="194"/>
      <c r="R177" s="452"/>
    </row>
    <row r="178" spans="1:18" s="501" customFormat="1" ht="184.5" thickTop="1" thickBot="1" x14ac:dyDescent="0.25">
      <c r="A178" s="927" t="s">
        <v>49</v>
      </c>
      <c r="B178" s="927" t="s">
        <v>206</v>
      </c>
      <c r="C178" s="927" t="s">
        <v>213</v>
      </c>
      <c r="D178" s="927" t="s">
        <v>375</v>
      </c>
      <c r="E178" s="324">
        <f>F178</f>
        <v>60300</v>
      </c>
      <c r="F178" s="170">
        <f>(4295+56005)</f>
        <v>60300</v>
      </c>
      <c r="G178" s="170"/>
      <c r="H178" s="170"/>
      <c r="I178" s="323"/>
      <c r="J178" s="928">
        <f t="shared" si="131"/>
        <v>0</v>
      </c>
      <c r="K178" s="323"/>
      <c r="L178" s="170"/>
      <c r="M178" s="170"/>
      <c r="N178" s="170"/>
      <c r="O178" s="977">
        <f t="shared" si="132"/>
        <v>0</v>
      </c>
      <c r="P178" s="928">
        <f t="shared" si="134"/>
        <v>60300</v>
      </c>
      <c r="Q178" s="499"/>
      <c r="R178" s="502"/>
    </row>
    <row r="179" spans="1:18" ht="93" thickTop="1" thickBot="1" x14ac:dyDescent="0.25">
      <c r="A179" s="445" t="s">
        <v>939</v>
      </c>
      <c r="B179" s="445" t="s">
        <v>940</v>
      </c>
      <c r="C179" s="445"/>
      <c r="D179" s="445" t="s">
        <v>941</v>
      </c>
      <c r="E179" s="464">
        <f>SUM(E180:E181)</f>
        <v>56032394</v>
      </c>
      <c r="F179" s="464">
        <f t="shared" ref="F179:P179" si="138">SUM(F180:F181)</f>
        <v>56032394</v>
      </c>
      <c r="G179" s="464">
        <f t="shared" si="138"/>
        <v>33190670</v>
      </c>
      <c r="H179" s="464">
        <f t="shared" si="138"/>
        <v>1656735</v>
      </c>
      <c r="I179" s="464">
        <f t="shared" si="138"/>
        <v>0</v>
      </c>
      <c r="J179" s="464">
        <f t="shared" si="138"/>
        <v>5261000</v>
      </c>
      <c r="K179" s="464">
        <f t="shared" si="138"/>
        <v>3684755</v>
      </c>
      <c r="L179" s="464">
        <f t="shared" si="138"/>
        <v>1576245</v>
      </c>
      <c r="M179" s="464">
        <f t="shared" si="138"/>
        <v>705762</v>
      </c>
      <c r="N179" s="464">
        <f t="shared" si="138"/>
        <v>212378</v>
      </c>
      <c r="O179" s="464">
        <f t="shared" si="138"/>
        <v>3684755</v>
      </c>
      <c r="P179" s="464">
        <f t="shared" si="138"/>
        <v>61293394</v>
      </c>
      <c r="R179" s="930"/>
    </row>
    <row r="180" spans="1:18" s="501" customFormat="1" ht="184.5" thickTop="1" thickBot="1" x14ac:dyDescent="0.25">
      <c r="A180" s="927" t="s">
        <v>28</v>
      </c>
      <c r="B180" s="927" t="s">
        <v>210</v>
      </c>
      <c r="C180" s="927" t="s">
        <v>213</v>
      </c>
      <c r="D180" s="927" t="s">
        <v>50</v>
      </c>
      <c r="E180" s="324">
        <f t="shared" si="130"/>
        <v>46954824</v>
      </c>
      <c r="F180" s="170">
        <f>2790+1414400+311200-31612+300000+243614+78694-2840+14875+35000+((44066325)+254271+54363+132144+3050+3780+5880+7980+8760+19000+19150+14000)</f>
        <v>46954824</v>
      </c>
      <c r="G180" s="170">
        <f>(31776270)+1414400</f>
        <v>33190670</v>
      </c>
      <c r="H180" s="170">
        <f>(559555+134000+494595+408705+10005)+14875+35000</f>
        <v>1656735</v>
      </c>
      <c r="I180" s="170"/>
      <c r="J180" s="928">
        <f t="shared" si="131"/>
        <v>5245800</v>
      </c>
      <c r="K180" s="170">
        <f>-200000+500000+31970-74322+611040+180000+154040+((91670+32400+77910+16200+405800+200000)+4838-255801+48600+1509600+86000+33250+216360)</f>
        <v>3669555</v>
      </c>
      <c r="L180" s="170">
        <f>(691362+141099+226744+1030+112354+105648+5500+230778+2000+59730)</f>
        <v>1576245</v>
      </c>
      <c r="M180" s="170">
        <f>(691362)+14400</f>
        <v>705762</v>
      </c>
      <c r="N180" s="170">
        <f>(92672+44368+72322+15587+5829)-18400</f>
        <v>212378</v>
      </c>
      <c r="O180" s="977">
        <f>(K180)</f>
        <v>3669555</v>
      </c>
      <c r="P180" s="928">
        <f t="shared" si="134"/>
        <v>52200624</v>
      </c>
      <c r="Q180" s="499"/>
      <c r="R180" s="502" t="b">
        <f>K180=[1]d6!J136+[1]d6!J138+[1]d6!J139+[1]d6!J140+[1]d6!J141+[1]d6!J142</f>
        <v>1</v>
      </c>
    </row>
    <row r="181" spans="1:18" s="501" customFormat="1" ht="184.5" thickTop="1" thickBot="1" x14ac:dyDescent="0.25">
      <c r="A181" s="927" t="s">
        <v>29</v>
      </c>
      <c r="B181" s="927" t="s">
        <v>211</v>
      </c>
      <c r="C181" s="927" t="s">
        <v>213</v>
      </c>
      <c r="D181" s="927" t="s">
        <v>51</v>
      </c>
      <c r="E181" s="324">
        <f t="shared" si="130"/>
        <v>9077570</v>
      </c>
      <c r="F181" s="170">
        <f>581625+44400+353955+(8097590)</f>
        <v>9077570</v>
      </c>
      <c r="G181" s="170"/>
      <c r="H181" s="170"/>
      <c r="I181" s="170"/>
      <c r="J181" s="928">
        <f t="shared" si="131"/>
        <v>15200</v>
      </c>
      <c r="K181" s="170">
        <f>(15200)</f>
        <v>15200</v>
      </c>
      <c r="L181" s="170"/>
      <c r="M181" s="170"/>
      <c r="N181" s="170"/>
      <c r="O181" s="977">
        <f t="shared" si="132"/>
        <v>15200</v>
      </c>
      <c r="P181" s="928">
        <f t="shared" si="134"/>
        <v>9092770</v>
      </c>
      <c r="Q181" s="499"/>
      <c r="R181" s="502" t="b">
        <f>K181=[1]d6!J144</f>
        <v>1</v>
      </c>
    </row>
    <row r="182" spans="1:18" ht="93" thickTop="1" thickBot="1" x14ac:dyDescent="0.25">
      <c r="A182" s="988" t="s">
        <v>942</v>
      </c>
      <c r="B182" s="445" t="s">
        <v>943</v>
      </c>
      <c r="C182" s="445"/>
      <c r="D182" s="445" t="s">
        <v>944</v>
      </c>
      <c r="E182" s="464">
        <f>SUM(E183:E185)</f>
        <v>4514671</v>
      </c>
      <c r="F182" s="464">
        <f t="shared" ref="F182:P182" si="139">SUM(F183:F185)</f>
        <v>4514671</v>
      </c>
      <c r="G182" s="464">
        <f t="shared" si="139"/>
        <v>1206730</v>
      </c>
      <c r="H182" s="464">
        <f t="shared" si="139"/>
        <v>0</v>
      </c>
      <c r="I182" s="464">
        <f t="shared" si="139"/>
        <v>0</v>
      </c>
      <c r="J182" s="464">
        <f t="shared" si="139"/>
        <v>30000</v>
      </c>
      <c r="K182" s="464">
        <f t="shared" si="139"/>
        <v>30000</v>
      </c>
      <c r="L182" s="464">
        <f t="shared" si="139"/>
        <v>0</v>
      </c>
      <c r="M182" s="464">
        <f t="shared" si="139"/>
        <v>0</v>
      </c>
      <c r="N182" s="464">
        <f t="shared" si="139"/>
        <v>0</v>
      </c>
      <c r="O182" s="464">
        <f t="shared" si="139"/>
        <v>30000</v>
      </c>
      <c r="P182" s="464">
        <f t="shared" si="139"/>
        <v>4544671</v>
      </c>
      <c r="R182" s="930"/>
    </row>
    <row r="183" spans="1:18" s="501" customFormat="1" ht="276" thickTop="1" thickBot="1" x14ac:dyDescent="0.25">
      <c r="A183" s="396" t="s">
        <v>30</v>
      </c>
      <c r="B183" s="396" t="s">
        <v>212</v>
      </c>
      <c r="C183" s="396" t="s">
        <v>213</v>
      </c>
      <c r="D183" s="927" t="s">
        <v>31</v>
      </c>
      <c r="E183" s="324">
        <f t="shared" si="130"/>
        <v>768820</v>
      </c>
      <c r="F183" s="170">
        <f>(48380+64440)+500000+156000</f>
        <v>768820</v>
      </c>
      <c r="G183" s="323"/>
      <c r="H183" s="323"/>
      <c r="I183" s="323"/>
      <c r="J183" s="928">
        <f t="shared" si="131"/>
        <v>0</v>
      </c>
      <c r="K183" s="323"/>
      <c r="L183" s="323"/>
      <c r="M183" s="323"/>
      <c r="N183" s="323"/>
      <c r="O183" s="977">
        <f t="shared" si="132"/>
        <v>0</v>
      </c>
      <c r="P183" s="928">
        <f t="shared" si="134"/>
        <v>768820</v>
      </c>
      <c r="Q183" s="499"/>
      <c r="R183" s="502"/>
    </row>
    <row r="184" spans="1:18" s="501" customFormat="1" ht="184.5" thickTop="1" thickBot="1" x14ac:dyDescent="0.25">
      <c r="A184" s="396" t="s">
        <v>559</v>
      </c>
      <c r="B184" s="396" t="s">
        <v>557</v>
      </c>
      <c r="C184" s="396" t="s">
        <v>213</v>
      </c>
      <c r="D184" s="927" t="s">
        <v>558</v>
      </c>
      <c r="E184" s="324">
        <f t="shared" si="130"/>
        <v>1969086</v>
      </c>
      <c r="F184" s="170">
        <f>(1968927)-98072+98231</f>
        <v>1969086</v>
      </c>
      <c r="G184" s="323"/>
      <c r="H184" s="323"/>
      <c r="I184" s="323"/>
      <c r="J184" s="928">
        <f t="shared" si="131"/>
        <v>0</v>
      </c>
      <c r="K184" s="323"/>
      <c r="L184" s="323"/>
      <c r="M184" s="323"/>
      <c r="N184" s="323"/>
      <c r="O184" s="977">
        <f t="shared" si="132"/>
        <v>0</v>
      </c>
      <c r="P184" s="928">
        <f t="shared" si="134"/>
        <v>1969086</v>
      </c>
      <c r="Q184" s="499"/>
      <c r="R184" s="502"/>
    </row>
    <row r="185" spans="1:18" s="501" customFormat="1" ht="93" thickTop="1" thickBot="1" x14ac:dyDescent="0.25">
      <c r="A185" s="396" t="s">
        <v>32</v>
      </c>
      <c r="B185" s="396" t="s">
        <v>214</v>
      </c>
      <c r="C185" s="396" t="s">
        <v>213</v>
      </c>
      <c r="D185" s="927" t="s">
        <v>33</v>
      </c>
      <c r="E185" s="324">
        <f>F185</f>
        <v>1776765</v>
      </c>
      <c r="F185" s="170">
        <f>5100+60000+(1206730+265480+98410+141045)</f>
        <v>1776765</v>
      </c>
      <c r="G185" s="323">
        <v>1206730</v>
      </c>
      <c r="H185" s="323"/>
      <c r="I185" s="323"/>
      <c r="J185" s="928">
        <f t="shared" si="131"/>
        <v>30000</v>
      </c>
      <c r="K185" s="323">
        <f>(30000)</f>
        <v>30000</v>
      </c>
      <c r="L185" s="323"/>
      <c r="M185" s="323"/>
      <c r="N185" s="323"/>
      <c r="O185" s="977">
        <f t="shared" si="132"/>
        <v>30000</v>
      </c>
      <c r="P185" s="928">
        <f t="shared" si="134"/>
        <v>1806765</v>
      </c>
      <c r="Q185" s="499"/>
      <c r="R185" s="502" t="b">
        <f>K185=[1]d6!J145</f>
        <v>1</v>
      </c>
    </row>
    <row r="186" spans="1:18" ht="91.5" thickTop="1" thickBot="1" x14ac:dyDescent="0.25">
      <c r="A186" s="173" t="s">
        <v>945</v>
      </c>
      <c r="B186" s="173" t="s">
        <v>902</v>
      </c>
      <c r="C186" s="173"/>
      <c r="D186" s="449" t="s">
        <v>903</v>
      </c>
      <c r="E186" s="324">
        <f>E187</f>
        <v>25424.53</v>
      </c>
      <c r="F186" s="324">
        <f t="shared" ref="F186:P187" si="140">F187</f>
        <v>25424.53</v>
      </c>
      <c r="G186" s="324">
        <f t="shared" si="140"/>
        <v>0</v>
      </c>
      <c r="H186" s="324">
        <f t="shared" si="140"/>
        <v>0</v>
      </c>
      <c r="I186" s="324">
        <f t="shared" si="140"/>
        <v>0</v>
      </c>
      <c r="J186" s="324">
        <f t="shared" si="140"/>
        <v>0</v>
      </c>
      <c r="K186" s="324">
        <f t="shared" si="140"/>
        <v>0</v>
      </c>
      <c r="L186" s="324">
        <f t="shared" si="140"/>
        <v>0</v>
      </c>
      <c r="M186" s="324">
        <f t="shared" si="140"/>
        <v>0</v>
      </c>
      <c r="N186" s="324">
        <f t="shared" si="140"/>
        <v>0</v>
      </c>
      <c r="O186" s="324">
        <f t="shared" si="140"/>
        <v>0</v>
      </c>
      <c r="P186" s="324">
        <f t="shared" si="140"/>
        <v>25424.53</v>
      </c>
      <c r="R186" s="930"/>
    </row>
    <row r="187" spans="1:18" ht="93" thickTop="1" thickBot="1" x14ac:dyDescent="0.25">
      <c r="A187" s="988" t="s">
        <v>946</v>
      </c>
      <c r="B187" s="988" t="s">
        <v>905</v>
      </c>
      <c r="C187" s="988"/>
      <c r="D187" s="445" t="s">
        <v>906</v>
      </c>
      <c r="E187" s="464">
        <f>E188</f>
        <v>25424.53</v>
      </c>
      <c r="F187" s="464">
        <f t="shared" si="140"/>
        <v>25424.53</v>
      </c>
      <c r="G187" s="464">
        <f t="shared" si="140"/>
        <v>0</v>
      </c>
      <c r="H187" s="464">
        <f t="shared" si="140"/>
        <v>0</v>
      </c>
      <c r="I187" s="464">
        <f t="shared" si="140"/>
        <v>0</v>
      </c>
      <c r="J187" s="464">
        <f t="shared" si="140"/>
        <v>0</v>
      </c>
      <c r="K187" s="464">
        <f t="shared" si="140"/>
        <v>0</v>
      </c>
      <c r="L187" s="464">
        <f t="shared" si="140"/>
        <v>0</v>
      </c>
      <c r="M187" s="464">
        <f t="shared" si="140"/>
        <v>0</v>
      </c>
      <c r="N187" s="464">
        <f t="shared" si="140"/>
        <v>0</v>
      </c>
      <c r="O187" s="464">
        <f t="shared" si="140"/>
        <v>0</v>
      </c>
      <c r="P187" s="464">
        <f t="shared" si="140"/>
        <v>25424.53</v>
      </c>
      <c r="R187" s="930"/>
    </row>
    <row r="188" spans="1:18" s="501" customFormat="1" ht="276" thickTop="1" thickBot="1" x14ac:dyDescent="0.25">
      <c r="A188" s="396" t="s">
        <v>367</v>
      </c>
      <c r="B188" s="396" t="s">
        <v>366</v>
      </c>
      <c r="C188" s="396" t="s">
        <v>365</v>
      </c>
      <c r="D188" s="927" t="s">
        <v>797</v>
      </c>
      <c r="E188" s="324">
        <f>F188</f>
        <v>25424.53</v>
      </c>
      <c r="F188" s="170">
        <f>(18000)+7424.53</f>
        <v>25424.53</v>
      </c>
      <c r="G188" s="323"/>
      <c r="H188" s="323"/>
      <c r="I188" s="323"/>
      <c r="J188" s="928">
        <f t="shared" si="131"/>
        <v>0</v>
      </c>
      <c r="K188" s="323"/>
      <c r="L188" s="323"/>
      <c r="M188" s="323"/>
      <c r="N188" s="323"/>
      <c r="O188" s="977">
        <f t="shared" si="132"/>
        <v>0</v>
      </c>
      <c r="P188" s="928">
        <f t="shared" si="134"/>
        <v>25424.53</v>
      </c>
      <c r="Q188" s="499"/>
      <c r="R188" s="500"/>
    </row>
    <row r="189" spans="1:18" ht="47.25" thickTop="1" thickBot="1" x14ac:dyDescent="0.25">
      <c r="A189" s="173" t="s">
        <v>947</v>
      </c>
      <c r="B189" s="981" t="s">
        <v>908</v>
      </c>
      <c r="C189" s="981"/>
      <c r="D189" s="981" t="s">
        <v>909</v>
      </c>
      <c r="E189" s="324">
        <f>E190</f>
        <v>0</v>
      </c>
      <c r="F189" s="324">
        <f t="shared" ref="F189:P190" si="141">F190</f>
        <v>0</v>
      </c>
      <c r="G189" s="324">
        <f t="shared" si="141"/>
        <v>0</v>
      </c>
      <c r="H189" s="324">
        <f t="shared" si="141"/>
        <v>0</v>
      </c>
      <c r="I189" s="324">
        <f t="shared" si="141"/>
        <v>0</v>
      </c>
      <c r="J189" s="324">
        <f t="shared" si="141"/>
        <v>1021474</v>
      </c>
      <c r="K189" s="324">
        <f t="shared" si="141"/>
        <v>1021474</v>
      </c>
      <c r="L189" s="324">
        <f t="shared" si="141"/>
        <v>0</v>
      </c>
      <c r="M189" s="324">
        <f t="shared" si="141"/>
        <v>0</v>
      </c>
      <c r="N189" s="324">
        <f t="shared" si="141"/>
        <v>0</v>
      </c>
      <c r="O189" s="324">
        <f t="shared" si="141"/>
        <v>1021474</v>
      </c>
      <c r="P189" s="324">
        <f t="shared" si="141"/>
        <v>1021474</v>
      </c>
      <c r="R189" s="198"/>
    </row>
    <row r="190" spans="1:18" ht="136.5" thickTop="1" thickBot="1" x14ac:dyDescent="0.25">
      <c r="A190" s="450" t="s">
        <v>948</v>
      </c>
      <c r="B190" s="450" t="s">
        <v>850</v>
      </c>
      <c r="C190" s="450"/>
      <c r="D190" s="450" t="s">
        <v>848</v>
      </c>
      <c r="E190" s="463">
        <f>E191</f>
        <v>0</v>
      </c>
      <c r="F190" s="463">
        <f t="shared" si="141"/>
        <v>0</v>
      </c>
      <c r="G190" s="463">
        <f t="shared" si="141"/>
        <v>0</v>
      </c>
      <c r="H190" s="463">
        <f t="shared" si="141"/>
        <v>0</v>
      </c>
      <c r="I190" s="463">
        <f t="shared" si="141"/>
        <v>0</v>
      </c>
      <c r="J190" s="463">
        <f t="shared" si="141"/>
        <v>1021474</v>
      </c>
      <c r="K190" s="463">
        <f t="shared" si="141"/>
        <v>1021474</v>
      </c>
      <c r="L190" s="463">
        <f t="shared" si="141"/>
        <v>0</v>
      </c>
      <c r="M190" s="463">
        <f t="shared" si="141"/>
        <v>0</v>
      </c>
      <c r="N190" s="463">
        <f t="shared" si="141"/>
        <v>0</v>
      </c>
      <c r="O190" s="463">
        <f t="shared" si="141"/>
        <v>1021474</v>
      </c>
      <c r="P190" s="463">
        <f t="shared" si="141"/>
        <v>1021474</v>
      </c>
      <c r="R190" s="198"/>
    </row>
    <row r="191" spans="1:18" s="501" customFormat="1" ht="93" thickTop="1" thickBot="1" x14ac:dyDescent="0.25">
      <c r="A191" s="927" t="s">
        <v>744</v>
      </c>
      <c r="B191" s="927" t="s">
        <v>215</v>
      </c>
      <c r="C191" s="927" t="s">
        <v>184</v>
      </c>
      <c r="D191" s="927" t="s">
        <v>36</v>
      </c>
      <c r="E191" s="928">
        <f t="shared" ref="E191" si="142">F191</f>
        <v>0</v>
      </c>
      <c r="F191" s="323"/>
      <c r="G191" s="323"/>
      <c r="H191" s="323"/>
      <c r="I191" s="323"/>
      <c r="J191" s="928">
        <f t="shared" si="131"/>
        <v>1021474</v>
      </c>
      <c r="K191" s="323">
        <f>(45144)+976330</f>
        <v>1021474</v>
      </c>
      <c r="L191" s="323"/>
      <c r="M191" s="323"/>
      <c r="N191" s="323"/>
      <c r="O191" s="977">
        <f t="shared" si="132"/>
        <v>1021474</v>
      </c>
      <c r="P191" s="928">
        <f t="shared" si="134"/>
        <v>1021474</v>
      </c>
      <c r="Q191" s="499"/>
      <c r="R191" s="502" t="b">
        <f>K191=[1]d6!J146</f>
        <v>1</v>
      </c>
    </row>
    <row r="192" spans="1:18" ht="181.5" thickTop="1" thickBot="1" x14ac:dyDescent="0.25">
      <c r="A192" s="969" t="s">
        <v>172</v>
      </c>
      <c r="B192" s="969"/>
      <c r="C192" s="969"/>
      <c r="D192" s="970" t="s">
        <v>673</v>
      </c>
      <c r="E192" s="971">
        <f>E193</f>
        <v>25062295</v>
      </c>
      <c r="F192" s="972">
        <f t="shared" ref="F192:G192" si="143">F193</f>
        <v>25062295</v>
      </c>
      <c r="G192" s="972">
        <f t="shared" si="143"/>
        <v>5441675</v>
      </c>
      <c r="H192" s="972">
        <f>H193</f>
        <v>137385</v>
      </c>
      <c r="I192" s="972">
        <f t="shared" ref="I192" si="144">I193</f>
        <v>0</v>
      </c>
      <c r="J192" s="971">
        <f>J193</f>
        <v>31565149</v>
      </c>
      <c r="K192" s="972">
        <f>K193</f>
        <v>30575149</v>
      </c>
      <c r="L192" s="972">
        <f>L193</f>
        <v>990000</v>
      </c>
      <c r="M192" s="972">
        <f t="shared" ref="M192" si="145">M193</f>
        <v>0</v>
      </c>
      <c r="N192" s="971">
        <f>N193</f>
        <v>0</v>
      </c>
      <c r="O192" s="971">
        <f>O193</f>
        <v>30575149</v>
      </c>
      <c r="P192" s="972">
        <f>P193</f>
        <v>56627444</v>
      </c>
      <c r="R192" s="198"/>
    </row>
    <row r="193" spans="1:18" ht="181.5" thickTop="1" thickBot="1" x14ac:dyDescent="0.25">
      <c r="A193" s="973" t="s">
        <v>173</v>
      </c>
      <c r="B193" s="973"/>
      <c r="C193" s="973"/>
      <c r="D193" s="974" t="s">
        <v>674</v>
      </c>
      <c r="E193" s="975">
        <f>E194+E197+E204</f>
        <v>25062295</v>
      </c>
      <c r="F193" s="975">
        <f t="shared" ref="F193:I193" si="146">F194+F197+F204</f>
        <v>25062295</v>
      </c>
      <c r="G193" s="975">
        <f t="shared" si="146"/>
        <v>5441675</v>
      </c>
      <c r="H193" s="975">
        <f t="shared" si="146"/>
        <v>137385</v>
      </c>
      <c r="I193" s="975">
        <f t="shared" si="146"/>
        <v>0</v>
      </c>
      <c r="J193" s="975">
        <f t="shared" ref="J193:J209" si="147">L193+O193</f>
        <v>31565149</v>
      </c>
      <c r="K193" s="975">
        <f t="shared" ref="K193:O193" si="148">K194+K197+K204</f>
        <v>30575149</v>
      </c>
      <c r="L193" s="975">
        <f t="shared" si="148"/>
        <v>990000</v>
      </c>
      <c r="M193" s="975">
        <f t="shared" si="148"/>
        <v>0</v>
      </c>
      <c r="N193" s="975">
        <f t="shared" si="148"/>
        <v>0</v>
      </c>
      <c r="O193" s="975">
        <f t="shared" si="148"/>
        <v>30575149</v>
      </c>
      <c r="P193" s="976">
        <f>E193+J193</f>
        <v>56627444</v>
      </c>
      <c r="Q193" s="257" t="b">
        <f>P193=P195+P199+P200+P201+P203+P206+P209+P196+P207+P202</f>
        <v>1</v>
      </c>
      <c r="R193" s="257" t="b">
        <f>K193=[1]d6!J148</f>
        <v>1</v>
      </c>
    </row>
    <row r="194" spans="1:18" ht="47.25" thickTop="1" thickBot="1" x14ac:dyDescent="0.25">
      <c r="A194" s="173" t="s">
        <v>949</v>
      </c>
      <c r="B194" s="173" t="s">
        <v>843</v>
      </c>
      <c r="C194" s="173"/>
      <c r="D194" s="173" t="s">
        <v>844</v>
      </c>
      <c r="E194" s="928">
        <f>SUM(E195:E196)</f>
        <v>7556995</v>
      </c>
      <c r="F194" s="928">
        <f t="shared" ref="F194:N194" si="149">SUM(F195:F196)</f>
        <v>7556995</v>
      </c>
      <c r="G194" s="928">
        <f t="shared" si="149"/>
        <v>5441675</v>
      </c>
      <c r="H194" s="928">
        <f t="shared" si="149"/>
        <v>137385</v>
      </c>
      <c r="I194" s="928">
        <f t="shared" si="149"/>
        <v>0</v>
      </c>
      <c r="J194" s="928">
        <f t="shared" si="149"/>
        <v>163248</v>
      </c>
      <c r="K194" s="928">
        <f t="shared" si="149"/>
        <v>163248</v>
      </c>
      <c r="L194" s="928">
        <f t="shared" si="149"/>
        <v>0</v>
      </c>
      <c r="M194" s="928">
        <f t="shared" si="149"/>
        <v>0</v>
      </c>
      <c r="N194" s="928">
        <f t="shared" si="149"/>
        <v>0</v>
      </c>
      <c r="O194" s="928">
        <f>SUM(O195:O196)</f>
        <v>163248</v>
      </c>
      <c r="P194" s="928">
        <f t="shared" ref="P194" si="150">SUM(P195:P196)</f>
        <v>7720243</v>
      </c>
      <c r="Q194" s="257"/>
      <c r="R194" s="257"/>
    </row>
    <row r="195" spans="1:18" ht="230.25" thickTop="1" thickBot="1" x14ac:dyDescent="0.25">
      <c r="A195" s="927" t="s">
        <v>449</v>
      </c>
      <c r="B195" s="927" t="s">
        <v>254</v>
      </c>
      <c r="C195" s="927" t="s">
        <v>252</v>
      </c>
      <c r="D195" s="927" t="s">
        <v>253</v>
      </c>
      <c r="E195" s="324">
        <f>F195</f>
        <v>7544995</v>
      </c>
      <c r="F195" s="170">
        <f>(5441675+1197170+253395+210390+14760+39015+5208+25686+4476+3400+34020-12000)+199000+65800+39500+23500</f>
        <v>7544995</v>
      </c>
      <c r="G195" s="170">
        <v>5441675</v>
      </c>
      <c r="H195" s="170">
        <f>(39015+5208+25686+4476)+39500+23500</f>
        <v>137385</v>
      </c>
      <c r="I195" s="170"/>
      <c r="J195" s="928">
        <f t="shared" si="147"/>
        <v>163248</v>
      </c>
      <c r="K195" s="170">
        <f>(36000)+31812+95436</f>
        <v>163248</v>
      </c>
      <c r="L195" s="847"/>
      <c r="M195" s="847"/>
      <c r="N195" s="847"/>
      <c r="O195" s="977">
        <f t="shared" ref="O195:O207" si="151">K195</f>
        <v>163248</v>
      </c>
      <c r="P195" s="928">
        <f t="shared" ref="P195:P202" si="152">+J195+E195</f>
        <v>7708243</v>
      </c>
      <c r="R195" s="257" t="b">
        <f>K195=[1]d6!J149</f>
        <v>1</v>
      </c>
    </row>
    <row r="196" spans="1:18" ht="184.5" thickTop="1" thickBot="1" x14ac:dyDescent="0.25">
      <c r="A196" s="932" t="s">
        <v>785</v>
      </c>
      <c r="B196" s="932" t="s">
        <v>388</v>
      </c>
      <c r="C196" s="932" t="s">
        <v>778</v>
      </c>
      <c r="D196" s="932" t="s">
        <v>779</v>
      </c>
      <c r="E196" s="978">
        <f t="shared" ref="E196" si="153">F196</f>
        <v>12000</v>
      </c>
      <c r="F196" s="308">
        <v>12000</v>
      </c>
      <c r="G196" s="308"/>
      <c r="H196" s="308"/>
      <c r="I196" s="308"/>
      <c r="J196" s="978">
        <f t="shared" si="147"/>
        <v>0</v>
      </c>
      <c r="K196" s="308"/>
      <c r="L196" s="850"/>
      <c r="M196" s="851"/>
      <c r="N196" s="851"/>
      <c r="O196" s="979">
        <f t="shared" si="151"/>
        <v>0</v>
      </c>
      <c r="P196" s="978">
        <f>+J196+E196</f>
        <v>12000</v>
      </c>
      <c r="R196" s="257"/>
    </row>
    <row r="197" spans="1:18" ht="91.5" thickTop="1" thickBot="1" x14ac:dyDescent="0.25">
      <c r="A197" s="173" t="s">
        <v>950</v>
      </c>
      <c r="B197" s="981" t="s">
        <v>902</v>
      </c>
      <c r="C197" s="981"/>
      <c r="D197" s="449" t="s">
        <v>903</v>
      </c>
      <c r="E197" s="978">
        <f>SUM(E198:E203)-E198</f>
        <v>16355300</v>
      </c>
      <c r="F197" s="978">
        <f t="shared" ref="F197:P197" si="154">SUM(F198:F203)-F198</f>
        <v>16355300</v>
      </c>
      <c r="G197" s="978">
        <f t="shared" si="154"/>
        <v>0</v>
      </c>
      <c r="H197" s="978">
        <f t="shared" si="154"/>
        <v>0</v>
      </c>
      <c r="I197" s="978">
        <f t="shared" si="154"/>
        <v>0</v>
      </c>
      <c r="J197" s="978">
        <f t="shared" si="154"/>
        <v>30061901</v>
      </c>
      <c r="K197" s="978">
        <f t="shared" si="154"/>
        <v>30061901</v>
      </c>
      <c r="L197" s="978">
        <f t="shared" si="154"/>
        <v>0</v>
      </c>
      <c r="M197" s="978">
        <f t="shared" si="154"/>
        <v>0</v>
      </c>
      <c r="N197" s="978">
        <f t="shared" si="154"/>
        <v>0</v>
      </c>
      <c r="O197" s="978">
        <f t="shared" si="154"/>
        <v>30061901</v>
      </c>
      <c r="P197" s="978">
        <f t="shared" si="154"/>
        <v>46417201</v>
      </c>
      <c r="R197" s="257"/>
    </row>
    <row r="198" spans="1:18" s="39" customFormat="1" ht="184.5" thickTop="1" thickBot="1" x14ac:dyDescent="0.25">
      <c r="A198" s="445" t="s">
        <v>951</v>
      </c>
      <c r="B198" s="983" t="s">
        <v>952</v>
      </c>
      <c r="C198" s="983"/>
      <c r="D198" s="983" t="s">
        <v>953</v>
      </c>
      <c r="E198" s="989">
        <f>SUM(E199:E201)</f>
        <v>2025300</v>
      </c>
      <c r="F198" s="989">
        <f t="shared" ref="F198:P198" si="155">SUM(F199:F201)</f>
        <v>2025300</v>
      </c>
      <c r="G198" s="989">
        <f t="shared" si="155"/>
        <v>0</v>
      </c>
      <c r="H198" s="989">
        <f t="shared" si="155"/>
        <v>0</v>
      </c>
      <c r="I198" s="989">
        <f t="shared" si="155"/>
        <v>0</v>
      </c>
      <c r="J198" s="989">
        <f t="shared" si="155"/>
        <v>30061901</v>
      </c>
      <c r="K198" s="989">
        <f t="shared" si="155"/>
        <v>30061901</v>
      </c>
      <c r="L198" s="989">
        <f t="shared" si="155"/>
        <v>0</v>
      </c>
      <c r="M198" s="989">
        <f t="shared" si="155"/>
        <v>0</v>
      </c>
      <c r="N198" s="989">
        <f t="shared" si="155"/>
        <v>0</v>
      </c>
      <c r="O198" s="989">
        <f t="shared" si="155"/>
        <v>30061901</v>
      </c>
      <c r="P198" s="989">
        <f t="shared" si="155"/>
        <v>32087201</v>
      </c>
      <c r="Q198" s="194"/>
      <c r="R198" s="257"/>
    </row>
    <row r="199" spans="1:18" ht="138.75" thickTop="1" thickBot="1" x14ac:dyDescent="0.25">
      <c r="A199" s="927" t="s">
        <v>298</v>
      </c>
      <c r="B199" s="927" t="s">
        <v>299</v>
      </c>
      <c r="C199" s="927" t="s">
        <v>365</v>
      </c>
      <c r="D199" s="927" t="s">
        <v>300</v>
      </c>
      <c r="E199" s="324">
        <f t="shared" ref="E199:E209" si="156">F199</f>
        <v>1475300</v>
      </c>
      <c r="F199" s="170">
        <f>((2675300)-200000)-1000000</f>
        <v>1475300</v>
      </c>
      <c r="G199" s="170"/>
      <c r="H199" s="170"/>
      <c r="I199" s="170"/>
      <c r="J199" s="928">
        <f t="shared" si="147"/>
        <v>8993440</v>
      </c>
      <c r="K199" s="170">
        <f>(10345240)-1351800</f>
        <v>8993440</v>
      </c>
      <c r="L199" s="847"/>
      <c r="M199" s="847"/>
      <c r="N199" s="847"/>
      <c r="O199" s="977">
        <f t="shared" si="151"/>
        <v>8993440</v>
      </c>
      <c r="P199" s="928">
        <f t="shared" si="152"/>
        <v>10468740</v>
      </c>
      <c r="R199" s="257" t="b">
        <f>K199=[1]d6!J150</f>
        <v>1</v>
      </c>
    </row>
    <row r="200" spans="1:18" ht="138.75" thickTop="1" thickBot="1" x14ac:dyDescent="0.25">
      <c r="A200" s="927" t="s">
        <v>320</v>
      </c>
      <c r="B200" s="927" t="s">
        <v>321</v>
      </c>
      <c r="C200" s="927" t="s">
        <v>301</v>
      </c>
      <c r="D200" s="927" t="s">
        <v>322</v>
      </c>
      <c r="E200" s="324">
        <f t="shared" si="156"/>
        <v>0</v>
      </c>
      <c r="F200" s="170"/>
      <c r="G200" s="170"/>
      <c r="H200" s="170"/>
      <c r="I200" s="170"/>
      <c r="J200" s="928">
        <f t="shared" si="147"/>
        <v>8000000</v>
      </c>
      <c r="K200" s="170">
        <f>(5000000)+3000000</f>
        <v>8000000</v>
      </c>
      <c r="L200" s="847"/>
      <c r="M200" s="847"/>
      <c r="N200" s="847"/>
      <c r="O200" s="977">
        <f t="shared" si="151"/>
        <v>8000000</v>
      </c>
      <c r="P200" s="928">
        <f t="shared" si="152"/>
        <v>8000000</v>
      </c>
      <c r="R200" s="257" t="b">
        <f>K200=[1]d6!J151</f>
        <v>1</v>
      </c>
    </row>
    <row r="201" spans="1:18" ht="184.5" thickTop="1" thickBot="1" x14ac:dyDescent="0.25">
      <c r="A201" s="927" t="s">
        <v>302</v>
      </c>
      <c r="B201" s="927" t="s">
        <v>303</v>
      </c>
      <c r="C201" s="927" t="s">
        <v>301</v>
      </c>
      <c r="D201" s="927" t="s">
        <v>503</v>
      </c>
      <c r="E201" s="324">
        <f t="shared" si="156"/>
        <v>550000</v>
      </c>
      <c r="F201" s="170">
        <v>550000</v>
      </c>
      <c r="G201" s="170"/>
      <c r="H201" s="170"/>
      <c r="I201" s="170"/>
      <c r="J201" s="928">
        <f t="shared" si="147"/>
        <v>13068461</v>
      </c>
      <c r="K201" s="170">
        <f>(13120761)-52300</f>
        <v>13068461</v>
      </c>
      <c r="L201" s="847"/>
      <c r="M201" s="847"/>
      <c r="N201" s="847"/>
      <c r="O201" s="977">
        <f t="shared" si="151"/>
        <v>13068461</v>
      </c>
      <c r="P201" s="928">
        <f t="shared" si="152"/>
        <v>13618461</v>
      </c>
      <c r="R201" s="257" t="b">
        <f>K201=[1]d6!J153+[1]d6!J154+[1]d6!J155</f>
        <v>1</v>
      </c>
    </row>
    <row r="202" spans="1:18" ht="230.25" thickTop="1" thickBot="1" x14ac:dyDescent="0.25">
      <c r="A202" s="927" t="s">
        <v>1157</v>
      </c>
      <c r="B202" s="927" t="s">
        <v>316</v>
      </c>
      <c r="C202" s="927" t="s">
        <v>301</v>
      </c>
      <c r="D202" s="927" t="s">
        <v>317</v>
      </c>
      <c r="E202" s="324">
        <f t="shared" si="156"/>
        <v>230000</v>
      </c>
      <c r="F202" s="170">
        <f>(200000)+30000</f>
        <v>230000</v>
      </c>
      <c r="G202" s="170"/>
      <c r="H202" s="170"/>
      <c r="I202" s="170"/>
      <c r="J202" s="928">
        <f t="shared" si="147"/>
        <v>0</v>
      </c>
      <c r="K202" s="170"/>
      <c r="L202" s="847"/>
      <c r="M202" s="847"/>
      <c r="N202" s="847"/>
      <c r="O202" s="977">
        <f t="shared" si="151"/>
        <v>0</v>
      </c>
      <c r="P202" s="928">
        <f t="shared" si="152"/>
        <v>230000</v>
      </c>
      <c r="R202" s="257"/>
    </row>
    <row r="203" spans="1:18" ht="93" thickTop="1" thickBot="1" x14ac:dyDescent="0.25">
      <c r="A203" s="927" t="s">
        <v>306</v>
      </c>
      <c r="B203" s="927" t="s">
        <v>307</v>
      </c>
      <c r="C203" s="927" t="s">
        <v>301</v>
      </c>
      <c r="D203" s="927" t="s">
        <v>308</v>
      </c>
      <c r="E203" s="324">
        <f t="shared" si="156"/>
        <v>14100000</v>
      </c>
      <c r="F203" s="170">
        <v>14100000</v>
      </c>
      <c r="G203" s="170"/>
      <c r="H203" s="170"/>
      <c r="I203" s="170"/>
      <c r="J203" s="928">
        <f t="shared" si="147"/>
        <v>0</v>
      </c>
      <c r="K203" s="323"/>
      <c r="L203" s="170"/>
      <c r="M203" s="170"/>
      <c r="N203" s="170"/>
      <c r="O203" s="977">
        <f t="shared" si="151"/>
        <v>0</v>
      </c>
      <c r="P203" s="928">
        <f t="shared" ref="P203" si="157">E203+J203</f>
        <v>14100000</v>
      </c>
      <c r="R203" s="198"/>
    </row>
    <row r="204" spans="1:18" ht="47.25" thickTop="1" thickBot="1" x14ac:dyDescent="0.25">
      <c r="A204" s="173" t="s">
        <v>954</v>
      </c>
      <c r="B204" s="173" t="s">
        <v>908</v>
      </c>
      <c r="C204" s="173"/>
      <c r="D204" s="173" t="s">
        <v>955</v>
      </c>
      <c r="E204" s="324">
        <f>E205</f>
        <v>1150000</v>
      </c>
      <c r="F204" s="324">
        <f t="shared" ref="F204:P204" si="158">F205</f>
        <v>1150000</v>
      </c>
      <c r="G204" s="324">
        <f t="shared" si="158"/>
        <v>0</v>
      </c>
      <c r="H204" s="324">
        <f t="shared" si="158"/>
        <v>0</v>
      </c>
      <c r="I204" s="324">
        <f t="shared" si="158"/>
        <v>0</v>
      </c>
      <c r="J204" s="324">
        <f>J205</f>
        <v>1340000</v>
      </c>
      <c r="K204" s="324">
        <f t="shared" si="158"/>
        <v>350000</v>
      </c>
      <c r="L204" s="324">
        <f t="shared" si="158"/>
        <v>990000</v>
      </c>
      <c r="M204" s="324">
        <f t="shared" si="158"/>
        <v>0</v>
      </c>
      <c r="N204" s="324">
        <f t="shared" si="158"/>
        <v>0</v>
      </c>
      <c r="O204" s="324">
        <f t="shared" si="158"/>
        <v>350000</v>
      </c>
      <c r="P204" s="324">
        <f t="shared" si="158"/>
        <v>2490000</v>
      </c>
      <c r="R204" s="198"/>
    </row>
    <row r="205" spans="1:18" ht="136.5" thickTop="1" thickBot="1" x14ac:dyDescent="0.25">
      <c r="A205" s="450" t="s">
        <v>956</v>
      </c>
      <c r="B205" s="450" t="s">
        <v>850</v>
      </c>
      <c r="C205" s="450"/>
      <c r="D205" s="450" t="s">
        <v>848</v>
      </c>
      <c r="E205" s="463">
        <f t="shared" ref="E205:P205" si="159">E206+E208+E207</f>
        <v>1150000</v>
      </c>
      <c r="F205" s="463">
        <f t="shared" si="159"/>
        <v>1150000</v>
      </c>
      <c r="G205" s="463">
        <f t="shared" si="159"/>
        <v>0</v>
      </c>
      <c r="H205" s="463">
        <f t="shared" si="159"/>
        <v>0</v>
      </c>
      <c r="I205" s="463">
        <f t="shared" si="159"/>
        <v>0</v>
      </c>
      <c r="J205" s="463">
        <f t="shared" si="159"/>
        <v>1340000</v>
      </c>
      <c r="K205" s="463">
        <f t="shared" si="159"/>
        <v>350000</v>
      </c>
      <c r="L205" s="463">
        <f t="shared" si="159"/>
        <v>990000</v>
      </c>
      <c r="M205" s="463">
        <f t="shared" si="159"/>
        <v>0</v>
      </c>
      <c r="N205" s="463">
        <f t="shared" si="159"/>
        <v>0</v>
      </c>
      <c r="O205" s="463">
        <f t="shared" si="159"/>
        <v>350000</v>
      </c>
      <c r="P205" s="463">
        <f t="shared" si="159"/>
        <v>2490000</v>
      </c>
      <c r="R205" s="198"/>
    </row>
    <row r="206" spans="1:18" ht="48" thickTop="1" thickBot="1" x14ac:dyDescent="0.25">
      <c r="A206" s="927" t="s">
        <v>315</v>
      </c>
      <c r="B206" s="927" t="s">
        <v>230</v>
      </c>
      <c r="C206" s="927" t="s">
        <v>231</v>
      </c>
      <c r="D206" s="927" t="s">
        <v>43</v>
      </c>
      <c r="E206" s="324">
        <f t="shared" si="156"/>
        <v>1150000</v>
      </c>
      <c r="F206" s="170">
        <f>(500000)+650000</f>
        <v>1150000</v>
      </c>
      <c r="G206" s="170"/>
      <c r="H206" s="170"/>
      <c r="I206" s="170"/>
      <c r="J206" s="928">
        <f t="shared" si="147"/>
        <v>50000</v>
      </c>
      <c r="K206" s="323">
        <f>(2100000)-2050000</f>
        <v>50000</v>
      </c>
      <c r="L206" s="170"/>
      <c r="M206" s="170"/>
      <c r="N206" s="170"/>
      <c r="O206" s="977">
        <f t="shared" si="151"/>
        <v>50000</v>
      </c>
      <c r="P206" s="928">
        <f>E206+J206</f>
        <v>1200000</v>
      </c>
      <c r="R206" s="257" t="b">
        <f>K206=[1]d6!J157</f>
        <v>1</v>
      </c>
    </row>
    <row r="207" spans="1:18" ht="93" thickTop="1" thickBot="1" x14ac:dyDescent="0.25">
      <c r="A207" s="927" t="s">
        <v>1129</v>
      </c>
      <c r="B207" s="927" t="s">
        <v>215</v>
      </c>
      <c r="C207" s="927" t="s">
        <v>184</v>
      </c>
      <c r="D207" s="927" t="s">
        <v>36</v>
      </c>
      <c r="E207" s="324">
        <f t="shared" si="156"/>
        <v>0</v>
      </c>
      <c r="F207" s="170"/>
      <c r="G207" s="170"/>
      <c r="H207" s="170"/>
      <c r="I207" s="170"/>
      <c r="J207" s="928">
        <f t="shared" si="147"/>
        <v>300000</v>
      </c>
      <c r="K207" s="323">
        <f>(390000)-90000</f>
        <v>300000</v>
      </c>
      <c r="L207" s="170"/>
      <c r="M207" s="170"/>
      <c r="N207" s="170"/>
      <c r="O207" s="977">
        <f t="shared" si="151"/>
        <v>300000</v>
      </c>
      <c r="P207" s="928">
        <f>E207+J207</f>
        <v>300000</v>
      </c>
      <c r="R207" s="257" t="b">
        <f>K207=[1]d6!J159</f>
        <v>1</v>
      </c>
    </row>
    <row r="208" spans="1:18" ht="48" thickTop="1" thickBot="1" x14ac:dyDescent="0.25">
      <c r="A208" s="445" t="s">
        <v>957</v>
      </c>
      <c r="B208" s="445" t="s">
        <v>853</v>
      </c>
      <c r="C208" s="445"/>
      <c r="D208" s="445" t="s">
        <v>958</v>
      </c>
      <c r="E208" s="464">
        <f>E209</f>
        <v>0</v>
      </c>
      <c r="F208" s="464">
        <f t="shared" ref="F208:P208" si="160">F209</f>
        <v>0</v>
      </c>
      <c r="G208" s="464">
        <f t="shared" si="160"/>
        <v>0</v>
      </c>
      <c r="H208" s="464">
        <f t="shared" si="160"/>
        <v>0</v>
      </c>
      <c r="I208" s="464">
        <f t="shared" si="160"/>
        <v>0</v>
      </c>
      <c r="J208" s="464">
        <f t="shared" si="160"/>
        <v>990000</v>
      </c>
      <c r="K208" s="464">
        <f t="shared" si="160"/>
        <v>0</v>
      </c>
      <c r="L208" s="464">
        <f t="shared" si="160"/>
        <v>990000</v>
      </c>
      <c r="M208" s="464">
        <f t="shared" si="160"/>
        <v>0</v>
      </c>
      <c r="N208" s="464">
        <f t="shared" si="160"/>
        <v>0</v>
      </c>
      <c r="O208" s="464">
        <f t="shared" si="160"/>
        <v>0</v>
      </c>
      <c r="P208" s="464">
        <f t="shared" si="160"/>
        <v>990000</v>
      </c>
      <c r="R208" s="198"/>
    </row>
    <row r="209" spans="1:18" ht="409.6" thickTop="1" thickBot="1" x14ac:dyDescent="0.7">
      <c r="A209" s="1048" t="s">
        <v>452</v>
      </c>
      <c r="B209" s="1048" t="s">
        <v>363</v>
      </c>
      <c r="C209" s="1048" t="s">
        <v>184</v>
      </c>
      <c r="D209" s="326" t="s">
        <v>473</v>
      </c>
      <c r="E209" s="1058">
        <f t="shared" si="156"/>
        <v>0</v>
      </c>
      <c r="F209" s="1055"/>
      <c r="G209" s="1055"/>
      <c r="H209" s="1055"/>
      <c r="I209" s="1055"/>
      <c r="J209" s="1058">
        <f t="shared" si="147"/>
        <v>990000</v>
      </c>
      <c r="K209" s="1055"/>
      <c r="L209" s="1055">
        <f>(190000)+800000</f>
        <v>990000</v>
      </c>
      <c r="M209" s="1055"/>
      <c r="N209" s="1055"/>
      <c r="O209" s="1222">
        <f>K209+0</f>
        <v>0</v>
      </c>
      <c r="P209" s="1224">
        <f>E209+J209</f>
        <v>990000</v>
      </c>
      <c r="R209" s="198"/>
    </row>
    <row r="210" spans="1:18" ht="184.5" thickTop="1" thickBot="1" x14ac:dyDescent="0.25">
      <c r="A210" s="1048"/>
      <c r="B210" s="1048"/>
      <c r="C210" s="1048"/>
      <c r="D210" s="329" t="s">
        <v>474</v>
      </c>
      <c r="E210" s="1058"/>
      <c r="F210" s="1055"/>
      <c r="G210" s="1055"/>
      <c r="H210" s="1055"/>
      <c r="I210" s="1055"/>
      <c r="J210" s="1058"/>
      <c r="K210" s="1055"/>
      <c r="L210" s="1055"/>
      <c r="M210" s="1055"/>
      <c r="N210" s="1055"/>
      <c r="O210" s="1222"/>
      <c r="P210" s="1224"/>
      <c r="R210" s="198"/>
    </row>
    <row r="211" spans="1:18" ht="181.5" thickTop="1" thickBot="1" x14ac:dyDescent="0.25">
      <c r="A211" s="969" t="s">
        <v>641</v>
      </c>
      <c r="B211" s="969"/>
      <c r="C211" s="969"/>
      <c r="D211" s="970" t="s">
        <v>671</v>
      </c>
      <c r="E211" s="971">
        <f>E212</f>
        <v>266554629</v>
      </c>
      <c r="F211" s="972">
        <f t="shared" ref="F211:G211" si="161">F212</f>
        <v>266554629</v>
      </c>
      <c r="G211" s="972">
        <f t="shared" si="161"/>
        <v>8182274</v>
      </c>
      <c r="H211" s="972">
        <f>H212</f>
        <v>154170</v>
      </c>
      <c r="I211" s="972">
        <f t="shared" ref="I211" si="162">I212</f>
        <v>0</v>
      </c>
      <c r="J211" s="971">
        <f>J212</f>
        <v>151919550.61000001</v>
      </c>
      <c r="K211" s="972">
        <f>K212</f>
        <v>150622013.57999998</v>
      </c>
      <c r="L211" s="972">
        <f>L212</f>
        <v>140000</v>
      </c>
      <c r="M211" s="972">
        <f t="shared" ref="M211" si="163">M212</f>
        <v>0</v>
      </c>
      <c r="N211" s="971">
        <f>N212</f>
        <v>0</v>
      </c>
      <c r="O211" s="971">
        <f>O212</f>
        <v>151779550.61000001</v>
      </c>
      <c r="P211" s="972">
        <f>P212</f>
        <v>418474179.61000001</v>
      </c>
      <c r="R211" s="198"/>
    </row>
    <row r="212" spans="1:18" ht="181.5" thickTop="1" thickBot="1" x14ac:dyDescent="0.25">
      <c r="A212" s="973" t="s">
        <v>642</v>
      </c>
      <c r="B212" s="973"/>
      <c r="C212" s="973"/>
      <c r="D212" s="974" t="s">
        <v>672</v>
      </c>
      <c r="E212" s="975">
        <f>E213+E217+E223+E235</f>
        <v>266554629</v>
      </c>
      <c r="F212" s="975">
        <f t="shared" ref="F212:I212" si="164">F213+F217+F223+F235</f>
        <v>266554629</v>
      </c>
      <c r="G212" s="975">
        <f t="shared" si="164"/>
        <v>8182274</v>
      </c>
      <c r="H212" s="975">
        <f t="shared" si="164"/>
        <v>154170</v>
      </c>
      <c r="I212" s="975">
        <f t="shared" si="164"/>
        <v>0</v>
      </c>
      <c r="J212" s="975">
        <f t="shared" ref="J212:J233" si="165">L212+O212</f>
        <v>151919550.61000001</v>
      </c>
      <c r="K212" s="975">
        <f t="shared" ref="K212:O212" si="166">K213+K217+K223+K235</f>
        <v>150622013.57999998</v>
      </c>
      <c r="L212" s="975">
        <f t="shared" si="166"/>
        <v>140000</v>
      </c>
      <c r="M212" s="975">
        <f t="shared" si="166"/>
        <v>0</v>
      </c>
      <c r="N212" s="975">
        <f t="shared" si="166"/>
        <v>0</v>
      </c>
      <c r="O212" s="975">
        <f t="shared" si="166"/>
        <v>151779550.61000001</v>
      </c>
      <c r="P212" s="976">
        <f>E212+J212</f>
        <v>418474179.61000001</v>
      </c>
      <c r="Q212" s="125" t="b">
        <f>P212=P214+P215+P216+P219+P220+P221+P222+P225+P228+P230+P231+P233+P237+P238+P239</f>
        <v>1</v>
      </c>
      <c r="R212" s="125" t="b">
        <f>K212=[1]d6!J162</f>
        <v>1</v>
      </c>
    </row>
    <row r="213" spans="1:18" ht="47.25" thickTop="1" thickBot="1" x14ac:dyDescent="0.25">
      <c r="A213" s="173" t="s">
        <v>959</v>
      </c>
      <c r="B213" s="173" t="s">
        <v>843</v>
      </c>
      <c r="C213" s="173"/>
      <c r="D213" s="173" t="s">
        <v>844</v>
      </c>
      <c r="E213" s="928">
        <f>SUM(E214:E216)</f>
        <v>8498737</v>
      </c>
      <c r="F213" s="928">
        <f t="shared" ref="F213:P213" si="167">SUM(F214:F216)</f>
        <v>8498737</v>
      </c>
      <c r="G213" s="928">
        <f t="shared" si="167"/>
        <v>6393415</v>
      </c>
      <c r="H213" s="928">
        <f t="shared" si="167"/>
        <v>74385</v>
      </c>
      <c r="I213" s="928">
        <f t="shared" si="167"/>
        <v>0</v>
      </c>
      <c r="J213" s="928">
        <f t="shared" si="167"/>
        <v>144000</v>
      </c>
      <c r="K213" s="928">
        <f t="shared" si="167"/>
        <v>144000</v>
      </c>
      <c r="L213" s="928">
        <f t="shared" si="167"/>
        <v>0</v>
      </c>
      <c r="M213" s="928">
        <f t="shared" si="167"/>
        <v>0</v>
      </c>
      <c r="N213" s="928">
        <f t="shared" si="167"/>
        <v>0</v>
      </c>
      <c r="O213" s="928">
        <f t="shared" si="167"/>
        <v>144000</v>
      </c>
      <c r="P213" s="928">
        <f t="shared" si="167"/>
        <v>8642737</v>
      </c>
      <c r="Q213" s="125"/>
      <c r="R213" s="125"/>
    </row>
    <row r="214" spans="1:18" ht="230.25" thickTop="1" thickBot="1" x14ac:dyDescent="0.25">
      <c r="A214" s="927" t="s">
        <v>643</v>
      </c>
      <c r="B214" s="927" t="s">
        <v>254</v>
      </c>
      <c r="C214" s="927" t="s">
        <v>252</v>
      </c>
      <c r="D214" s="927" t="s">
        <v>253</v>
      </c>
      <c r="E214" s="324">
        <f>F214</f>
        <v>8390737</v>
      </c>
      <c r="F214" s="170">
        <f>(6393415+1406550+212730+120360+12160+22680+39015+5208+25686+4476-8000)+3600+6087+47020+36500+5000+41700+6400+10150</f>
        <v>8390737</v>
      </c>
      <c r="G214" s="170">
        <v>6393415</v>
      </c>
      <c r="H214" s="170">
        <f>(39015+5208+25686+4476)</f>
        <v>74385</v>
      </c>
      <c r="I214" s="170"/>
      <c r="J214" s="928">
        <f t="shared" si="165"/>
        <v>144000</v>
      </c>
      <c r="K214" s="170">
        <v>144000</v>
      </c>
      <c r="L214" s="847"/>
      <c r="M214" s="847"/>
      <c r="N214" s="847"/>
      <c r="O214" s="977">
        <f t="shared" ref="O214:O231" si="168">K214</f>
        <v>144000</v>
      </c>
      <c r="P214" s="928">
        <f t="shared" ref="P214:P220" si="169">+J214+E214</f>
        <v>8534737</v>
      </c>
      <c r="R214" s="125" t="b">
        <f>K214=[1]d6!J163</f>
        <v>1</v>
      </c>
    </row>
    <row r="215" spans="1:18" ht="184.5" thickTop="1" thickBot="1" x14ac:dyDescent="0.25">
      <c r="A215" s="932" t="s">
        <v>787</v>
      </c>
      <c r="B215" s="932" t="s">
        <v>388</v>
      </c>
      <c r="C215" s="932" t="s">
        <v>778</v>
      </c>
      <c r="D215" s="932" t="s">
        <v>779</v>
      </c>
      <c r="E215" s="324">
        <f>F215</f>
        <v>8000</v>
      </c>
      <c r="F215" s="170">
        <v>8000</v>
      </c>
      <c r="G215" s="170"/>
      <c r="H215" s="170"/>
      <c r="I215" s="170"/>
      <c r="J215" s="928">
        <f t="shared" si="165"/>
        <v>0</v>
      </c>
      <c r="K215" s="170"/>
      <c r="L215" s="847"/>
      <c r="M215" s="847"/>
      <c r="N215" s="847"/>
      <c r="O215" s="977">
        <f t="shared" si="168"/>
        <v>0</v>
      </c>
      <c r="P215" s="928">
        <f t="shared" si="169"/>
        <v>8000</v>
      </c>
      <c r="R215" s="125"/>
    </row>
    <row r="216" spans="1:18" ht="93" thickTop="1" thickBot="1" x14ac:dyDescent="0.25">
      <c r="A216" s="927" t="s">
        <v>644</v>
      </c>
      <c r="B216" s="927" t="s">
        <v>45</v>
      </c>
      <c r="C216" s="927" t="s">
        <v>44</v>
      </c>
      <c r="D216" s="927" t="s">
        <v>266</v>
      </c>
      <c r="E216" s="324">
        <f>F216</f>
        <v>100000</v>
      </c>
      <c r="F216" s="170">
        <v>100000</v>
      </c>
      <c r="G216" s="170"/>
      <c r="H216" s="170"/>
      <c r="I216" s="170"/>
      <c r="J216" s="928">
        <f t="shared" si="165"/>
        <v>0</v>
      </c>
      <c r="K216" s="170"/>
      <c r="L216" s="847"/>
      <c r="M216" s="847"/>
      <c r="N216" s="847"/>
      <c r="O216" s="977">
        <f t="shared" si="168"/>
        <v>0</v>
      </c>
      <c r="P216" s="928">
        <f t="shared" si="169"/>
        <v>100000</v>
      </c>
      <c r="R216" s="198"/>
    </row>
    <row r="217" spans="1:18" ht="91.5" thickTop="1" thickBot="1" x14ac:dyDescent="0.25">
      <c r="A217" s="173" t="s">
        <v>960</v>
      </c>
      <c r="B217" s="981" t="s">
        <v>902</v>
      </c>
      <c r="C217" s="981"/>
      <c r="D217" s="449" t="s">
        <v>903</v>
      </c>
      <c r="E217" s="324">
        <f>SUM(E218:E222)-E218</f>
        <v>205415948</v>
      </c>
      <c r="F217" s="324">
        <f t="shared" ref="F217:O217" si="170">SUM(F218:F222)-F218</f>
        <v>205415948</v>
      </c>
      <c r="G217" s="324">
        <f t="shared" si="170"/>
        <v>0</v>
      </c>
      <c r="H217" s="324">
        <f t="shared" si="170"/>
        <v>50000</v>
      </c>
      <c r="I217" s="324">
        <f t="shared" si="170"/>
        <v>0</v>
      </c>
      <c r="J217" s="324">
        <f t="shared" si="170"/>
        <v>16490439</v>
      </c>
      <c r="K217" s="324">
        <f t="shared" si="170"/>
        <v>16490439</v>
      </c>
      <c r="L217" s="324">
        <f t="shared" si="170"/>
        <v>0</v>
      </c>
      <c r="M217" s="324">
        <f t="shared" si="170"/>
        <v>0</v>
      </c>
      <c r="N217" s="324">
        <f t="shared" si="170"/>
        <v>0</v>
      </c>
      <c r="O217" s="324">
        <f t="shared" si="170"/>
        <v>16490439</v>
      </c>
      <c r="P217" s="324">
        <f t="shared" ref="P217" si="171">SUM(P218:P222)-P218</f>
        <v>221906387</v>
      </c>
      <c r="R217" s="198"/>
    </row>
    <row r="218" spans="1:18" ht="184.5" thickTop="1" thickBot="1" x14ac:dyDescent="0.25">
      <c r="A218" s="445" t="s">
        <v>961</v>
      </c>
      <c r="B218" s="983" t="s">
        <v>952</v>
      </c>
      <c r="C218" s="983"/>
      <c r="D218" s="983" t="s">
        <v>953</v>
      </c>
      <c r="E218" s="464">
        <f>SUM(E219:E220)</f>
        <v>34561000</v>
      </c>
      <c r="F218" s="464">
        <f t="shared" ref="F218:P218" si="172">SUM(F219:F220)</f>
        <v>34561000</v>
      </c>
      <c r="G218" s="464">
        <f t="shared" si="172"/>
        <v>0</v>
      </c>
      <c r="H218" s="464">
        <f t="shared" si="172"/>
        <v>0</v>
      </c>
      <c r="I218" s="464">
        <f t="shared" si="172"/>
        <v>0</v>
      </c>
      <c r="J218" s="464">
        <f t="shared" si="172"/>
        <v>0</v>
      </c>
      <c r="K218" s="464">
        <f t="shared" si="172"/>
        <v>0</v>
      </c>
      <c r="L218" s="464">
        <f t="shared" si="172"/>
        <v>0</v>
      </c>
      <c r="M218" s="464">
        <f t="shared" si="172"/>
        <v>0</v>
      </c>
      <c r="N218" s="464">
        <f t="shared" si="172"/>
        <v>0</v>
      </c>
      <c r="O218" s="464">
        <f t="shared" si="172"/>
        <v>0</v>
      </c>
      <c r="P218" s="464">
        <f t="shared" si="172"/>
        <v>34561000</v>
      </c>
      <c r="R218" s="198"/>
    </row>
    <row r="219" spans="1:18" ht="138.75" thickTop="1" thickBot="1" x14ac:dyDescent="0.25">
      <c r="A219" s="927" t="s">
        <v>645</v>
      </c>
      <c r="B219" s="927" t="s">
        <v>403</v>
      </c>
      <c r="C219" s="927" t="s">
        <v>301</v>
      </c>
      <c r="D219" s="927" t="s">
        <v>404</v>
      </c>
      <c r="E219" s="324">
        <f t="shared" ref="E219:E231" si="173">F219</f>
        <v>31000000</v>
      </c>
      <c r="F219" s="170">
        <f>(28000000)+3000000</f>
        <v>31000000</v>
      </c>
      <c r="G219" s="170"/>
      <c r="H219" s="170"/>
      <c r="I219" s="170"/>
      <c r="J219" s="928">
        <f t="shared" si="165"/>
        <v>0</v>
      </c>
      <c r="K219" s="170"/>
      <c r="L219" s="847"/>
      <c r="M219" s="847"/>
      <c r="N219" s="847"/>
      <c r="O219" s="977">
        <f t="shared" si="168"/>
        <v>0</v>
      </c>
      <c r="P219" s="928">
        <f t="shared" si="169"/>
        <v>31000000</v>
      </c>
      <c r="R219" s="198"/>
    </row>
    <row r="220" spans="1:18" ht="138.75" thickTop="1" thickBot="1" x14ac:dyDescent="0.25">
      <c r="A220" s="927" t="s">
        <v>646</v>
      </c>
      <c r="B220" s="927" t="s">
        <v>304</v>
      </c>
      <c r="C220" s="927" t="s">
        <v>301</v>
      </c>
      <c r="D220" s="927" t="s">
        <v>305</v>
      </c>
      <c r="E220" s="324">
        <f t="shared" si="173"/>
        <v>3561000</v>
      </c>
      <c r="F220" s="170">
        <f>(3751000)-190000</f>
        <v>3561000</v>
      </c>
      <c r="G220" s="170"/>
      <c r="H220" s="170"/>
      <c r="I220" s="170"/>
      <c r="J220" s="928">
        <f t="shared" si="165"/>
        <v>0</v>
      </c>
      <c r="K220" s="170"/>
      <c r="L220" s="847"/>
      <c r="M220" s="847"/>
      <c r="N220" s="847"/>
      <c r="O220" s="977">
        <f t="shared" si="168"/>
        <v>0</v>
      </c>
      <c r="P220" s="928">
        <f t="shared" si="169"/>
        <v>3561000</v>
      </c>
      <c r="R220" s="198"/>
    </row>
    <row r="221" spans="1:18" ht="230.25" thickTop="1" thickBot="1" x14ac:dyDescent="0.25">
      <c r="A221" s="927" t="s">
        <v>647</v>
      </c>
      <c r="B221" s="927" t="s">
        <v>316</v>
      </c>
      <c r="C221" s="927" t="s">
        <v>301</v>
      </c>
      <c r="D221" s="927" t="s">
        <v>317</v>
      </c>
      <c r="E221" s="324">
        <f t="shared" si="173"/>
        <v>3930000</v>
      </c>
      <c r="F221" s="170">
        <f>(700000+2730000)+500000</f>
        <v>3930000</v>
      </c>
      <c r="G221" s="170"/>
      <c r="H221" s="170"/>
      <c r="I221" s="170"/>
      <c r="J221" s="928">
        <f t="shared" si="165"/>
        <v>0</v>
      </c>
      <c r="K221" s="323"/>
      <c r="L221" s="170"/>
      <c r="M221" s="170"/>
      <c r="N221" s="170"/>
      <c r="O221" s="977">
        <f t="shared" si="168"/>
        <v>0</v>
      </c>
      <c r="P221" s="928">
        <f t="shared" ref="P221:P225" si="174">E221+J221</f>
        <v>3930000</v>
      </c>
      <c r="R221" s="198"/>
    </row>
    <row r="222" spans="1:18" ht="93" thickTop="1" thickBot="1" x14ac:dyDescent="0.25">
      <c r="A222" s="927" t="s">
        <v>648</v>
      </c>
      <c r="B222" s="927" t="s">
        <v>307</v>
      </c>
      <c r="C222" s="927" t="s">
        <v>301</v>
      </c>
      <c r="D222" s="927" t="s">
        <v>308</v>
      </c>
      <c r="E222" s="324">
        <f t="shared" si="173"/>
        <v>166924948</v>
      </c>
      <c r="F222" s="170">
        <f>((149686023)+1365600)+15873325</f>
        <v>166924948</v>
      </c>
      <c r="G222" s="170"/>
      <c r="H222" s="170">
        <v>50000</v>
      </c>
      <c r="I222" s="170"/>
      <c r="J222" s="928">
        <f t="shared" si="165"/>
        <v>16490439</v>
      </c>
      <c r="K222" s="323">
        <f>((15915164)-1205016)+1780291</f>
        <v>16490439</v>
      </c>
      <c r="L222" s="170"/>
      <c r="M222" s="170"/>
      <c r="N222" s="170"/>
      <c r="O222" s="977">
        <f t="shared" si="168"/>
        <v>16490439</v>
      </c>
      <c r="P222" s="928">
        <f t="shared" si="174"/>
        <v>183415387</v>
      </c>
      <c r="R222" s="125" t="b">
        <f>K222=[1]d6!J165+[1]d6!J166+[1]d6!J167+[1]d6!J168+[1]d6!J169+[1]d6!J170+[1]d6!J171+[1]d6!J172+[1]d6!J173+[1]d6!J174+[1]d6!J176+[1]d6!J177+[1]d6!J178+[1]d6!J179+[1]d6!J180+[1]d6!J181</f>
        <v>1</v>
      </c>
    </row>
    <row r="223" spans="1:18" ht="47.25" thickTop="1" thickBot="1" x14ac:dyDescent="0.25">
      <c r="A223" s="173" t="s">
        <v>962</v>
      </c>
      <c r="B223" s="981" t="s">
        <v>908</v>
      </c>
      <c r="C223" s="981"/>
      <c r="D223" s="981" t="s">
        <v>909</v>
      </c>
      <c r="E223" s="324">
        <f>E224+E226+E229</f>
        <v>50079366</v>
      </c>
      <c r="F223" s="324">
        <f t="shared" ref="F223:P223" si="175">F224+F226+F229</f>
        <v>50079366</v>
      </c>
      <c r="G223" s="324">
        <f t="shared" si="175"/>
        <v>0</v>
      </c>
      <c r="H223" s="324">
        <f t="shared" si="175"/>
        <v>0</v>
      </c>
      <c r="I223" s="324">
        <f t="shared" si="175"/>
        <v>0</v>
      </c>
      <c r="J223" s="324">
        <f>J224+J226+J229</f>
        <v>135253111.61000001</v>
      </c>
      <c r="K223" s="324">
        <f t="shared" si="175"/>
        <v>133955574.58</v>
      </c>
      <c r="L223" s="324">
        <f t="shared" si="175"/>
        <v>140000</v>
      </c>
      <c r="M223" s="324">
        <f t="shared" si="175"/>
        <v>0</v>
      </c>
      <c r="N223" s="324">
        <f t="shared" si="175"/>
        <v>0</v>
      </c>
      <c r="O223" s="324">
        <f t="shared" si="175"/>
        <v>135113111.61000001</v>
      </c>
      <c r="P223" s="324">
        <f t="shared" si="175"/>
        <v>185332477.61000001</v>
      </c>
      <c r="R223" s="198"/>
    </row>
    <row r="224" spans="1:18" ht="91.5" thickTop="1" thickBot="1" x14ac:dyDescent="0.25">
      <c r="A224" s="450" t="s">
        <v>963</v>
      </c>
      <c r="B224" s="450" t="s">
        <v>964</v>
      </c>
      <c r="C224" s="450"/>
      <c r="D224" s="450" t="s">
        <v>965</v>
      </c>
      <c r="E224" s="463">
        <f>E225</f>
        <v>0</v>
      </c>
      <c r="F224" s="463">
        <f t="shared" ref="F224:P224" si="176">F225</f>
        <v>0</v>
      </c>
      <c r="G224" s="463">
        <f t="shared" si="176"/>
        <v>0</v>
      </c>
      <c r="H224" s="463">
        <f t="shared" si="176"/>
        <v>0</v>
      </c>
      <c r="I224" s="463">
        <f t="shared" si="176"/>
        <v>0</v>
      </c>
      <c r="J224" s="463">
        <f t="shared" si="176"/>
        <v>5300000</v>
      </c>
      <c r="K224" s="463">
        <f t="shared" si="176"/>
        <v>5300000</v>
      </c>
      <c r="L224" s="463">
        <f t="shared" si="176"/>
        <v>0</v>
      </c>
      <c r="M224" s="463">
        <f t="shared" si="176"/>
        <v>0</v>
      </c>
      <c r="N224" s="463">
        <f t="shared" si="176"/>
        <v>0</v>
      </c>
      <c r="O224" s="463">
        <f t="shared" si="176"/>
        <v>5300000</v>
      </c>
      <c r="P224" s="463">
        <f t="shared" si="176"/>
        <v>5300000</v>
      </c>
      <c r="R224" s="198"/>
    </row>
    <row r="225" spans="1:18" ht="99.75" thickTop="1" thickBot="1" x14ac:dyDescent="0.25">
      <c r="A225" s="927" t="s">
        <v>649</v>
      </c>
      <c r="B225" s="927" t="s">
        <v>324</v>
      </c>
      <c r="C225" s="927" t="s">
        <v>323</v>
      </c>
      <c r="D225" s="927" t="s">
        <v>780</v>
      </c>
      <c r="E225" s="324">
        <f t="shared" si="173"/>
        <v>0</v>
      </c>
      <c r="F225" s="170"/>
      <c r="G225" s="170"/>
      <c r="H225" s="170"/>
      <c r="I225" s="170"/>
      <c r="J225" s="928">
        <f>L225+O225</f>
        <v>5300000</v>
      </c>
      <c r="K225" s="323">
        <f>((5200000)+1080522)-980522</f>
        <v>5300000</v>
      </c>
      <c r="L225" s="170"/>
      <c r="M225" s="170"/>
      <c r="N225" s="170"/>
      <c r="O225" s="977">
        <f>K225</f>
        <v>5300000</v>
      </c>
      <c r="P225" s="928">
        <f t="shared" si="174"/>
        <v>5300000</v>
      </c>
      <c r="R225" s="125" t="b">
        <f>K225=[1]d6!J183+[1]d6!J184+[1]d6!J186</f>
        <v>1</v>
      </c>
    </row>
    <row r="226" spans="1:18" ht="136.5" thickTop="1" thickBot="1" x14ac:dyDescent="0.25">
      <c r="A226" s="450" t="s">
        <v>966</v>
      </c>
      <c r="B226" s="450" t="s">
        <v>967</v>
      </c>
      <c r="C226" s="450"/>
      <c r="D226" s="450" t="s">
        <v>968</v>
      </c>
      <c r="E226" s="463">
        <f t="shared" ref="E226:P227" si="177">E227</f>
        <v>50079366</v>
      </c>
      <c r="F226" s="463">
        <f t="shared" si="177"/>
        <v>50079366</v>
      </c>
      <c r="G226" s="463">
        <f t="shared" si="177"/>
        <v>0</v>
      </c>
      <c r="H226" s="463">
        <f t="shared" si="177"/>
        <v>0</v>
      </c>
      <c r="I226" s="463">
        <f t="shared" si="177"/>
        <v>0</v>
      </c>
      <c r="J226" s="463">
        <f t="shared" si="177"/>
        <v>64664228.030000001</v>
      </c>
      <c r="K226" s="463">
        <f t="shared" si="177"/>
        <v>64537213</v>
      </c>
      <c r="L226" s="463">
        <f t="shared" si="177"/>
        <v>0</v>
      </c>
      <c r="M226" s="463">
        <f t="shared" si="177"/>
        <v>0</v>
      </c>
      <c r="N226" s="463">
        <f t="shared" si="177"/>
        <v>0</v>
      </c>
      <c r="O226" s="463">
        <f t="shared" si="177"/>
        <v>64664228.030000001</v>
      </c>
      <c r="P226" s="463">
        <f t="shared" si="177"/>
        <v>114743594.03</v>
      </c>
      <c r="R226" s="198"/>
    </row>
    <row r="227" spans="1:18" ht="138.75" thickTop="1" thickBot="1" x14ac:dyDescent="0.25">
      <c r="A227" s="927" t="s">
        <v>1242</v>
      </c>
      <c r="B227" s="445" t="s">
        <v>1243</v>
      </c>
      <c r="C227" s="450"/>
      <c r="D227" s="445" t="s">
        <v>1244</v>
      </c>
      <c r="E227" s="464">
        <f t="shared" si="177"/>
        <v>50079366</v>
      </c>
      <c r="F227" s="464">
        <f t="shared" si="177"/>
        <v>50079366</v>
      </c>
      <c r="G227" s="464">
        <f t="shared" si="177"/>
        <v>0</v>
      </c>
      <c r="H227" s="464">
        <f t="shared" si="177"/>
        <v>0</v>
      </c>
      <c r="I227" s="464">
        <f t="shared" si="177"/>
        <v>0</v>
      </c>
      <c r="J227" s="464">
        <f t="shared" si="177"/>
        <v>64664228.030000001</v>
      </c>
      <c r="K227" s="464">
        <f t="shared" si="177"/>
        <v>64537213</v>
      </c>
      <c r="L227" s="464">
        <f t="shared" si="177"/>
        <v>0</v>
      </c>
      <c r="M227" s="464">
        <f t="shared" si="177"/>
        <v>0</v>
      </c>
      <c r="N227" s="464">
        <f t="shared" si="177"/>
        <v>0</v>
      </c>
      <c r="O227" s="464">
        <f t="shared" si="177"/>
        <v>64664228.030000001</v>
      </c>
      <c r="P227" s="464">
        <f t="shared" si="177"/>
        <v>114743594.03</v>
      </c>
      <c r="R227" s="198"/>
    </row>
    <row r="228" spans="1:18" ht="230.25" thickTop="1" thickBot="1" x14ac:dyDescent="0.25">
      <c r="A228" s="927" t="s">
        <v>650</v>
      </c>
      <c r="B228" s="927" t="s">
        <v>312</v>
      </c>
      <c r="C228" s="927" t="s">
        <v>314</v>
      </c>
      <c r="D228" s="927" t="s">
        <v>313</v>
      </c>
      <c r="E228" s="324">
        <f t="shared" si="173"/>
        <v>50079366</v>
      </c>
      <c r="F228" s="170">
        <f>((48273558)+4594808)-2789000</f>
        <v>50079366</v>
      </c>
      <c r="G228" s="170"/>
      <c r="H228" s="170"/>
      <c r="I228" s="170"/>
      <c r="J228" s="928">
        <f t="shared" si="165"/>
        <v>64664228.030000001</v>
      </c>
      <c r="K228" s="170">
        <f>(16932021+60000000)-5594808-6800000</f>
        <v>64537213</v>
      </c>
      <c r="L228" s="847"/>
      <c r="M228" s="847"/>
      <c r="N228" s="847"/>
      <c r="O228" s="977">
        <f>K228+127015.03</f>
        <v>64664228.030000001</v>
      </c>
      <c r="P228" s="928">
        <f>+J228+E228</f>
        <v>114743594.03</v>
      </c>
      <c r="R228" s="125" t="b">
        <f>K228=[1]d6!J190</f>
        <v>1</v>
      </c>
    </row>
    <row r="229" spans="1:18" ht="136.5" thickTop="1" thickBot="1" x14ac:dyDescent="0.25">
      <c r="A229" s="450" t="s">
        <v>969</v>
      </c>
      <c r="B229" s="450" t="s">
        <v>850</v>
      </c>
      <c r="C229" s="450"/>
      <c r="D229" s="450" t="s">
        <v>848</v>
      </c>
      <c r="E229" s="463">
        <f>SUM(E230:E234)-E232</f>
        <v>0</v>
      </c>
      <c r="F229" s="463">
        <f t="shared" ref="F229:I229" si="178">SUM(F230:F234)-F232</f>
        <v>0</v>
      </c>
      <c r="G229" s="463">
        <f t="shared" si="178"/>
        <v>0</v>
      </c>
      <c r="H229" s="463">
        <f t="shared" si="178"/>
        <v>0</v>
      </c>
      <c r="I229" s="463">
        <f t="shared" si="178"/>
        <v>0</v>
      </c>
      <c r="J229" s="463">
        <f>SUM(J230:J234)-J232</f>
        <v>65288883.579999998</v>
      </c>
      <c r="K229" s="463">
        <f t="shared" ref="K229:P229" si="179">SUM(K230:K234)-K232</f>
        <v>64118361.579999998</v>
      </c>
      <c r="L229" s="463">
        <f t="shared" si="179"/>
        <v>140000</v>
      </c>
      <c r="M229" s="463">
        <f t="shared" si="179"/>
        <v>0</v>
      </c>
      <c r="N229" s="463">
        <f t="shared" si="179"/>
        <v>0</v>
      </c>
      <c r="O229" s="463">
        <f t="shared" si="179"/>
        <v>65148883.579999998</v>
      </c>
      <c r="P229" s="463">
        <f t="shared" si="179"/>
        <v>65288883.579999998</v>
      </c>
      <c r="R229" s="125"/>
    </row>
    <row r="230" spans="1:18" ht="48" thickTop="1" thickBot="1" x14ac:dyDescent="0.25">
      <c r="A230" s="927" t="s">
        <v>651</v>
      </c>
      <c r="B230" s="927" t="s">
        <v>230</v>
      </c>
      <c r="C230" s="927" t="s">
        <v>231</v>
      </c>
      <c r="D230" s="927" t="s">
        <v>43</v>
      </c>
      <c r="E230" s="324">
        <f t="shared" si="173"/>
        <v>0</v>
      </c>
      <c r="F230" s="170"/>
      <c r="G230" s="170"/>
      <c r="H230" s="170"/>
      <c r="I230" s="170"/>
      <c r="J230" s="928">
        <f t="shared" si="165"/>
        <v>20549522.579999998</v>
      </c>
      <c r="K230" s="323">
        <f>(18508795.58)+2040727</f>
        <v>20549522.579999998</v>
      </c>
      <c r="L230" s="170"/>
      <c r="M230" s="170"/>
      <c r="N230" s="170"/>
      <c r="O230" s="977">
        <f t="shared" si="168"/>
        <v>20549522.579999998</v>
      </c>
      <c r="P230" s="928">
        <f>E230+J230</f>
        <v>20549522.579999998</v>
      </c>
      <c r="R230" s="125" t="b">
        <f>K230=[1]d6!J191</f>
        <v>1</v>
      </c>
    </row>
    <row r="231" spans="1:18" ht="93" thickTop="1" thickBot="1" x14ac:dyDescent="0.25">
      <c r="A231" s="927" t="s">
        <v>652</v>
      </c>
      <c r="B231" s="927" t="s">
        <v>215</v>
      </c>
      <c r="C231" s="927" t="s">
        <v>184</v>
      </c>
      <c r="D231" s="927" t="s">
        <v>36</v>
      </c>
      <c r="E231" s="324">
        <f t="shared" si="173"/>
        <v>0</v>
      </c>
      <c r="F231" s="170"/>
      <c r="G231" s="170"/>
      <c r="H231" s="170"/>
      <c r="I231" s="170"/>
      <c r="J231" s="928">
        <f t="shared" si="165"/>
        <v>43568839</v>
      </c>
      <c r="K231" s="323">
        <f>((14547011+1000000)+25241713)+2780115</f>
        <v>43568839</v>
      </c>
      <c r="L231" s="170"/>
      <c r="M231" s="170"/>
      <c r="N231" s="170"/>
      <c r="O231" s="977">
        <f t="shared" si="168"/>
        <v>43568839</v>
      </c>
      <c r="P231" s="928">
        <f>E231+J231</f>
        <v>43568839</v>
      </c>
      <c r="R231" s="125" t="b">
        <f>K231=[1]d6!J193+[1]d6!J194+[1]d6!J195+[1]d6!J196+[1]d6!J197+[1]d6!J198+[1]d6!J200+[1]d6!J201+[1]d6!J202+[1]d6!J203+[1]d6!J204+[1]d6!J205+[1]d6!J206+[1]d6!J207+[1]d6!J208+[1]d6!J209+[1]d6!J210+[1]d6!J211+[1]d6!J212+[1]d6!J213+[1]d6!J214+[1]d6!J215+[1]d6!J216+[1]d6!J217+[1]d6!J218+[1]d6!J221+[1]d6!J222+[1]d6!J223+[1]d6!J224+[1]d6!J225+[1]d6!J226+[1]d6!J227+[1]d6!J228+[1]d6!J229+[1]d6!J230+[1]d6!J231+[1]d6!J232+[1]d6!J233+[1]d6!J234</f>
        <v>1</v>
      </c>
    </row>
    <row r="232" spans="1:18" ht="48" thickTop="1" thickBot="1" x14ac:dyDescent="0.25">
      <c r="A232" s="445" t="s">
        <v>970</v>
      </c>
      <c r="B232" s="445" t="s">
        <v>853</v>
      </c>
      <c r="C232" s="445"/>
      <c r="D232" s="445" t="s">
        <v>958</v>
      </c>
      <c r="E232" s="464">
        <f>E233</f>
        <v>0</v>
      </c>
      <c r="F232" s="464">
        <f t="shared" ref="F232:P232" si="180">F233</f>
        <v>0</v>
      </c>
      <c r="G232" s="464">
        <f t="shared" si="180"/>
        <v>0</v>
      </c>
      <c r="H232" s="464">
        <f t="shared" si="180"/>
        <v>0</v>
      </c>
      <c r="I232" s="464">
        <f t="shared" si="180"/>
        <v>0</v>
      </c>
      <c r="J232" s="464">
        <f t="shared" si="180"/>
        <v>1170522</v>
      </c>
      <c r="K232" s="464">
        <f t="shared" si="180"/>
        <v>0</v>
      </c>
      <c r="L232" s="464">
        <f t="shared" si="180"/>
        <v>140000</v>
      </c>
      <c r="M232" s="464">
        <f t="shared" si="180"/>
        <v>0</v>
      </c>
      <c r="N232" s="464">
        <f t="shared" si="180"/>
        <v>0</v>
      </c>
      <c r="O232" s="464">
        <f t="shared" si="180"/>
        <v>1030522</v>
      </c>
      <c r="P232" s="464">
        <f t="shared" si="180"/>
        <v>1170522</v>
      </c>
      <c r="R232" s="198"/>
    </row>
    <row r="233" spans="1:18" ht="409.6" thickTop="1" thickBot="1" x14ac:dyDescent="0.7">
      <c r="A233" s="1048" t="s">
        <v>653</v>
      </c>
      <c r="B233" s="1048" t="s">
        <v>363</v>
      </c>
      <c r="C233" s="1048" t="s">
        <v>184</v>
      </c>
      <c r="D233" s="326" t="s">
        <v>473</v>
      </c>
      <c r="E233" s="1058"/>
      <c r="F233" s="1055"/>
      <c r="G233" s="1055"/>
      <c r="H233" s="1055"/>
      <c r="I233" s="1055"/>
      <c r="J233" s="1058">
        <f t="shared" si="165"/>
        <v>1170522</v>
      </c>
      <c r="K233" s="1055"/>
      <c r="L233" s="1055">
        <f>((190000)-50000)</f>
        <v>140000</v>
      </c>
      <c r="M233" s="1055"/>
      <c r="N233" s="1055"/>
      <c r="O233" s="1222">
        <f>(K233+50000)+980522</f>
        <v>1030522</v>
      </c>
      <c r="P233" s="1224">
        <f>E233+J233</f>
        <v>1170522</v>
      </c>
      <c r="R233" s="198"/>
    </row>
    <row r="234" spans="1:18" ht="184.5" thickTop="1" thickBot="1" x14ac:dyDescent="0.25">
      <c r="A234" s="1048"/>
      <c r="B234" s="1048"/>
      <c r="C234" s="1048"/>
      <c r="D234" s="329" t="s">
        <v>474</v>
      </c>
      <c r="E234" s="1058"/>
      <c r="F234" s="1055"/>
      <c r="G234" s="1055"/>
      <c r="H234" s="1055"/>
      <c r="I234" s="1055"/>
      <c r="J234" s="1058"/>
      <c r="K234" s="1055"/>
      <c r="L234" s="1055"/>
      <c r="M234" s="1055"/>
      <c r="N234" s="1055"/>
      <c r="O234" s="1222"/>
      <c r="P234" s="1224"/>
      <c r="R234" s="198"/>
    </row>
    <row r="235" spans="1:18" ht="47.25" thickTop="1" thickBot="1" x14ac:dyDescent="0.25">
      <c r="A235" s="173" t="s">
        <v>971</v>
      </c>
      <c r="B235" s="173" t="s">
        <v>855</v>
      </c>
      <c r="C235" s="173"/>
      <c r="D235" s="468" t="s">
        <v>856</v>
      </c>
      <c r="E235" s="928">
        <f>E236</f>
        <v>2560578</v>
      </c>
      <c r="F235" s="928">
        <f t="shared" ref="F235:P235" si="181">F236</f>
        <v>2560578</v>
      </c>
      <c r="G235" s="928">
        <f t="shared" si="181"/>
        <v>1788859</v>
      </c>
      <c r="H235" s="928">
        <f t="shared" si="181"/>
        <v>29785</v>
      </c>
      <c r="I235" s="928">
        <f t="shared" si="181"/>
        <v>0</v>
      </c>
      <c r="J235" s="928">
        <f t="shared" si="181"/>
        <v>32000</v>
      </c>
      <c r="K235" s="928">
        <f t="shared" si="181"/>
        <v>32000</v>
      </c>
      <c r="L235" s="928">
        <f t="shared" si="181"/>
        <v>0</v>
      </c>
      <c r="M235" s="928">
        <f t="shared" si="181"/>
        <v>0</v>
      </c>
      <c r="N235" s="928">
        <f t="shared" si="181"/>
        <v>0</v>
      </c>
      <c r="O235" s="928">
        <f t="shared" si="181"/>
        <v>32000</v>
      </c>
      <c r="P235" s="928">
        <f t="shared" si="181"/>
        <v>2592578</v>
      </c>
      <c r="R235" s="198"/>
    </row>
    <row r="236" spans="1:18" ht="181.5" thickTop="1" thickBot="1" x14ac:dyDescent="0.25">
      <c r="A236" s="450" t="s">
        <v>973</v>
      </c>
      <c r="B236" s="450" t="s">
        <v>974</v>
      </c>
      <c r="C236" s="450"/>
      <c r="D236" s="469" t="s">
        <v>972</v>
      </c>
      <c r="E236" s="448">
        <f>SUM(E237:E239)</f>
        <v>2560578</v>
      </c>
      <c r="F236" s="448">
        <f t="shared" ref="F236:P236" si="182">SUM(F237:F239)</f>
        <v>2560578</v>
      </c>
      <c r="G236" s="448">
        <f t="shared" si="182"/>
        <v>1788859</v>
      </c>
      <c r="H236" s="448">
        <f t="shared" si="182"/>
        <v>29785</v>
      </c>
      <c r="I236" s="448">
        <f t="shared" si="182"/>
        <v>0</v>
      </c>
      <c r="J236" s="448">
        <f t="shared" si="182"/>
        <v>32000</v>
      </c>
      <c r="K236" s="448">
        <f t="shared" si="182"/>
        <v>32000</v>
      </c>
      <c r="L236" s="448">
        <f t="shared" si="182"/>
        <v>0</v>
      </c>
      <c r="M236" s="448">
        <f t="shared" si="182"/>
        <v>0</v>
      </c>
      <c r="N236" s="448">
        <f t="shared" si="182"/>
        <v>0</v>
      </c>
      <c r="O236" s="448">
        <f t="shared" si="182"/>
        <v>32000</v>
      </c>
      <c r="P236" s="448">
        <f t="shared" si="182"/>
        <v>2592578</v>
      </c>
      <c r="R236" s="198"/>
    </row>
    <row r="237" spans="1:18" ht="184.5" thickTop="1" thickBot="1" x14ac:dyDescent="0.25">
      <c r="A237" s="927" t="s">
        <v>654</v>
      </c>
      <c r="B237" s="927" t="s">
        <v>565</v>
      </c>
      <c r="C237" s="927" t="s">
        <v>269</v>
      </c>
      <c r="D237" s="927" t="s">
        <v>566</v>
      </c>
      <c r="E237" s="324">
        <f>F237</f>
        <v>108400</v>
      </c>
      <c r="F237" s="170">
        <v>108400</v>
      </c>
      <c r="G237" s="170"/>
      <c r="H237" s="170"/>
      <c r="I237" s="170"/>
      <c r="J237" s="928">
        <f>L237+O237</f>
        <v>0</v>
      </c>
      <c r="K237" s="323"/>
      <c r="L237" s="170"/>
      <c r="M237" s="170"/>
      <c r="N237" s="170"/>
      <c r="O237" s="977">
        <f>K237</f>
        <v>0</v>
      </c>
      <c r="P237" s="928">
        <f>E237+J237</f>
        <v>108400</v>
      </c>
      <c r="R237" s="198"/>
    </row>
    <row r="238" spans="1:18" ht="93" thickTop="1" thickBot="1" x14ac:dyDescent="0.25">
      <c r="A238" s="927" t="s">
        <v>655</v>
      </c>
      <c r="B238" s="927" t="s">
        <v>268</v>
      </c>
      <c r="C238" s="927" t="s">
        <v>269</v>
      </c>
      <c r="D238" s="927" t="s">
        <v>267</v>
      </c>
      <c r="E238" s="324">
        <f t="shared" ref="E238:E239" si="183">F238</f>
        <v>2452178</v>
      </c>
      <c r="F238" s="170">
        <f>(1833178+1219000)-600000</f>
        <v>2452178</v>
      </c>
      <c r="G238" s="170">
        <f>((1494859)+894000)-600000</f>
        <v>1788859</v>
      </c>
      <c r="H238" s="170">
        <f>(20785)+9000</f>
        <v>29785</v>
      </c>
      <c r="I238" s="170"/>
      <c r="J238" s="928">
        <f>L238+O238</f>
        <v>32000</v>
      </c>
      <c r="K238" s="323">
        <v>32000</v>
      </c>
      <c r="L238" s="170"/>
      <c r="M238" s="170"/>
      <c r="N238" s="170"/>
      <c r="O238" s="977">
        <f>K238</f>
        <v>32000</v>
      </c>
      <c r="P238" s="928">
        <f>E238+J238</f>
        <v>2484178</v>
      </c>
      <c r="R238" s="930" t="b">
        <f>K238=[1]d6!J235</f>
        <v>1</v>
      </c>
    </row>
    <row r="239" spans="1:18" ht="93" hidden="1" thickTop="1" thickBot="1" x14ac:dyDescent="0.25">
      <c r="A239" s="511" t="s">
        <v>656</v>
      </c>
      <c r="B239" s="511" t="s">
        <v>657</v>
      </c>
      <c r="C239" s="511" t="s">
        <v>269</v>
      </c>
      <c r="D239" s="511" t="s">
        <v>658</v>
      </c>
      <c r="E239" s="517">
        <f t="shared" si="183"/>
        <v>0</v>
      </c>
      <c r="F239" s="518">
        <f>(1219000)-1219000</f>
        <v>0</v>
      </c>
      <c r="G239" s="518">
        <f>(354000+540000)-894000</f>
        <v>0</v>
      </c>
      <c r="H239" s="518">
        <f>(6000+3000)-9000</f>
        <v>0</v>
      </c>
      <c r="I239" s="518"/>
      <c r="J239" s="990">
        <f>L239+O239</f>
        <v>0</v>
      </c>
      <c r="K239" s="991"/>
      <c r="L239" s="518"/>
      <c r="M239" s="518"/>
      <c r="N239" s="518"/>
      <c r="O239" s="992">
        <f>K239</f>
        <v>0</v>
      </c>
      <c r="P239" s="990">
        <f>E239+J239</f>
        <v>0</v>
      </c>
      <c r="R239" s="198"/>
    </row>
    <row r="240" spans="1:18" ht="316.5" thickTop="1" thickBot="1" x14ac:dyDescent="0.25">
      <c r="A240" s="969" t="s">
        <v>25</v>
      </c>
      <c r="B240" s="969"/>
      <c r="C240" s="969"/>
      <c r="D240" s="970" t="s">
        <v>400</v>
      </c>
      <c r="E240" s="971">
        <f>E241</f>
        <v>3464607</v>
      </c>
      <c r="F240" s="972">
        <f t="shared" ref="F240:G240" si="184">F241</f>
        <v>3464607</v>
      </c>
      <c r="G240" s="972">
        <f t="shared" si="184"/>
        <v>2367850</v>
      </c>
      <c r="H240" s="972">
        <f>H241</f>
        <v>79370</v>
      </c>
      <c r="I240" s="972">
        <f t="shared" ref="I240" si="185">I241</f>
        <v>0</v>
      </c>
      <c r="J240" s="971">
        <f>J241</f>
        <v>263150566.50999999</v>
      </c>
      <c r="K240" s="972">
        <f>K241</f>
        <v>261650566.50999999</v>
      </c>
      <c r="L240" s="972">
        <f>L241</f>
        <v>0</v>
      </c>
      <c r="M240" s="972">
        <f t="shared" ref="M240" si="186">M241</f>
        <v>0</v>
      </c>
      <c r="N240" s="971">
        <f>N241</f>
        <v>0</v>
      </c>
      <c r="O240" s="971">
        <f>O241</f>
        <v>263150566.50999999</v>
      </c>
      <c r="P240" s="972">
        <f t="shared" ref="P240" si="187">P241</f>
        <v>266615173.50999999</v>
      </c>
    </row>
    <row r="241" spans="1:18" ht="181.5" thickTop="1" thickBot="1" x14ac:dyDescent="0.25">
      <c r="A241" s="973" t="s">
        <v>26</v>
      </c>
      <c r="B241" s="973"/>
      <c r="C241" s="973"/>
      <c r="D241" s="974" t="s">
        <v>1068</v>
      </c>
      <c r="E241" s="975">
        <f>E242+E246+E249</f>
        <v>3464607</v>
      </c>
      <c r="F241" s="975">
        <f t="shared" ref="F241:I241" si="188">F242+F246+F249</f>
        <v>3464607</v>
      </c>
      <c r="G241" s="975">
        <f t="shared" si="188"/>
        <v>2367850</v>
      </c>
      <c r="H241" s="975">
        <f t="shared" si="188"/>
        <v>79370</v>
      </c>
      <c r="I241" s="975">
        <f t="shared" si="188"/>
        <v>0</v>
      </c>
      <c r="J241" s="975">
        <f>L241+O241</f>
        <v>263150566.50999999</v>
      </c>
      <c r="K241" s="975">
        <f t="shared" ref="K241:O241" si="189">K242+K246+K249</f>
        <v>261650566.50999999</v>
      </c>
      <c r="L241" s="975">
        <f t="shared" si="189"/>
        <v>0</v>
      </c>
      <c r="M241" s="975">
        <f t="shared" si="189"/>
        <v>0</v>
      </c>
      <c r="N241" s="975">
        <f t="shared" si="189"/>
        <v>0</v>
      </c>
      <c r="O241" s="975">
        <f t="shared" si="189"/>
        <v>263150566.50999999</v>
      </c>
      <c r="P241" s="976">
        <f t="shared" ref="P241:P257" si="190">E241+J241</f>
        <v>266615173.50999999</v>
      </c>
      <c r="Q241" s="125" t="b">
        <f>P241=P253+P255+P256+P243+P257+P248+P254+P244+P251+P245+P260</f>
        <v>1</v>
      </c>
      <c r="R241" s="930" t="b">
        <f>K241=[1]d6!J237</f>
        <v>1</v>
      </c>
    </row>
    <row r="242" spans="1:18" ht="47.25" thickTop="1" thickBot="1" x14ac:dyDescent="0.25">
      <c r="A242" s="173" t="s">
        <v>975</v>
      </c>
      <c r="B242" s="173" t="s">
        <v>843</v>
      </c>
      <c r="C242" s="173"/>
      <c r="D242" s="173" t="s">
        <v>844</v>
      </c>
      <c r="E242" s="928">
        <f t="shared" ref="E242:P242" si="191">SUM(E243:E245)</f>
        <v>3464607</v>
      </c>
      <c r="F242" s="928">
        <f t="shared" si="191"/>
        <v>3464607</v>
      </c>
      <c r="G242" s="928">
        <f t="shared" si="191"/>
        <v>2367850</v>
      </c>
      <c r="H242" s="928">
        <f t="shared" si="191"/>
        <v>79370</v>
      </c>
      <c r="I242" s="928">
        <f t="shared" si="191"/>
        <v>0</v>
      </c>
      <c r="J242" s="928">
        <f t="shared" si="191"/>
        <v>0</v>
      </c>
      <c r="K242" s="928">
        <f t="shared" si="191"/>
        <v>0</v>
      </c>
      <c r="L242" s="928">
        <f t="shared" si="191"/>
        <v>0</v>
      </c>
      <c r="M242" s="928">
        <f t="shared" si="191"/>
        <v>0</v>
      </c>
      <c r="N242" s="928">
        <f t="shared" si="191"/>
        <v>0</v>
      </c>
      <c r="O242" s="928">
        <f t="shared" si="191"/>
        <v>0</v>
      </c>
      <c r="P242" s="928">
        <f t="shared" si="191"/>
        <v>3464607</v>
      </c>
      <c r="Q242" s="125"/>
      <c r="R242" s="930"/>
    </row>
    <row r="243" spans="1:18" ht="230.25" thickTop="1" thickBot="1" x14ac:dyDescent="0.25">
      <c r="A243" s="927" t="s">
        <v>445</v>
      </c>
      <c r="B243" s="927" t="s">
        <v>254</v>
      </c>
      <c r="C243" s="927" t="s">
        <v>252</v>
      </c>
      <c r="D243" s="927" t="s">
        <v>253</v>
      </c>
      <c r="E243" s="928">
        <f>F243</f>
        <v>3309607</v>
      </c>
      <c r="F243" s="323">
        <f>(2367850+520950+61660+322000+2000+1570+24500+53300+1610+1075-5000)-145008-1000+1000+49750+17000+10000+20835+3015+1000+1500</f>
        <v>3309607</v>
      </c>
      <c r="G243" s="323">
        <v>2367850</v>
      </c>
      <c r="H243" s="323">
        <f>(1570+24500+53300)</f>
        <v>79370</v>
      </c>
      <c r="I243" s="323"/>
      <c r="J243" s="928">
        <f t="shared" ref="J243:J257" si="192">L243+O243</f>
        <v>0</v>
      </c>
      <c r="K243" s="323"/>
      <c r="L243" s="323"/>
      <c r="M243" s="323"/>
      <c r="N243" s="323"/>
      <c r="O243" s="977">
        <f>K243</f>
        <v>0</v>
      </c>
      <c r="P243" s="928">
        <f t="shared" si="190"/>
        <v>3309607</v>
      </c>
      <c r="Q243" s="197"/>
      <c r="R243" s="198"/>
    </row>
    <row r="244" spans="1:18" ht="184.5" thickTop="1" thickBot="1" x14ac:dyDescent="0.25">
      <c r="A244" s="932" t="s">
        <v>788</v>
      </c>
      <c r="B244" s="932" t="s">
        <v>388</v>
      </c>
      <c r="C244" s="932" t="s">
        <v>778</v>
      </c>
      <c r="D244" s="932" t="s">
        <v>779</v>
      </c>
      <c r="E244" s="324">
        <f>F244</f>
        <v>5000</v>
      </c>
      <c r="F244" s="170">
        <v>5000</v>
      </c>
      <c r="G244" s="170"/>
      <c r="H244" s="170"/>
      <c r="I244" s="170"/>
      <c r="J244" s="928">
        <f t="shared" si="192"/>
        <v>0</v>
      </c>
      <c r="K244" s="170"/>
      <c r="L244" s="847"/>
      <c r="M244" s="847"/>
      <c r="N244" s="847"/>
      <c r="O244" s="977">
        <f t="shared" ref="O244:O245" si="193">K244</f>
        <v>0</v>
      </c>
      <c r="P244" s="928">
        <f t="shared" ref="P244:P245" si="194">+J244+E244</f>
        <v>5000</v>
      </c>
      <c r="Q244" s="197"/>
      <c r="R244" s="198"/>
    </row>
    <row r="245" spans="1:18" ht="93" thickTop="1" thickBot="1" x14ac:dyDescent="0.25">
      <c r="A245" s="932" t="s">
        <v>1154</v>
      </c>
      <c r="B245" s="932" t="s">
        <v>45</v>
      </c>
      <c r="C245" s="932" t="s">
        <v>44</v>
      </c>
      <c r="D245" s="932" t="s">
        <v>266</v>
      </c>
      <c r="E245" s="324">
        <f>F245</f>
        <v>150000</v>
      </c>
      <c r="F245" s="170">
        <v>150000</v>
      </c>
      <c r="G245" s="170"/>
      <c r="H245" s="170"/>
      <c r="I245" s="170"/>
      <c r="J245" s="928">
        <f t="shared" si="192"/>
        <v>0</v>
      </c>
      <c r="K245" s="170"/>
      <c r="L245" s="847"/>
      <c r="M245" s="847"/>
      <c r="N245" s="847"/>
      <c r="O245" s="977">
        <f t="shared" si="193"/>
        <v>0</v>
      </c>
      <c r="P245" s="928">
        <f t="shared" si="194"/>
        <v>150000</v>
      </c>
      <c r="Q245" s="197"/>
      <c r="R245" s="198"/>
    </row>
    <row r="246" spans="1:18" ht="47.25" thickTop="1" thickBot="1" x14ac:dyDescent="0.25">
      <c r="A246" s="173" t="s">
        <v>976</v>
      </c>
      <c r="B246" s="173" t="s">
        <v>931</v>
      </c>
      <c r="C246" s="927"/>
      <c r="D246" s="173" t="s">
        <v>932</v>
      </c>
      <c r="E246" s="324">
        <f>E247</f>
        <v>0</v>
      </c>
      <c r="F246" s="324">
        <f t="shared" ref="F246:P247" si="195">F247</f>
        <v>0</v>
      </c>
      <c r="G246" s="324">
        <f t="shared" si="195"/>
        <v>0</v>
      </c>
      <c r="H246" s="324">
        <f t="shared" si="195"/>
        <v>0</v>
      </c>
      <c r="I246" s="324">
        <f t="shared" si="195"/>
        <v>0</v>
      </c>
      <c r="J246" s="324">
        <f t="shared" si="195"/>
        <v>112000000</v>
      </c>
      <c r="K246" s="324">
        <f t="shared" si="195"/>
        <v>112000000</v>
      </c>
      <c r="L246" s="324">
        <f t="shared" si="195"/>
        <v>0</v>
      </c>
      <c r="M246" s="324">
        <f t="shared" si="195"/>
        <v>0</v>
      </c>
      <c r="N246" s="324">
        <f t="shared" si="195"/>
        <v>0</v>
      </c>
      <c r="O246" s="324">
        <f t="shared" si="195"/>
        <v>112000000</v>
      </c>
      <c r="P246" s="324">
        <f t="shared" si="195"/>
        <v>112000000</v>
      </c>
      <c r="Q246" s="197"/>
      <c r="R246" s="198"/>
    </row>
    <row r="247" spans="1:18" ht="93" thickTop="1" thickBot="1" x14ac:dyDescent="0.25">
      <c r="A247" s="445" t="s">
        <v>977</v>
      </c>
      <c r="B247" s="445" t="s">
        <v>978</v>
      </c>
      <c r="C247" s="445"/>
      <c r="D247" s="445" t="s">
        <v>979</v>
      </c>
      <c r="E247" s="464">
        <f>E248</f>
        <v>0</v>
      </c>
      <c r="F247" s="464">
        <f t="shared" si="195"/>
        <v>0</v>
      </c>
      <c r="G247" s="464">
        <f t="shared" si="195"/>
        <v>0</v>
      </c>
      <c r="H247" s="464">
        <f t="shared" si="195"/>
        <v>0</v>
      </c>
      <c r="I247" s="464">
        <f t="shared" si="195"/>
        <v>0</v>
      </c>
      <c r="J247" s="464">
        <f t="shared" si="195"/>
        <v>112000000</v>
      </c>
      <c r="K247" s="464">
        <f t="shared" si="195"/>
        <v>112000000</v>
      </c>
      <c r="L247" s="464">
        <f t="shared" si="195"/>
        <v>0</v>
      </c>
      <c r="M247" s="464">
        <f t="shared" si="195"/>
        <v>0</v>
      </c>
      <c r="N247" s="464">
        <f t="shared" si="195"/>
        <v>0</v>
      </c>
      <c r="O247" s="464">
        <f t="shared" si="195"/>
        <v>112000000</v>
      </c>
      <c r="P247" s="464">
        <f t="shared" si="195"/>
        <v>112000000</v>
      </c>
      <c r="Q247" s="197"/>
      <c r="R247" s="198"/>
    </row>
    <row r="248" spans="1:18" ht="321.75" thickTop="1" thickBot="1" x14ac:dyDescent="0.25">
      <c r="A248" s="927" t="s">
        <v>463</v>
      </c>
      <c r="B248" s="927" t="s">
        <v>465</v>
      </c>
      <c r="C248" s="927" t="s">
        <v>213</v>
      </c>
      <c r="D248" s="927" t="s">
        <v>464</v>
      </c>
      <c r="E248" s="928">
        <f t="shared" ref="E248:E255" si="196">F248</f>
        <v>0</v>
      </c>
      <c r="F248" s="323"/>
      <c r="G248" s="323"/>
      <c r="H248" s="323"/>
      <c r="I248" s="323"/>
      <c r="J248" s="928">
        <f t="shared" si="192"/>
        <v>112000000</v>
      </c>
      <c r="K248" s="323">
        <f>((8000000+2000000+7000000)+70000000)+25000000</f>
        <v>112000000</v>
      </c>
      <c r="L248" s="323"/>
      <c r="M248" s="323"/>
      <c r="N248" s="323"/>
      <c r="O248" s="977">
        <f t="shared" ref="O248" si="197">K248</f>
        <v>112000000</v>
      </c>
      <c r="P248" s="928">
        <f t="shared" si="190"/>
        <v>112000000</v>
      </c>
      <c r="Q248" s="197"/>
      <c r="R248" s="930" t="b">
        <f>K248=[1]d6!J238</f>
        <v>1</v>
      </c>
    </row>
    <row r="249" spans="1:18" ht="47.25" thickTop="1" thickBot="1" x14ac:dyDescent="0.25">
      <c r="A249" s="173" t="s">
        <v>980</v>
      </c>
      <c r="B249" s="173" t="s">
        <v>908</v>
      </c>
      <c r="C249" s="927"/>
      <c r="D249" s="173" t="s">
        <v>955</v>
      </c>
      <c r="E249" s="928">
        <f>E250+E258</f>
        <v>0</v>
      </c>
      <c r="F249" s="928">
        <f t="shared" ref="F249:P249" si="198">F250+F258</f>
        <v>0</v>
      </c>
      <c r="G249" s="928">
        <f t="shared" si="198"/>
        <v>0</v>
      </c>
      <c r="H249" s="928">
        <f t="shared" si="198"/>
        <v>0</v>
      </c>
      <c r="I249" s="928">
        <f t="shared" si="198"/>
        <v>0</v>
      </c>
      <c r="J249" s="928">
        <f t="shared" si="198"/>
        <v>151150566.50999999</v>
      </c>
      <c r="K249" s="928">
        <f t="shared" si="198"/>
        <v>149650566.50999999</v>
      </c>
      <c r="L249" s="928">
        <f t="shared" si="198"/>
        <v>0</v>
      </c>
      <c r="M249" s="928">
        <f t="shared" si="198"/>
        <v>0</v>
      </c>
      <c r="N249" s="928">
        <f t="shared" si="198"/>
        <v>0</v>
      </c>
      <c r="O249" s="928">
        <f t="shared" si="198"/>
        <v>151150566.50999999</v>
      </c>
      <c r="P249" s="928">
        <f t="shared" si="198"/>
        <v>151150566.50999999</v>
      </c>
      <c r="Q249" s="197"/>
      <c r="R249" s="198"/>
    </row>
    <row r="250" spans="1:18" ht="91.5" thickTop="1" thickBot="1" x14ac:dyDescent="0.25">
      <c r="A250" s="450" t="s">
        <v>981</v>
      </c>
      <c r="B250" s="450" t="s">
        <v>964</v>
      </c>
      <c r="C250" s="450"/>
      <c r="D250" s="450" t="s">
        <v>965</v>
      </c>
      <c r="E250" s="448">
        <f t="shared" ref="E250:P250" si="199">SUM(E251:E257)-E252</f>
        <v>0</v>
      </c>
      <c r="F250" s="448">
        <f t="shared" si="199"/>
        <v>0</v>
      </c>
      <c r="G250" s="448">
        <f t="shared" si="199"/>
        <v>0</v>
      </c>
      <c r="H250" s="448">
        <f t="shared" si="199"/>
        <v>0</v>
      </c>
      <c r="I250" s="448">
        <f t="shared" si="199"/>
        <v>0</v>
      </c>
      <c r="J250" s="448">
        <f t="shared" si="199"/>
        <v>149650566.50999999</v>
      </c>
      <c r="K250" s="448">
        <f t="shared" si="199"/>
        <v>149650566.50999999</v>
      </c>
      <c r="L250" s="448">
        <f t="shared" si="199"/>
        <v>0</v>
      </c>
      <c r="M250" s="448">
        <f t="shared" si="199"/>
        <v>0</v>
      </c>
      <c r="N250" s="448">
        <f t="shared" si="199"/>
        <v>0</v>
      </c>
      <c r="O250" s="448">
        <f t="shared" si="199"/>
        <v>149650566.50999999</v>
      </c>
      <c r="P250" s="448">
        <f t="shared" si="199"/>
        <v>149650566.50999999</v>
      </c>
      <c r="Q250" s="197"/>
      <c r="R250" s="198"/>
    </row>
    <row r="251" spans="1:18" ht="99.75" thickTop="1" thickBot="1" x14ac:dyDescent="0.25">
      <c r="A251" s="927" t="s">
        <v>1153</v>
      </c>
      <c r="B251" s="927" t="s">
        <v>324</v>
      </c>
      <c r="C251" s="927" t="s">
        <v>323</v>
      </c>
      <c r="D251" s="927" t="s">
        <v>780</v>
      </c>
      <c r="E251" s="928">
        <f t="shared" ref="E251" si="200">F251</f>
        <v>0</v>
      </c>
      <c r="F251" s="323"/>
      <c r="G251" s="323"/>
      <c r="H251" s="323"/>
      <c r="I251" s="323"/>
      <c r="J251" s="928">
        <f t="shared" ref="J251" si="201">L251+O251</f>
        <v>36872.51</v>
      </c>
      <c r="K251" s="323">
        <v>36872.51</v>
      </c>
      <c r="L251" s="323"/>
      <c r="M251" s="323"/>
      <c r="N251" s="323"/>
      <c r="O251" s="977">
        <f>K251</f>
        <v>36872.51</v>
      </c>
      <c r="P251" s="928">
        <f t="shared" ref="P251" si="202">E251+J251</f>
        <v>36872.51</v>
      </c>
      <c r="Q251" s="197"/>
      <c r="R251" s="930" t="b">
        <f>K251=[1]d6!J240</f>
        <v>1</v>
      </c>
    </row>
    <row r="252" spans="1:18" ht="146.25" thickTop="1" thickBot="1" x14ac:dyDescent="0.25">
      <c r="A252" s="445" t="s">
        <v>982</v>
      </c>
      <c r="B252" s="445" t="s">
        <v>983</v>
      </c>
      <c r="C252" s="445"/>
      <c r="D252" s="445" t="s">
        <v>984</v>
      </c>
      <c r="E252" s="446">
        <f>SUM(E253:E254)</f>
        <v>0</v>
      </c>
      <c r="F252" s="446">
        <f t="shared" ref="F252:P252" si="203">SUM(F253:F254)</f>
        <v>0</v>
      </c>
      <c r="G252" s="446">
        <f t="shared" si="203"/>
        <v>0</v>
      </c>
      <c r="H252" s="446">
        <f t="shared" si="203"/>
        <v>0</v>
      </c>
      <c r="I252" s="446">
        <f t="shared" si="203"/>
        <v>0</v>
      </c>
      <c r="J252" s="446">
        <f t="shared" si="203"/>
        <v>23570957</v>
      </c>
      <c r="K252" s="446">
        <f t="shared" si="203"/>
        <v>23570957</v>
      </c>
      <c r="L252" s="446">
        <f t="shared" si="203"/>
        <v>0</v>
      </c>
      <c r="M252" s="446">
        <f t="shared" si="203"/>
        <v>0</v>
      </c>
      <c r="N252" s="446">
        <f t="shared" si="203"/>
        <v>0</v>
      </c>
      <c r="O252" s="446">
        <f t="shared" si="203"/>
        <v>23570957</v>
      </c>
      <c r="P252" s="446">
        <f t="shared" si="203"/>
        <v>23570957</v>
      </c>
      <c r="Q252" s="197"/>
      <c r="R252" s="198"/>
    </row>
    <row r="253" spans="1:18" ht="99.75" thickTop="1" thickBot="1" x14ac:dyDescent="0.25">
      <c r="A253" s="927" t="s">
        <v>333</v>
      </c>
      <c r="B253" s="927" t="s">
        <v>334</v>
      </c>
      <c r="C253" s="927" t="s">
        <v>323</v>
      </c>
      <c r="D253" s="927" t="s">
        <v>781</v>
      </c>
      <c r="E253" s="928">
        <f t="shared" si="196"/>
        <v>0</v>
      </c>
      <c r="F253" s="323"/>
      <c r="G253" s="323"/>
      <c r="H253" s="323"/>
      <c r="I253" s="323"/>
      <c r="J253" s="928">
        <f t="shared" si="192"/>
        <v>23370957</v>
      </c>
      <c r="K253" s="323">
        <f>((6855987)+16002910-1087940)+1600000</f>
        <v>23370957</v>
      </c>
      <c r="L253" s="323"/>
      <c r="M253" s="323"/>
      <c r="N253" s="323"/>
      <c r="O253" s="977">
        <f>K253</f>
        <v>23370957</v>
      </c>
      <c r="P253" s="928">
        <f t="shared" si="190"/>
        <v>23370957</v>
      </c>
      <c r="Q253" s="188"/>
      <c r="R253" s="930" t="b">
        <f>K253=[1]d6!J241+[1]d6!J242+[1]d6!J243+[1]d6!J244</f>
        <v>1</v>
      </c>
    </row>
    <row r="254" spans="1:18" ht="99.75" thickTop="1" thickBot="1" x14ac:dyDescent="0.25">
      <c r="A254" s="927" t="s">
        <v>563</v>
      </c>
      <c r="B254" s="927" t="s">
        <v>564</v>
      </c>
      <c r="C254" s="927" t="s">
        <v>323</v>
      </c>
      <c r="D254" s="927" t="s">
        <v>782</v>
      </c>
      <c r="E254" s="928">
        <f t="shared" si="196"/>
        <v>0</v>
      </c>
      <c r="F254" s="323"/>
      <c r="G254" s="323"/>
      <c r="H254" s="323"/>
      <c r="I254" s="323"/>
      <c r="J254" s="928">
        <f t="shared" si="192"/>
        <v>200000</v>
      </c>
      <c r="K254" s="323">
        <v>200000</v>
      </c>
      <c r="L254" s="323"/>
      <c r="M254" s="323"/>
      <c r="N254" s="323"/>
      <c r="O254" s="977">
        <f>K254</f>
        <v>200000</v>
      </c>
      <c r="P254" s="928">
        <f t="shared" si="190"/>
        <v>200000</v>
      </c>
      <c r="Q254" s="188"/>
      <c r="R254" s="930" t="b">
        <f>K254=[1]d6!J245</f>
        <v>1</v>
      </c>
    </row>
    <row r="255" spans="1:18" ht="145.5" hidden="1" thickTop="1" thickBot="1" x14ac:dyDescent="0.25">
      <c r="A255" s="927" t="s">
        <v>335</v>
      </c>
      <c r="B255" s="927" t="s">
        <v>336</v>
      </c>
      <c r="C255" s="927" t="s">
        <v>323</v>
      </c>
      <c r="D255" s="927" t="s">
        <v>783</v>
      </c>
      <c r="E255" s="928">
        <f t="shared" si="196"/>
        <v>0</v>
      </c>
      <c r="F255" s="323"/>
      <c r="G255" s="323"/>
      <c r="H255" s="323"/>
      <c r="I255" s="323"/>
      <c r="J255" s="928">
        <f t="shared" si="192"/>
        <v>0</v>
      </c>
      <c r="K255" s="323">
        <v>0</v>
      </c>
      <c r="L255" s="323"/>
      <c r="M255" s="323"/>
      <c r="N255" s="323"/>
      <c r="O255" s="977">
        <f>K255</f>
        <v>0</v>
      </c>
      <c r="P255" s="928">
        <f t="shared" si="190"/>
        <v>0</v>
      </c>
      <c r="Q255" s="188"/>
    </row>
    <row r="256" spans="1:18" ht="99.75" thickTop="1" thickBot="1" x14ac:dyDescent="0.3">
      <c r="A256" s="927" t="s">
        <v>337</v>
      </c>
      <c r="B256" s="927" t="s">
        <v>338</v>
      </c>
      <c r="C256" s="927" t="s">
        <v>323</v>
      </c>
      <c r="D256" s="927" t="s">
        <v>784</v>
      </c>
      <c r="E256" s="928">
        <f>F256</f>
        <v>0</v>
      </c>
      <c r="F256" s="323"/>
      <c r="G256" s="323"/>
      <c r="H256" s="323"/>
      <c r="I256" s="323"/>
      <c r="J256" s="928">
        <f t="shared" si="192"/>
        <v>15961435</v>
      </c>
      <c r="K256" s="323">
        <f>((9126836+5000000+370000)+2068629+795970)-1400000</f>
        <v>15961435</v>
      </c>
      <c r="L256" s="323"/>
      <c r="M256" s="323"/>
      <c r="N256" s="323"/>
      <c r="O256" s="977">
        <f>K256</f>
        <v>15961435</v>
      </c>
      <c r="P256" s="928">
        <f t="shared" si="190"/>
        <v>15961435</v>
      </c>
      <c r="Q256" s="200"/>
      <c r="R256" s="930" t="b">
        <f>K256=[1]d6!J246+[1]d6!J247+[1]d6!J248+[1]d6!J249+[1]d6!J250+[1]d6!J251+[1]d6!J252+[1]d6!J253+[1]d6!J254+[1]d6!J255+[1]d6!J256+[1]d6!J257</f>
        <v>1</v>
      </c>
    </row>
    <row r="257" spans="1:18" ht="138.75" thickTop="1" thickBot="1" x14ac:dyDescent="0.25">
      <c r="A257" s="927" t="s">
        <v>469</v>
      </c>
      <c r="B257" s="927" t="s">
        <v>376</v>
      </c>
      <c r="C257" s="927" t="s">
        <v>184</v>
      </c>
      <c r="D257" s="927" t="s">
        <v>280</v>
      </c>
      <c r="E257" s="928">
        <f>F257</f>
        <v>0</v>
      </c>
      <c r="F257" s="323"/>
      <c r="G257" s="323"/>
      <c r="H257" s="323"/>
      <c r="I257" s="323"/>
      <c r="J257" s="928">
        <f t="shared" si="192"/>
        <v>110081302</v>
      </c>
      <c r="K257" s="323">
        <f>((23737852+6343450)+20000000)+60000000</f>
        <v>110081302</v>
      </c>
      <c r="L257" s="323"/>
      <c r="M257" s="323"/>
      <c r="N257" s="323"/>
      <c r="O257" s="977">
        <f>K257</f>
        <v>110081302</v>
      </c>
      <c r="P257" s="928">
        <f t="shared" si="190"/>
        <v>110081302</v>
      </c>
      <c r="R257" s="930" t="b">
        <f>K257=[1]d6!J258</f>
        <v>1</v>
      </c>
    </row>
    <row r="258" spans="1:18" ht="136.5" thickTop="1" thickBot="1" x14ac:dyDescent="0.25">
      <c r="A258" s="450" t="s">
        <v>1301</v>
      </c>
      <c r="B258" s="450" t="s">
        <v>850</v>
      </c>
      <c r="C258" s="450"/>
      <c r="D258" s="450" t="s">
        <v>848</v>
      </c>
      <c r="E258" s="463">
        <f>E259</f>
        <v>0</v>
      </c>
      <c r="F258" s="463">
        <f>F259</f>
        <v>0</v>
      </c>
      <c r="G258" s="463">
        <f>G259</f>
        <v>0</v>
      </c>
      <c r="H258" s="463">
        <f>H259</f>
        <v>0</v>
      </c>
      <c r="I258" s="463">
        <f>I259</f>
        <v>0</v>
      </c>
      <c r="J258" s="463">
        <f t="shared" ref="J258:O258" si="204">J259</f>
        <v>1500000</v>
      </c>
      <c r="K258" s="463">
        <f t="shared" si="204"/>
        <v>0</v>
      </c>
      <c r="L258" s="463">
        <f t="shared" si="204"/>
        <v>0</v>
      </c>
      <c r="M258" s="463">
        <f t="shared" si="204"/>
        <v>0</v>
      </c>
      <c r="N258" s="463">
        <f t="shared" si="204"/>
        <v>0</v>
      </c>
      <c r="O258" s="463">
        <f t="shared" si="204"/>
        <v>1500000</v>
      </c>
      <c r="P258" s="463">
        <f>P259</f>
        <v>1500000</v>
      </c>
      <c r="R258" s="930"/>
    </row>
    <row r="259" spans="1:18" ht="48" thickTop="1" thickBot="1" x14ac:dyDescent="0.25">
      <c r="A259" s="445" t="s">
        <v>1302</v>
      </c>
      <c r="B259" s="445" t="s">
        <v>853</v>
      </c>
      <c r="C259" s="445"/>
      <c r="D259" s="445" t="s">
        <v>958</v>
      </c>
      <c r="E259" s="464">
        <f>E260</f>
        <v>0</v>
      </c>
      <c r="F259" s="464">
        <f t="shared" ref="F259:P259" si="205">F260</f>
        <v>0</v>
      </c>
      <c r="G259" s="464">
        <f t="shared" si="205"/>
        <v>0</v>
      </c>
      <c r="H259" s="464">
        <f t="shared" si="205"/>
        <v>0</v>
      </c>
      <c r="I259" s="464">
        <f t="shared" si="205"/>
        <v>0</v>
      </c>
      <c r="J259" s="464">
        <f t="shared" si="205"/>
        <v>1500000</v>
      </c>
      <c r="K259" s="464">
        <f t="shared" si="205"/>
        <v>0</v>
      </c>
      <c r="L259" s="464">
        <f t="shared" si="205"/>
        <v>0</v>
      </c>
      <c r="M259" s="464">
        <f t="shared" si="205"/>
        <v>0</v>
      </c>
      <c r="N259" s="464">
        <f t="shared" si="205"/>
        <v>0</v>
      </c>
      <c r="O259" s="464">
        <f t="shared" si="205"/>
        <v>1500000</v>
      </c>
      <c r="P259" s="464">
        <f t="shared" si="205"/>
        <v>1500000</v>
      </c>
      <c r="R259" s="930"/>
    </row>
    <row r="260" spans="1:18" ht="409.6" thickTop="1" thickBot="1" x14ac:dyDescent="0.7">
      <c r="A260" s="1048" t="s">
        <v>1303</v>
      </c>
      <c r="B260" s="1048" t="s">
        <v>363</v>
      </c>
      <c r="C260" s="1048" t="s">
        <v>184</v>
      </c>
      <c r="D260" s="326" t="s">
        <v>473</v>
      </c>
      <c r="E260" s="1058">
        <f t="shared" ref="E260" si="206">F260</f>
        <v>0</v>
      </c>
      <c r="F260" s="1055"/>
      <c r="G260" s="1055"/>
      <c r="H260" s="1055"/>
      <c r="I260" s="1055"/>
      <c r="J260" s="1058">
        <f t="shared" ref="J260" si="207">L260+O260</f>
        <v>1500000</v>
      </c>
      <c r="K260" s="1055"/>
      <c r="L260" s="1055"/>
      <c r="M260" s="1055"/>
      <c r="N260" s="1055"/>
      <c r="O260" s="1222">
        <f>K260+1500000</f>
        <v>1500000</v>
      </c>
      <c r="P260" s="1224">
        <f>E260+J260</f>
        <v>1500000</v>
      </c>
      <c r="R260" s="930"/>
    </row>
    <row r="261" spans="1:18" ht="184.5" thickTop="1" thickBot="1" x14ac:dyDescent="0.25">
      <c r="A261" s="1048"/>
      <c r="B261" s="1048"/>
      <c r="C261" s="1048"/>
      <c r="D261" s="329" t="s">
        <v>474</v>
      </c>
      <c r="E261" s="1058"/>
      <c r="F261" s="1055"/>
      <c r="G261" s="1055"/>
      <c r="H261" s="1055"/>
      <c r="I261" s="1055"/>
      <c r="J261" s="1058"/>
      <c r="K261" s="1055"/>
      <c r="L261" s="1055"/>
      <c r="M261" s="1055"/>
      <c r="N261" s="1055"/>
      <c r="O261" s="1222"/>
      <c r="P261" s="1224"/>
      <c r="R261" s="930"/>
    </row>
    <row r="262" spans="1:18" ht="181.5" thickTop="1" thickBot="1" x14ac:dyDescent="0.25">
      <c r="A262" s="969" t="s">
        <v>174</v>
      </c>
      <c r="B262" s="969"/>
      <c r="C262" s="969"/>
      <c r="D262" s="970" t="s">
        <v>1069</v>
      </c>
      <c r="E262" s="971">
        <f>E263</f>
        <v>6735615</v>
      </c>
      <c r="F262" s="972">
        <f t="shared" ref="F262:G262" si="208">F263</f>
        <v>6735615</v>
      </c>
      <c r="G262" s="972">
        <f t="shared" si="208"/>
        <v>4925575</v>
      </c>
      <c r="H262" s="972">
        <f>H263</f>
        <v>129045</v>
      </c>
      <c r="I262" s="972">
        <f t="shared" ref="I262" si="209">I263</f>
        <v>0</v>
      </c>
      <c r="J262" s="971">
        <f>J263</f>
        <v>787000</v>
      </c>
      <c r="K262" s="972">
        <f>K263</f>
        <v>787000</v>
      </c>
      <c r="L262" s="972">
        <f>L263</f>
        <v>0</v>
      </c>
      <c r="M262" s="972">
        <f t="shared" ref="M262" si="210">M263</f>
        <v>0</v>
      </c>
      <c r="N262" s="971">
        <f>N263</f>
        <v>0</v>
      </c>
      <c r="O262" s="971">
        <f>O263</f>
        <v>787000</v>
      </c>
      <c r="P262" s="972">
        <f t="shared" ref="P262" si="211">P263</f>
        <v>7522615</v>
      </c>
    </row>
    <row r="263" spans="1:18" ht="181.5" thickTop="1" thickBot="1" x14ac:dyDescent="0.25">
      <c r="A263" s="973" t="s">
        <v>175</v>
      </c>
      <c r="B263" s="973"/>
      <c r="C263" s="973"/>
      <c r="D263" s="974" t="s">
        <v>1070</v>
      </c>
      <c r="E263" s="975">
        <f>E264+E267</f>
        <v>6735615</v>
      </c>
      <c r="F263" s="975">
        <f>F264+F267</f>
        <v>6735615</v>
      </c>
      <c r="G263" s="975">
        <f>G264+G267</f>
        <v>4925575</v>
      </c>
      <c r="H263" s="975">
        <f>H264+H267</f>
        <v>129045</v>
      </c>
      <c r="I263" s="975">
        <f>I264+I267</f>
        <v>0</v>
      </c>
      <c r="J263" s="975">
        <f>L263+O263</f>
        <v>787000</v>
      </c>
      <c r="K263" s="975">
        <f>K264+K267</f>
        <v>787000</v>
      </c>
      <c r="L263" s="975">
        <f>L264+L267</f>
        <v>0</v>
      </c>
      <c r="M263" s="975">
        <f>M264+M267</f>
        <v>0</v>
      </c>
      <c r="N263" s="975">
        <f>N264+N267</f>
        <v>0</v>
      </c>
      <c r="O263" s="975">
        <f>O264+O267</f>
        <v>787000</v>
      </c>
      <c r="P263" s="976">
        <f>E263+J263</f>
        <v>7522615</v>
      </c>
      <c r="Q263" s="125" t="b">
        <f>P263=P265+P266+P269</f>
        <v>1</v>
      </c>
      <c r="R263" s="930" t="b">
        <f>J263=[1]d6!J259</f>
        <v>1</v>
      </c>
    </row>
    <row r="264" spans="1:18" ht="47.25" thickTop="1" thickBot="1" x14ac:dyDescent="0.25">
      <c r="A264" s="173" t="s">
        <v>985</v>
      </c>
      <c r="B264" s="173" t="s">
        <v>843</v>
      </c>
      <c r="C264" s="173"/>
      <c r="D264" s="173" t="s">
        <v>844</v>
      </c>
      <c r="E264" s="928">
        <f>SUM(E265:E266)</f>
        <v>6735615</v>
      </c>
      <c r="F264" s="928">
        <f t="shared" ref="F264:P264" si="212">SUM(F265:F266)</f>
        <v>6735615</v>
      </c>
      <c r="G264" s="928">
        <f t="shared" si="212"/>
        <v>4925575</v>
      </c>
      <c r="H264" s="928">
        <f t="shared" si="212"/>
        <v>129045</v>
      </c>
      <c r="I264" s="928">
        <f t="shared" si="212"/>
        <v>0</v>
      </c>
      <c r="J264" s="928">
        <f t="shared" si="212"/>
        <v>176000</v>
      </c>
      <c r="K264" s="928">
        <f t="shared" si="212"/>
        <v>176000</v>
      </c>
      <c r="L264" s="928">
        <f t="shared" si="212"/>
        <v>0</v>
      </c>
      <c r="M264" s="928">
        <f t="shared" si="212"/>
        <v>0</v>
      </c>
      <c r="N264" s="928">
        <f t="shared" si="212"/>
        <v>0</v>
      </c>
      <c r="O264" s="928">
        <f t="shared" si="212"/>
        <v>176000</v>
      </c>
      <c r="P264" s="928">
        <f t="shared" si="212"/>
        <v>6911615</v>
      </c>
      <c r="Q264" s="125"/>
      <c r="R264" s="930"/>
    </row>
    <row r="265" spans="1:18" ht="230.25" thickTop="1" thickBot="1" x14ac:dyDescent="0.25">
      <c r="A265" s="927" t="s">
        <v>447</v>
      </c>
      <c r="B265" s="927" t="s">
        <v>254</v>
      </c>
      <c r="C265" s="927" t="s">
        <v>252</v>
      </c>
      <c r="D265" s="927" t="s">
        <v>253</v>
      </c>
      <c r="E265" s="928">
        <f>F265</f>
        <v>6728615</v>
      </c>
      <c r="F265" s="323">
        <f>(6523715-7000)+55900+140000+16000</f>
        <v>6728615</v>
      </c>
      <c r="G265" s="323">
        <v>4925575</v>
      </c>
      <c r="H265" s="323">
        <f>(97095+1950+30000)</f>
        <v>129045</v>
      </c>
      <c r="I265" s="323"/>
      <c r="J265" s="928">
        <f>L265+O265</f>
        <v>176000</v>
      </c>
      <c r="K265" s="323">
        <f>(140000)+36000</f>
        <v>176000</v>
      </c>
      <c r="L265" s="323"/>
      <c r="M265" s="323"/>
      <c r="N265" s="323"/>
      <c r="O265" s="977">
        <f>K265</f>
        <v>176000</v>
      </c>
      <c r="P265" s="928">
        <f>E265+J265</f>
        <v>6904615</v>
      </c>
      <c r="Q265" s="197"/>
      <c r="R265" s="930" t="b">
        <f>K265=[1]d6!J261</f>
        <v>1</v>
      </c>
    </row>
    <row r="266" spans="1:18" ht="184.5" thickTop="1" thickBot="1" x14ac:dyDescent="0.25">
      <c r="A266" s="927" t="s">
        <v>789</v>
      </c>
      <c r="B266" s="927" t="s">
        <v>388</v>
      </c>
      <c r="C266" s="927" t="s">
        <v>778</v>
      </c>
      <c r="D266" s="927" t="s">
        <v>779</v>
      </c>
      <c r="E266" s="324">
        <f>F266</f>
        <v>7000</v>
      </c>
      <c r="F266" s="170">
        <v>7000</v>
      </c>
      <c r="G266" s="170"/>
      <c r="H266" s="170"/>
      <c r="I266" s="170"/>
      <c r="J266" s="928">
        <f t="shared" ref="J266" si="213">L266+O266</f>
        <v>0</v>
      </c>
      <c r="K266" s="170"/>
      <c r="L266" s="847"/>
      <c r="M266" s="847"/>
      <c r="N266" s="847"/>
      <c r="O266" s="977">
        <f t="shared" ref="O266" si="214">K266</f>
        <v>0</v>
      </c>
      <c r="P266" s="928">
        <f t="shared" ref="P266" si="215">+J266+E266</f>
        <v>7000</v>
      </c>
      <c r="Q266" s="197"/>
      <c r="R266" s="930"/>
    </row>
    <row r="267" spans="1:18" ht="47.25" thickTop="1" thickBot="1" x14ac:dyDescent="0.25">
      <c r="A267" s="173" t="s">
        <v>1115</v>
      </c>
      <c r="B267" s="173" t="s">
        <v>908</v>
      </c>
      <c r="C267" s="927"/>
      <c r="D267" s="173" t="s">
        <v>955</v>
      </c>
      <c r="E267" s="928">
        <f>E268</f>
        <v>0</v>
      </c>
      <c r="F267" s="928">
        <f t="shared" ref="F267:P268" si="216">F268</f>
        <v>0</v>
      </c>
      <c r="G267" s="928">
        <f t="shared" si="216"/>
        <v>0</v>
      </c>
      <c r="H267" s="928">
        <f t="shared" si="216"/>
        <v>0</v>
      </c>
      <c r="I267" s="928">
        <f t="shared" si="216"/>
        <v>0</v>
      </c>
      <c r="J267" s="928">
        <f t="shared" si="216"/>
        <v>611000</v>
      </c>
      <c r="K267" s="928">
        <f t="shared" si="216"/>
        <v>611000</v>
      </c>
      <c r="L267" s="928">
        <f t="shared" si="216"/>
        <v>0</v>
      </c>
      <c r="M267" s="928">
        <f t="shared" si="216"/>
        <v>0</v>
      </c>
      <c r="N267" s="928">
        <f t="shared" si="216"/>
        <v>0</v>
      </c>
      <c r="O267" s="928">
        <f t="shared" si="216"/>
        <v>611000</v>
      </c>
      <c r="P267" s="928">
        <f t="shared" si="216"/>
        <v>611000</v>
      </c>
      <c r="Q267" s="197"/>
      <c r="R267" s="930"/>
    </row>
    <row r="268" spans="1:18" ht="91.5" thickTop="1" thickBot="1" x14ac:dyDescent="0.25">
      <c r="A268" s="450" t="s">
        <v>1116</v>
      </c>
      <c r="B268" s="450" t="s">
        <v>964</v>
      </c>
      <c r="C268" s="450"/>
      <c r="D268" s="450" t="s">
        <v>965</v>
      </c>
      <c r="E268" s="448">
        <f>E269</f>
        <v>0</v>
      </c>
      <c r="F268" s="448">
        <f t="shared" si="216"/>
        <v>0</v>
      </c>
      <c r="G268" s="448">
        <f t="shared" si="216"/>
        <v>0</v>
      </c>
      <c r="H268" s="448">
        <f t="shared" si="216"/>
        <v>0</v>
      </c>
      <c r="I268" s="448">
        <f t="shared" si="216"/>
        <v>0</v>
      </c>
      <c r="J268" s="448">
        <f t="shared" si="216"/>
        <v>611000</v>
      </c>
      <c r="K268" s="448">
        <f t="shared" si="216"/>
        <v>611000</v>
      </c>
      <c r="L268" s="448">
        <f t="shared" si="216"/>
        <v>0</v>
      </c>
      <c r="M268" s="448">
        <f t="shared" si="216"/>
        <v>0</v>
      </c>
      <c r="N268" s="448">
        <f t="shared" si="216"/>
        <v>0</v>
      </c>
      <c r="O268" s="448">
        <f t="shared" si="216"/>
        <v>611000</v>
      </c>
      <c r="P268" s="448">
        <f t="shared" si="216"/>
        <v>611000</v>
      </c>
      <c r="Q268" s="197"/>
      <c r="R268" s="930"/>
    </row>
    <row r="269" spans="1:18" ht="138.75" thickTop="1" thickBot="1" x14ac:dyDescent="0.25">
      <c r="A269" s="927" t="s">
        <v>1117</v>
      </c>
      <c r="B269" s="927" t="s">
        <v>1118</v>
      </c>
      <c r="C269" s="927" t="s">
        <v>323</v>
      </c>
      <c r="D269" s="927" t="s">
        <v>1119</v>
      </c>
      <c r="E269" s="324">
        <f>F269</f>
        <v>0</v>
      </c>
      <c r="F269" s="170"/>
      <c r="G269" s="170"/>
      <c r="H269" s="170"/>
      <c r="I269" s="170"/>
      <c r="J269" s="928">
        <f t="shared" ref="J269" si="217">L269+O269</f>
        <v>611000</v>
      </c>
      <c r="K269" s="170">
        <v>611000</v>
      </c>
      <c r="L269" s="847"/>
      <c r="M269" s="847"/>
      <c r="N269" s="847"/>
      <c r="O269" s="977">
        <f t="shared" ref="O269" si="218">K269</f>
        <v>611000</v>
      </c>
      <c r="P269" s="928">
        <f t="shared" ref="P269" si="219">+J269+E269</f>
        <v>611000</v>
      </c>
      <c r="Q269" s="197"/>
      <c r="R269" s="930" t="b">
        <f>K269=[1]d6!J264+[1]d6!J263+[1]d6!J262</f>
        <v>1</v>
      </c>
    </row>
    <row r="270" spans="1:18" ht="136.5" thickTop="1" thickBot="1" x14ac:dyDescent="0.25">
      <c r="A270" s="969" t="s">
        <v>477</v>
      </c>
      <c r="B270" s="969"/>
      <c r="C270" s="969"/>
      <c r="D270" s="970" t="s">
        <v>479</v>
      </c>
      <c r="E270" s="971">
        <f>E271</f>
        <v>94327131</v>
      </c>
      <c r="F270" s="972">
        <f t="shared" ref="F270:G270" si="220">F271</f>
        <v>94327131</v>
      </c>
      <c r="G270" s="972">
        <f t="shared" si="220"/>
        <v>2452610</v>
      </c>
      <c r="H270" s="972">
        <f>H271</f>
        <v>65145</v>
      </c>
      <c r="I270" s="972">
        <f t="shared" ref="I270" si="221">I271</f>
        <v>0</v>
      </c>
      <c r="J270" s="971">
        <f>J271</f>
        <v>36000</v>
      </c>
      <c r="K270" s="972">
        <f>K271</f>
        <v>36000</v>
      </c>
      <c r="L270" s="972">
        <f>L271</f>
        <v>0</v>
      </c>
      <c r="M270" s="972">
        <f t="shared" ref="M270" si="222">M271</f>
        <v>0</v>
      </c>
      <c r="N270" s="971">
        <f>N271</f>
        <v>0</v>
      </c>
      <c r="O270" s="971">
        <f>O271</f>
        <v>36000</v>
      </c>
      <c r="P270" s="972">
        <f t="shared" ref="P270" si="223">P271</f>
        <v>94363131</v>
      </c>
    </row>
    <row r="271" spans="1:18" ht="181.5" thickTop="1" thickBot="1" x14ac:dyDescent="0.25">
      <c r="A271" s="973" t="s">
        <v>478</v>
      </c>
      <c r="B271" s="973"/>
      <c r="C271" s="973"/>
      <c r="D271" s="974" t="s">
        <v>480</v>
      </c>
      <c r="E271" s="975">
        <f>E272+E276</f>
        <v>94327131</v>
      </c>
      <c r="F271" s="975">
        <f t="shared" ref="F271:I271" si="224">F272+F276</f>
        <v>94327131</v>
      </c>
      <c r="G271" s="975">
        <f t="shared" si="224"/>
        <v>2452610</v>
      </c>
      <c r="H271" s="975">
        <f t="shared" si="224"/>
        <v>65145</v>
      </c>
      <c r="I271" s="975">
        <f t="shared" si="224"/>
        <v>0</v>
      </c>
      <c r="J271" s="975">
        <f>L271+O271</f>
        <v>36000</v>
      </c>
      <c r="K271" s="975">
        <f t="shared" ref="K271:O271" si="225">K272+K276</f>
        <v>36000</v>
      </c>
      <c r="L271" s="975">
        <f t="shared" si="225"/>
        <v>0</v>
      </c>
      <c r="M271" s="975">
        <f t="shared" si="225"/>
        <v>0</v>
      </c>
      <c r="N271" s="975">
        <f t="shared" si="225"/>
        <v>0</v>
      </c>
      <c r="O271" s="975">
        <f t="shared" si="225"/>
        <v>36000</v>
      </c>
      <c r="P271" s="976">
        <f>E271+J271</f>
        <v>94363131</v>
      </c>
      <c r="Q271" s="125" t="b">
        <f>P271=P273+P275+P281+P274+P279</f>
        <v>1</v>
      </c>
      <c r="R271" s="930" t="b">
        <f>K271=[1]d6!J265</f>
        <v>1</v>
      </c>
    </row>
    <row r="272" spans="1:18" ht="47.25" thickTop="1" thickBot="1" x14ac:dyDescent="0.25">
      <c r="A272" s="173" t="s">
        <v>986</v>
      </c>
      <c r="B272" s="173" t="s">
        <v>843</v>
      </c>
      <c r="C272" s="173"/>
      <c r="D272" s="173" t="s">
        <v>844</v>
      </c>
      <c r="E272" s="928">
        <f>SUM(E273:E274)</f>
        <v>3591510</v>
      </c>
      <c r="F272" s="928">
        <f t="shared" ref="F272:P272" si="226">SUM(F273:F274)</f>
        <v>3591510</v>
      </c>
      <c r="G272" s="928">
        <f t="shared" si="226"/>
        <v>2452610</v>
      </c>
      <c r="H272" s="928">
        <f t="shared" si="226"/>
        <v>65145</v>
      </c>
      <c r="I272" s="928">
        <f t="shared" si="226"/>
        <v>0</v>
      </c>
      <c r="J272" s="928">
        <f t="shared" si="226"/>
        <v>36000</v>
      </c>
      <c r="K272" s="928">
        <f t="shared" si="226"/>
        <v>36000</v>
      </c>
      <c r="L272" s="928">
        <f t="shared" si="226"/>
        <v>0</v>
      </c>
      <c r="M272" s="928">
        <f t="shared" si="226"/>
        <v>0</v>
      </c>
      <c r="N272" s="928">
        <f t="shared" si="226"/>
        <v>0</v>
      </c>
      <c r="O272" s="928">
        <f t="shared" si="226"/>
        <v>36000</v>
      </c>
      <c r="P272" s="928">
        <f t="shared" si="226"/>
        <v>3627510</v>
      </c>
      <c r="Q272" s="125"/>
      <c r="R272" s="930"/>
    </row>
    <row r="273" spans="1:18" ht="230.25" thickTop="1" thickBot="1" x14ac:dyDescent="0.25">
      <c r="A273" s="927" t="s">
        <v>481</v>
      </c>
      <c r="B273" s="927" t="s">
        <v>254</v>
      </c>
      <c r="C273" s="927" t="s">
        <v>252</v>
      </c>
      <c r="D273" s="927" t="s">
        <v>253</v>
      </c>
      <c r="E273" s="928">
        <f>F273</f>
        <v>3586430</v>
      </c>
      <c r="F273" s="323">
        <f>(3546620-5080)+240240+4650-200000</f>
        <v>3586430</v>
      </c>
      <c r="G273" s="323">
        <v>2452610</v>
      </c>
      <c r="H273" s="323">
        <f>(40290+1200+22400+1255)</f>
        <v>65145</v>
      </c>
      <c r="I273" s="323"/>
      <c r="J273" s="928">
        <f>L273+O273</f>
        <v>36000</v>
      </c>
      <c r="K273" s="323">
        <f>(18000)+18000</f>
        <v>36000</v>
      </c>
      <c r="L273" s="323"/>
      <c r="M273" s="323"/>
      <c r="N273" s="323"/>
      <c r="O273" s="977">
        <f>K273</f>
        <v>36000</v>
      </c>
      <c r="P273" s="928">
        <f>E273+J273</f>
        <v>3622430</v>
      </c>
      <c r="Q273" s="197"/>
      <c r="R273" s="930" t="b">
        <f>K273=[1]d6!J267</f>
        <v>1</v>
      </c>
    </row>
    <row r="274" spans="1:18" ht="184.5" thickTop="1" thickBot="1" x14ac:dyDescent="0.25">
      <c r="A274" s="927" t="s">
        <v>790</v>
      </c>
      <c r="B274" s="927" t="s">
        <v>388</v>
      </c>
      <c r="C274" s="927" t="s">
        <v>778</v>
      </c>
      <c r="D274" s="927" t="s">
        <v>779</v>
      </c>
      <c r="E274" s="324">
        <f>F274</f>
        <v>5080</v>
      </c>
      <c r="F274" s="170">
        <v>5080</v>
      </c>
      <c r="G274" s="170"/>
      <c r="H274" s="170"/>
      <c r="I274" s="170"/>
      <c r="J274" s="928">
        <f t="shared" ref="J274" si="227">L274+O274</f>
        <v>0</v>
      </c>
      <c r="K274" s="170"/>
      <c r="L274" s="847"/>
      <c r="M274" s="847"/>
      <c r="N274" s="847"/>
      <c r="O274" s="977">
        <f t="shared" ref="O274" si="228">K274</f>
        <v>0</v>
      </c>
      <c r="P274" s="928">
        <f t="shared" ref="P274" si="229">+J274+E274</f>
        <v>5080</v>
      </c>
      <c r="Q274" s="197"/>
      <c r="R274" s="930"/>
    </row>
    <row r="275" spans="1:18" ht="93" hidden="1" thickTop="1" thickBot="1" x14ac:dyDescent="0.25">
      <c r="A275" s="186" t="s">
        <v>504</v>
      </c>
      <c r="B275" s="186" t="s">
        <v>440</v>
      </c>
      <c r="C275" s="186" t="s">
        <v>441</v>
      </c>
      <c r="D275" s="186" t="s">
        <v>442</v>
      </c>
      <c r="E275" s="303">
        <f>F275</f>
        <v>0</v>
      </c>
      <c r="F275" s="304">
        <f>(34016813)-19850000-9713396-4453417</f>
        <v>0</v>
      </c>
      <c r="G275" s="304"/>
      <c r="H275" s="304"/>
      <c r="I275" s="304"/>
      <c r="J275" s="303">
        <f>L275+O275</f>
        <v>0</v>
      </c>
      <c r="K275" s="304"/>
      <c r="L275" s="304"/>
      <c r="M275" s="304"/>
      <c r="N275" s="304"/>
      <c r="O275" s="993">
        <f>K275</f>
        <v>0</v>
      </c>
      <c r="P275" s="303">
        <f>E275+J275</f>
        <v>0</v>
      </c>
      <c r="Q275" s="197"/>
      <c r="R275" s="198"/>
    </row>
    <row r="276" spans="1:18" ht="47.25" thickTop="1" thickBot="1" x14ac:dyDescent="0.25">
      <c r="A276" s="173" t="s">
        <v>987</v>
      </c>
      <c r="B276" s="173" t="s">
        <v>908</v>
      </c>
      <c r="C276" s="927"/>
      <c r="D276" s="173" t="s">
        <v>955</v>
      </c>
      <c r="E276" s="928">
        <f>E277</f>
        <v>90735621</v>
      </c>
      <c r="F276" s="928">
        <f t="shared" ref="F276:P280" si="230">F277</f>
        <v>90735621</v>
      </c>
      <c r="G276" s="928">
        <f t="shared" si="230"/>
        <v>0</v>
      </c>
      <c r="H276" s="928">
        <f t="shared" si="230"/>
        <v>0</v>
      </c>
      <c r="I276" s="928">
        <f t="shared" si="230"/>
        <v>0</v>
      </c>
      <c r="J276" s="928">
        <f t="shared" si="230"/>
        <v>0</v>
      </c>
      <c r="K276" s="928">
        <f t="shared" si="230"/>
        <v>0</v>
      </c>
      <c r="L276" s="928">
        <f t="shared" si="230"/>
        <v>0</v>
      </c>
      <c r="M276" s="928">
        <f t="shared" si="230"/>
        <v>0</v>
      </c>
      <c r="N276" s="928">
        <f t="shared" si="230"/>
        <v>0</v>
      </c>
      <c r="O276" s="928">
        <f t="shared" si="230"/>
        <v>0</v>
      </c>
      <c r="P276" s="928">
        <f t="shared" si="230"/>
        <v>88642613</v>
      </c>
      <c r="Q276" s="197"/>
      <c r="R276" s="198"/>
    </row>
    <row r="277" spans="1:18" ht="136.5" thickTop="1" thickBot="1" x14ac:dyDescent="0.25">
      <c r="A277" s="450" t="s">
        <v>988</v>
      </c>
      <c r="B277" s="450" t="s">
        <v>967</v>
      </c>
      <c r="C277" s="450"/>
      <c r="D277" s="450" t="s">
        <v>968</v>
      </c>
      <c r="E277" s="448">
        <f>E280+E278</f>
        <v>90735621</v>
      </c>
      <c r="F277" s="448">
        <f t="shared" ref="F277:O277" si="231">F280+F278</f>
        <v>90735621</v>
      </c>
      <c r="G277" s="448">
        <f t="shared" si="231"/>
        <v>0</v>
      </c>
      <c r="H277" s="448">
        <f t="shared" si="231"/>
        <v>0</v>
      </c>
      <c r="I277" s="448">
        <f t="shared" si="231"/>
        <v>0</v>
      </c>
      <c r="J277" s="448">
        <f t="shared" si="231"/>
        <v>0</v>
      </c>
      <c r="K277" s="448">
        <f t="shared" si="231"/>
        <v>0</v>
      </c>
      <c r="L277" s="448">
        <f t="shared" si="231"/>
        <v>0</v>
      </c>
      <c r="M277" s="448">
        <f t="shared" si="231"/>
        <v>0</v>
      </c>
      <c r="N277" s="448">
        <f t="shared" si="231"/>
        <v>0</v>
      </c>
      <c r="O277" s="448">
        <f t="shared" si="231"/>
        <v>0</v>
      </c>
      <c r="P277" s="448">
        <f>P280</f>
        <v>88642613</v>
      </c>
      <c r="Q277" s="197"/>
      <c r="R277" s="198"/>
    </row>
    <row r="278" spans="1:18" ht="138.75" thickTop="1" thickBot="1" x14ac:dyDescent="0.25">
      <c r="A278" s="445" t="s">
        <v>1347</v>
      </c>
      <c r="B278" s="445" t="s">
        <v>1348</v>
      </c>
      <c r="C278" s="445"/>
      <c r="D278" s="445" t="s">
        <v>1346</v>
      </c>
      <c r="E278" s="446">
        <f>E279</f>
        <v>2093008</v>
      </c>
      <c r="F278" s="446">
        <f t="shared" ref="F278:O278" si="232">F279</f>
        <v>2093008</v>
      </c>
      <c r="G278" s="446">
        <f t="shared" si="232"/>
        <v>0</v>
      </c>
      <c r="H278" s="446">
        <f t="shared" si="232"/>
        <v>0</v>
      </c>
      <c r="I278" s="446">
        <f t="shared" si="232"/>
        <v>0</v>
      </c>
      <c r="J278" s="446">
        <f t="shared" si="232"/>
        <v>0</v>
      </c>
      <c r="K278" s="446">
        <f t="shared" si="232"/>
        <v>0</v>
      </c>
      <c r="L278" s="446">
        <f t="shared" si="232"/>
        <v>0</v>
      </c>
      <c r="M278" s="446">
        <f t="shared" si="232"/>
        <v>0</v>
      </c>
      <c r="N278" s="446">
        <f t="shared" si="232"/>
        <v>0</v>
      </c>
      <c r="O278" s="446">
        <f t="shared" si="232"/>
        <v>0</v>
      </c>
      <c r="P278" s="446">
        <f t="shared" si="230"/>
        <v>2093008</v>
      </c>
      <c r="Q278" s="197"/>
      <c r="R278" s="198"/>
    </row>
    <row r="279" spans="1:18" ht="93" thickTop="1" thickBot="1" x14ac:dyDescent="0.25">
      <c r="A279" s="927" t="s">
        <v>504</v>
      </c>
      <c r="B279" s="927" t="s">
        <v>440</v>
      </c>
      <c r="C279" s="927" t="s">
        <v>441</v>
      </c>
      <c r="D279" s="927" t="s">
        <v>442</v>
      </c>
      <c r="E279" s="928">
        <f>F279</f>
        <v>2093008</v>
      </c>
      <c r="F279" s="323">
        <v>2093008</v>
      </c>
      <c r="G279" s="323"/>
      <c r="H279" s="323"/>
      <c r="I279" s="323"/>
      <c r="J279" s="928">
        <f>L279+O279</f>
        <v>0</v>
      </c>
      <c r="K279" s="323"/>
      <c r="L279" s="323"/>
      <c r="M279" s="323"/>
      <c r="N279" s="323"/>
      <c r="O279" s="977">
        <f>K279</f>
        <v>0</v>
      </c>
      <c r="P279" s="928">
        <f>E279+J279</f>
        <v>2093008</v>
      </c>
      <c r="Q279" s="197"/>
      <c r="R279" s="198"/>
    </row>
    <row r="280" spans="1:18" ht="138.75" thickTop="1" thickBot="1" x14ac:dyDescent="0.25">
      <c r="A280" s="445" t="s">
        <v>989</v>
      </c>
      <c r="B280" s="445" t="s">
        <v>990</v>
      </c>
      <c r="C280" s="445"/>
      <c r="D280" s="445" t="s">
        <v>991</v>
      </c>
      <c r="E280" s="446">
        <f>E281</f>
        <v>88642613</v>
      </c>
      <c r="F280" s="446">
        <f t="shared" si="230"/>
        <v>88642613</v>
      </c>
      <c r="G280" s="446">
        <f t="shared" si="230"/>
        <v>0</v>
      </c>
      <c r="H280" s="446">
        <f t="shared" si="230"/>
        <v>0</v>
      </c>
      <c r="I280" s="446">
        <f t="shared" si="230"/>
        <v>0</v>
      </c>
      <c r="J280" s="446">
        <f t="shared" si="230"/>
        <v>0</v>
      </c>
      <c r="K280" s="446">
        <f t="shared" si="230"/>
        <v>0</v>
      </c>
      <c r="L280" s="446">
        <f t="shared" si="230"/>
        <v>0</v>
      </c>
      <c r="M280" s="446">
        <f t="shared" si="230"/>
        <v>0</v>
      </c>
      <c r="N280" s="446">
        <f t="shared" si="230"/>
        <v>0</v>
      </c>
      <c r="O280" s="446">
        <f t="shared" si="230"/>
        <v>0</v>
      </c>
      <c r="P280" s="446">
        <f t="shared" si="230"/>
        <v>88642613</v>
      </c>
      <c r="Q280" s="197"/>
      <c r="R280" s="198"/>
    </row>
    <row r="281" spans="1:18" ht="93" thickTop="1" thickBot="1" x14ac:dyDescent="0.25">
      <c r="A281" s="927" t="s">
        <v>505</v>
      </c>
      <c r="B281" s="927" t="s">
        <v>309</v>
      </c>
      <c r="C281" s="927" t="s">
        <v>311</v>
      </c>
      <c r="D281" s="927" t="s">
        <v>310</v>
      </c>
      <c r="E281" s="928">
        <f>F281</f>
        <v>88642613</v>
      </c>
      <c r="F281" s="323">
        <f>(54505073)+34137540</f>
        <v>88642613</v>
      </c>
      <c r="G281" s="323"/>
      <c r="H281" s="323"/>
      <c r="I281" s="323"/>
      <c r="J281" s="928">
        <f>L281+O281</f>
        <v>0</v>
      </c>
      <c r="K281" s="323"/>
      <c r="L281" s="323"/>
      <c r="M281" s="323"/>
      <c r="N281" s="323"/>
      <c r="O281" s="977">
        <f>K281</f>
        <v>0</v>
      </c>
      <c r="P281" s="928">
        <f>E281+J281</f>
        <v>88642613</v>
      </c>
      <c r="Q281" s="197"/>
      <c r="R281" s="198"/>
    </row>
    <row r="282" spans="1:18" ht="136.5" thickTop="1" thickBot="1" x14ac:dyDescent="0.25">
      <c r="A282" s="969" t="s">
        <v>180</v>
      </c>
      <c r="B282" s="969"/>
      <c r="C282" s="969"/>
      <c r="D282" s="970" t="s">
        <v>380</v>
      </c>
      <c r="E282" s="971">
        <f>E283</f>
        <v>11992501.41</v>
      </c>
      <c r="F282" s="972">
        <f t="shared" ref="F282:G282" si="233">F283</f>
        <v>11992501.41</v>
      </c>
      <c r="G282" s="972">
        <f t="shared" si="233"/>
        <v>0</v>
      </c>
      <c r="H282" s="972">
        <f>H283</f>
        <v>0</v>
      </c>
      <c r="I282" s="972">
        <f t="shared" ref="I282" si="234">I283</f>
        <v>0</v>
      </c>
      <c r="J282" s="971">
        <f>J283</f>
        <v>1209885</v>
      </c>
      <c r="K282" s="972">
        <f>K283</f>
        <v>1209885</v>
      </c>
      <c r="L282" s="972">
        <f>L283</f>
        <v>0</v>
      </c>
      <c r="M282" s="972">
        <f t="shared" ref="M282" si="235">M283</f>
        <v>0</v>
      </c>
      <c r="N282" s="971">
        <f>N283</f>
        <v>0</v>
      </c>
      <c r="O282" s="971">
        <f>O283</f>
        <v>1209885</v>
      </c>
      <c r="P282" s="972">
        <f t="shared" ref="P282" si="236">P283</f>
        <v>13202386.41</v>
      </c>
    </row>
    <row r="283" spans="1:18" ht="136.5" thickTop="1" thickBot="1" x14ac:dyDescent="0.25">
      <c r="A283" s="973" t="s">
        <v>181</v>
      </c>
      <c r="B283" s="973"/>
      <c r="C283" s="973"/>
      <c r="D283" s="974" t="s">
        <v>381</v>
      </c>
      <c r="E283" s="975">
        <f>E284+E292</f>
        <v>11992501.41</v>
      </c>
      <c r="F283" s="975">
        <f>F284+F292</f>
        <v>11992501.41</v>
      </c>
      <c r="G283" s="975">
        <f t="shared" ref="G283:O283" si="237">G284+G292</f>
        <v>0</v>
      </c>
      <c r="H283" s="975">
        <f t="shared" si="237"/>
        <v>0</v>
      </c>
      <c r="I283" s="975">
        <f t="shared" si="237"/>
        <v>0</v>
      </c>
      <c r="J283" s="975">
        <f t="shared" ref="J283:J291" si="238">L283+O283</f>
        <v>1209885</v>
      </c>
      <c r="K283" s="975">
        <f t="shared" si="237"/>
        <v>1209885</v>
      </c>
      <c r="L283" s="975">
        <f t="shared" si="237"/>
        <v>0</v>
      </c>
      <c r="M283" s="975">
        <f t="shared" si="237"/>
        <v>0</v>
      </c>
      <c r="N283" s="975">
        <f t="shared" si="237"/>
        <v>0</v>
      </c>
      <c r="O283" s="975">
        <f t="shared" si="237"/>
        <v>1209885</v>
      </c>
      <c r="P283" s="976">
        <f t="shared" ref="P283:P291" si="239">E283+J283</f>
        <v>13202386.41</v>
      </c>
      <c r="Q283" s="125" t="b">
        <f>P283=P288+P289+P291+P294+P286</f>
        <v>1</v>
      </c>
      <c r="R283" s="930" t="b">
        <f>K283=[1]d6!J269</f>
        <v>1</v>
      </c>
    </row>
    <row r="284" spans="1:18" ht="47.25" thickTop="1" thickBot="1" x14ac:dyDescent="0.25">
      <c r="A284" s="173" t="s">
        <v>992</v>
      </c>
      <c r="B284" s="173" t="s">
        <v>908</v>
      </c>
      <c r="C284" s="927"/>
      <c r="D284" s="173" t="s">
        <v>955</v>
      </c>
      <c r="E284" s="470">
        <f t="shared" ref="E284:P284" si="240">E287+E285</f>
        <v>10292501.41</v>
      </c>
      <c r="F284" s="470">
        <f t="shared" si="240"/>
        <v>10292501.41</v>
      </c>
      <c r="G284" s="470">
        <f t="shared" si="240"/>
        <v>0</v>
      </c>
      <c r="H284" s="470">
        <f t="shared" si="240"/>
        <v>0</v>
      </c>
      <c r="I284" s="470">
        <f t="shared" si="240"/>
        <v>0</v>
      </c>
      <c r="J284" s="470">
        <f t="shared" si="240"/>
        <v>209885</v>
      </c>
      <c r="K284" s="470">
        <f t="shared" si="240"/>
        <v>209885</v>
      </c>
      <c r="L284" s="470">
        <f t="shared" si="240"/>
        <v>0</v>
      </c>
      <c r="M284" s="470">
        <f t="shared" si="240"/>
        <v>0</v>
      </c>
      <c r="N284" s="470">
        <f t="shared" si="240"/>
        <v>0</v>
      </c>
      <c r="O284" s="470">
        <f t="shared" si="240"/>
        <v>209885</v>
      </c>
      <c r="P284" s="470">
        <f t="shared" si="240"/>
        <v>10502386.41</v>
      </c>
      <c r="Q284" s="125"/>
      <c r="R284" s="930"/>
    </row>
    <row r="285" spans="1:18" ht="91.5" thickTop="1" thickBot="1" x14ac:dyDescent="0.25">
      <c r="A285" s="450" t="s">
        <v>1344</v>
      </c>
      <c r="B285" s="450" t="s">
        <v>964</v>
      </c>
      <c r="C285" s="450"/>
      <c r="D285" s="450" t="s">
        <v>965</v>
      </c>
      <c r="E285" s="471">
        <f>E286</f>
        <v>70000</v>
      </c>
      <c r="F285" s="471">
        <f>F286</f>
        <v>70000</v>
      </c>
      <c r="G285" s="471">
        <f t="shared" ref="G285:O285" si="241">G286</f>
        <v>0</v>
      </c>
      <c r="H285" s="471">
        <f t="shared" si="241"/>
        <v>0</v>
      </c>
      <c r="I285" s="471">
        <f t="shared" si="241"/>
        <v>0</v>
      </c>
      <c r="J285" s="471">
        <f t="shared" si="241"/>
        <v>0</v>
      </c>
      <c r="K285" s="471">
        <f t="shared" si="241"/>
        <v>0</v>
      </c>
      <c r="L285" s="471">
        <f t="shared" si="241"/>
        <v>0</v>
      </c>
      <c r="M285" s="471">
        <f t="shared" si="241"/>
        <v>0</v>
      </c>
      <c r="N285" s="471">
        <f t="shared" si="241"/>
        <v>0</v>
      </c>
      <c r="O285" s="471">
        <f t="shared" si="241"/>
        <v>0</v>
      </c>
      <c r="P285" s="471">
        <f>P286</f>
        <v>70000</v>
      </c>
      <c r="Q285" s="125"/>
      <c r="R285" s="930"/>
    </row>
    <row r="286" spans="1:18" ht="138.75" thickTop="1" thickBot="1" x14ac:dyDescent="0.25">
      <c r="A286" s="927" t="s">
        <v>1345</v>
      </c>
      <c r="B286" s="927" t="s">
        <v>376</v>
      </c>
      <c r="C286" s="927" t="s">
        <v>184</v>
      </c>
      <c r="D286" s="927" t="s">
        <v>280</v>
      </c>
      <c r="E286" s="928">
        <f t="shared" ref="E286" si="242">F286</f>
        <v>70000</v>
      </c>
      <c r="F286" s="323">
        <v>70000</v>
      </c>
      <c r="G286" s="323"/>
      <c r="H286" s="323"/>
      <c r="I286" s="323"/>
      <c r="J286" s="928">
        <f t="shared" ref="J286" si="243">L286+O286</f>
        <v>0</v>
      </c>
      <c r="K286" s="323"/>
      <c r="L286" s="323"/>
      <c r="M286" s="323"/>
      <c r="N286" s="323"/>
      <c r="O286" s="977">
        <f>K286</f>
        <v>0</v>
      </c>
      <c r="P286" s="928">
        <f t="shared" ref="P286" si="244">E286+J286</f>
        <v>70000</v>
      </c>
      <c r="Q286" s="125"/>
      <c r="R286" s="930"/>
    </row>
    <row r="287" spans="1:18" ht="136.5" thickTop="1" thickBot="1" x14ac:dyDescent="0.25">
      <c r="A287" s="450" t="s">
        <v>993</v>
      </c>
      <c r="B287" s="450" t="s">
        <v>850</v>
      </c>
      <c r="C287" s="450"/>
      <c r="D287" s="450" t="s">
        <v>848</v>
      </c>
      <c r="E287" s="471">
        <f>SUM(E288:E291)-E290</f>
        <v>10222501.41</v>
      </c>
      <c r="F287" s="471">
        <f t="shared" ref="F287:P287" si="245">SUM(F288:F291)-F290</f>
        <v>10222501.41</v>
      </c>
      <c r="G287" s="471">
        <f t="shared" si="245"/>
        <v>0</v>
      </c>
      <c r="H287" s="471">
        <f t="shared" si="245"/>
        <v>0</v>
      </c>
      <c r="I287" s="471">
        <f t="shared" si="245"/>
        <v>0</v>
      </c>
      <c r="J287" s="471">
        <f t="shared" si="245"/>
        <v>209885</v>
      </c>
      <c r="K287" s="471">
        <f t="shared" si="245"/>
        <v>209885</v>
      </c>
      <c r="L287" s="471">
        <f t="shared" si="245"/>
        <v>0</v>
      </c>
      <c r="M287" s="471">
        <f t="shared" si="245"/>
        <v>0</v>
      </c>
      <c r="N287" s="471">
        <f t="shared" si="245"/>
        <v>0</v>
      </c>
      <c r="O287" s="471">
        <f t="shared" si="245"/>
        <v>209885</v>
      </c>
      <c r="P287" s="471">
        <f t="shared" si="245"/>
        <v>10432386.41</v>
      </c>
      <c r="Q287" s="125"/>
      <c r="R287" s="930"/>
    </row>
    <row r="288" spans="1:18" ht="93" thickTop="1" thickBot="1" x14ac:dyDescent="0.25">
      <c r="A288" s="927" t="s">
        <v>278</v>
      </c>
      <c r="B288" s="927" t="s">
        <v>279</v>
      </c>
      <c r="C288" s="927" t="s">
        <v>277</v>
      </c>
      <c r="D288" s="927" t="s">
        <v>276</v>
      </c>
      <c r="E288" s="928">
        <f t="shared" ref="E288:E291" si="246">F288</f>
        <v>4602230</v>
      </c>
      <c r="F288" s="323">
        <f>-490000+300000+((5588200)-795970)</f>
        <v>4602230</v>
      </c>
      <c r="G288" s="323"/>
      <c r="H288" s="323"/>
      <c r="I288" s="323"/>
      <c r="J288" s="928">
        <f t="shared" si="238"/>
        <v>0</v>
      </c>
      <c r="K288" s="323"/>
      <c r="L288" s="323"/>
      <c r="M288" s="323"/>
      <c r="N288" s="323"/>
      <c r="O288" s="977">
        <f>K288</f>
        <v>0</v>
      </c>
      <c r="P288" s="928">
        <f t="shared" si="239"/>
        <v>4602230</v>
      </c>
      <c r="R288" s="930"/>
    </row>
    <row r="289" spans="1:18" ht="138.75" thickTop="1" thickBot="1" x14ac:dyDescent="0.25">
      <c r="A289" s="927" t="s">
        <v>270</v>
      </c>
      <c r="B289" s="927" t="s">
        <v>272</v>
      </c>
      <c r="C289" s="927" t="s">
        <v>231</v>
      </c>
      <c r="D289" s="927" t="s">
        <v>271</v>
      </c>
      <c r="E289" s="928">
        <f t="shared" si="246"/>
        <v>1235000</v>
      </c>
      <c r="F289" s="323">
        <f>(745000)+490000</f>
        <v>1235000</v>
      </c>
      <c r="G289" s="323"/>
      <c r="H289" s="323"/>
      <c r="I289" s="323"/>
      <c r="J289" s="928">
        <f t="shared" si="238"/>
        <v>0</v>
      </c>
      <c r="K289" s="323"/>
      <c r="L289" s="323"/>
      <c r="M289" s="323"/>
      <c r="N289" s="323"/>
      <c r="O289" s="977">
        <f>K289</f>
        <v>0</v>
      </c>
      <c r="P289" s="928">
        <f t="shared" si="239"/>
        <v>1235000</v>
      </c>
      <c r="R289" s="930"/>
    </row>
    <row r="290" spans="1:18" ht="48" thickTop="1" thickBot="1" x14ac:dyDescent="0.25">
      <c r="A290" s="445" t="s">
        <v>994</v>
      </c>
      <c r="B290" s="445" t="s">
        <v>853</v>
      </c>
      <c r="C290" s="445"/>
      <c r="D290" s="445" t="s">
        <v>851</v>
      </c>
      <c r="E290" s="446">
        <f>E291</f>
        <v>4385271.41</v>
      </c>
      <c r="F290" s="446">
        <f t="shared" ref="F290:P290" si="247">F291</f>
        <v>4385271.41</v>
      </c>
      <c r="G290" s="446">
        <f t="shared" si="247"/>
        <v>0</v>
      </c>
      <c r="H290" s="446">
        <f t="shared" si="247"/>
        <v>0</v>
      </c>
      <c r="I290" s="446">
        <f t="shared" si="247"/>
        <v>0</v>
      </c>
      <c r="J290" s="446">
        <f t="shared" si="247"/>
        <v>209885</v>
      </c>
      <c r="K290" s="446">
        <f t="shared" si="247"/>
        <v>209885</v>
      </c>
      <c r="L290" s="446">
        <f t="shared" si="247"/>
        <v>0</v>
      </c>
      <c r="M290" s="446">
        <f t="shared" si="247"/>
        <v>0</v>
      </c>
      <c r="N290" s="446">
        <f t="shared" si="247"/>
        <v>0</v>
      </c>
      <c r="O290" s="446">
        <f t="shared" si="247"/>
        <v>209885</v>
      </c>
      <c r="P290" s="446">
        <f t="shared" si="247"/>
        <v>4595156.41</v>
      </c>
      <c r="R290" s="930"/>
    </row>
    <row r="291" spans="1:18" ht="93" thickTop="1" thickBot="1" x14ac:dyDescent="0.25">
      <c r="A291" s="927" t="s">
        <v>274</v>
      </c>
      <c r="B291" s="927" t="s">
        <v>275</v>
      </c>
      <c r="C291" s="927" t="s">
        <v>184</v>
      </c>
      <c r="D291" s="927" t="s">
        <v>273</v>
      </c>
      <c r="E291" s="928">
        <f t="shared" si="246"/>
        <v>4385271.41</v>
      </c>
      <c r="F291" s="323">
        <f>500000+1500000+(30296+105938+(800000+2049580)-1600542.59+300000+700000)</f>
        <v>4385271.41</v>
      </c>
      <c r="G291" s="323"/>
      <c r="H291" s="323"/>
      <c r="I291" s="323"/>
      <c r="J291" s="928">
        <f t="shared" si="238"/>
        <v>209885</v>
      </c>
      <c r="K291" s="323">
        <f>(400000)-190115</f>
        <v>209885</v>
      </c>
      <c r="L291" s="323"/>
      <c r="M291" s="323"/>
      <c r="N291" s="323"/>
      <c r="O291" s="977">
        <f>K291</f>
        <v>209885</v>
      </c>
      <c r="P291" s="928">
        <f t="shared" si="239"/>
        <v>4595156.41</v>
      </c>
      <c r="R291" s="930" t="b">
        <f>K291=[1]d6!J270</f>
        <v>1</v>
      </c>
    </row>
    <row r="292" spans="1:18" ht="47.25" thickTop="1" thickBot="1" x14ac:dyDescent="0.25">
      <c r="A292" s="173" t="s">
        <v>1102</v>
      </c>
      <c r="B292" s="173" t="s">
        <v>861</v>
      </c>
      <c r="C292" s="173"/>
      <c r="D292" s="173" t="s">
        <v>862</v>
      </c>
      <c r="E292" s="928">
        <f>E293</f>
        <v>1700000</v>
      </c>
      <c r="F292" s="928">
        <f t="shared" ref="F292:P293" si="248">F293</f>
        <v>1700000</v>
      </c>
      <c r="G292" s="928">
        <f t="shared" si="248"/>
        <v>0</v>
      </c>
      <c r="H292" s="928">
        <f t="shared" si="248"/>
        <v>0</v>
      </c>
      <c r="I292" s="928">
        <f t="shared" si="248"/>
        <v>0</v>
      </c>
      <c r="J292" s="928">
        <f t="shared" si="248"/>
        <v>1000000</v>
      </c>
      <c r="K292" s="928">
        <f t="shared" si="248"/>
        <v>1000000</v>
      </c>
      <c r="L292" s="928">
        <f t="shared" si="248"/>
        <v>0</v>
      </c>
      <c r="M292" s="928">
        <f t="shared" si="248"/>
        <v>0</v>
      </c>
      <c r="N292" s="928">
        <f t="shared" si="248"/>
        <v>0</v>
      </c>
      <c r="O292" s="928">
        <f t="shared" si="248"/>
        <v>1000000</v>
      </c>
      <c r="P292" s="928">
        <f t="shared" si="248"/>
        <v>2700000</v>
      </c>
      <c r="R292" s="930"/>
    </row>
    <row r="293" spans="1:18" ht="271.5" thickTop="1" thickBot="1" x14ac:dyDescent="0.25">
      <c r="A293" s="450" t="s">
        <v>1103</v>
      </c>
      <c r="B293" s="450" t="s">
        <v>864</v>
      </c>
      <c r="C293" s="450"/>
      <c r="D293" s="450" t="s">
        <v>865</v>
      </c>
      <c r="E293" s="448">
        <f>E294</f>
        <v>1700000</v>
      </c>
      <c r="F293" s="448">
        <f t="shared" si="248"/>
        <v>1700000</v>
      </c>
      <c r="G293" s="448">
        <f t="shared" si="248"/>
        <v>0</v>
      </c>
      <c r="H293" s="448">
        <f t="shared" si="248"/>
        <v>0</v>
      </c>
      <c r="I293" s="448">
        <f t="shared" si="248"/>
        <v>0</v>
      </c>
      <c r="J293" s="448">
        <f t="shared" si="248"/>
        <v>1000000</v>
      </c>
      <c r="K293" s="448">
        <f t="shared" si="248"/>
        <v>1000000</v>
      </c>
      <c r="L293" s="448">
        <f t="shared" si="248"/>
        <v>0</v>
      </c>
      <c r="M293" s="448">
        <f t="shared" si="248"/>
        <v>0</v>
      </c>
      <c r="N293" s="448">
        <f t="shared" si="248"/>
        <v>0</v>
      </c>
      <c r="O293" s="448">
        <f t="shared" si="248"/>
        <v>1000000</v>
      </c>
      <c r="P293" s="448">
        <f t="shared" si="248"/>
        <v>2700000</v>
      </c>
      <c r="R293" s="930"/>
    </row>
    <row r="294" spans="1:18" ht="93" thickTop="1" thickBot="1" x14ac:dyDescent="0.25">
      <c r="A294" s="927" t="s">
        <v>1104</v>
      </c>
      <c r="B294" s="927" t="s">
        <v>389</v>
      </c>
      <c r="C294" s="927" t="s">
        <v>45</v>
      </c>
      <c r="D294" s="927" t="s">
        <v>390</v>
      </c>
      <c r="E294" s="928">
        <f t="shared" ref="E294" si="249">F294</f>
        <v>1700000</v>
      </c>
      <c r="F294" s="323">
        <f>(700000)+1000000</f>
        <v>1700000</v>
      </c>
      <c r="G294" s="323"/>
      <c r="H294" s="323"/>
      <c r="I294" s="323"/>
      <c r="J294" s="928">
        <f>L294+O294</f>
        <v>1000000</v>
      </c>
      <c r="K294" s="323">
        <f>(1000000)</f>
        <v>1000000</v>
      </c>
      <c r="L294" s="323"/>
      <c r="M294" s="323"/>
      <c r="N294" s="323"/>
      <c r="O294" s="977">
        <f>K294</f>
        <v>1000000</v>
      </c>
      <c r="P294" s="928">
        <f>E294+J294</f>
        <v>2700000</v>
      </c>
      <c r="R294" s="930" t="b">
        <f>K294=[1]d6!J271</f>
        <v>1</v>
      </c>
    </row>
    <row r="295" spans="1:18" ht="226.5" thickTop="1" thickBot="1" x14ac:dyDescent="0.25">
      <c r="A295" s="969" t="s">
        <v>178</v>
      </c>
      <c r="B295" s="969"/>
      <c r="C295" s="969"/>
      <c r="D295" s="970" t="s">
        <v>1061</v>
      </c>
      <c r="E295" s="971">
        <f>E296</f>
        <v>5984385</v>
      </c>
      <c r="F295" s="972">
        <f t="shared" ref="F295:G295" si="250">F296</f>
        <v>5984385</v>
      </c>
      <c r="G295" s="972">
        <f t="shared" si="250"/>
        <v>4608055</v>
      </c>
      <c r="H295" s="972">
        <f>H296</f>
        <v>103700</v>
      </c>
      <c r="I295" s="972">
        <f t="shared" ref="I295" si="251">I296</f>
        <v>0</v>
      </c>
      <c r="J295" s="971">
        <f>J296</f>
        <v>3249138.96</v>
      </c>
      <c r="K295" s="972">
        <f>K296</f>
        <v>64000</v>
      </c>
      <c r="L295" s="972">
        <f>L296</f>
        <v>1485138.96</v>
      </c>
      <c r="M295" s="972">
        <f t="shared" ref="M295" si="252">M296</f>
        <v>0</v>
      </c>
      <c r="N295" s="971">
        <f>N296</f>
        <v>0</v>
      </c>
      <c r="O295" s="971">
        <f>O296</f>
        <v>1764000</v>
      </c>
      <c r="P295" s="972">
        <f t="shared" ref="P295" si="253">P296</f>
        <v>9233523.9600000009</v>
      </c>
    </row>
    <row r="296" spans="1:18" ht="181.5" thickTop="1" thickBot="1" x14ac:dyDescent="0.25">
      <c r="A296" s="973" t="s">
        <v>179</v>
      </c>
      <c r="B296" s="973"/>
      <c r="C296" s="973"/>
      <c r="D296" s="974" t="s">
        <v>1060</v>
      </c>
      <c r="E296" s="975">
        <f>E297+E300</f>
        <v>5984385</v>
      </c>
      <c r="F296" s="975">
        <f t="shared" ref="F296:I296" si="254">F297+F300</f>
        <v>5984385</v>
      </c>
      <c r="G296" s="975">
        <f t="shared" si="254"/>
        <v>4608055</v>
      </c>
      <c r="H296" s="975">
        <f t="shared" si="254"/>
        <v>103700</v>
      </c>
      <c r="I296" s="975">
        <f t="shared" si="254"/>
        <v>0</v>
      </c>
      <c r="J296" s="975">
        <f>L296+O296</f>
        <v>3249138.96</v>
      </c>
      <c r="K296" s="975">
        <f t="shared" ref="K296:O296" si="255">K297+K300</f>
        <v>64000</v>
      </c>
      <c r="L296" s="975">
        <f t="shared" si="255"/>
        <v>1485138.96</v>
      </c>
      <c r="M296" s="975">
        <f t="shared" si="255"/>
        <v>0</v>
      </c>
      <c r="N296" s="975">
        <f t="shared" si="255"/>
        <v>0</v>
      </c>
      <c r="O296" s="975">
        <f t="shared" si="255"/>
        <v>1764000</v>
      </c>
      <c r="P296" s="976">
        <f t="shared" ref="P296:P306" si="256">E296+J296</f>
        <v>9233523.9600000009</v>
      </c>
      <c r="Q296" s="125" t="b">
        <f>P296=P303+P306+P298+P304+P305+P299</f>
        <v>1</v>
      </c>
      <c r="R296" s="930" t="b">
        <f>K296=[1]d6!J272</f>
        <v>1</v>
      </c>
    </row>
    <row r="297" spans="1:18" ht="47.25" thickTop="1" thickBot="1" x14ac:dyDescent="0.25">
      <c r="A297" s="173" t="s">
        <v>995</v>
      </c>
      <c r="B297" s="173" t="s">
        <v>843</v>
      </c>
      <c r="C297" s="173"/>
      <c r="D297" s="173" t="s">
        <v>844</v>
      </c>
      <c r="E297" s="928">
        <f>SUM(E298:E299)</f>
        <v>5984385</v>
      </c>
      <c r="F297" s="928">
        <f t="shared" ref="F297:N297" si="257">SUM(F298:F299)</f>
        <v>5984385</v>
      </c>
      <c r="G297" s="928">
        <f t="shared" si="257"/>
        <v>4608055</v>
      </c>
      <c r="H297" s="928">
        <f t="shared" si="257"/>
        <v>103700</v>
      </c>
      <c r="I297" s="928">
        <f t="shared" si="257"/>
        <v>0</v>
      </c>
      <c r="J297" s="928">
        <f t="shared" si="257"/>
        <v>64000</v>
      </c>
      <c r="K297" s="928">
        <f t="shared" si="257"/>
        <v>64000</v>
      </c>
      <c r="L297" s="928">
        <f t="shared" si="257"/>
        <v>0</v>
      </c>
      <c r="M297" s="928">
        <f t="shared" si="257"/>
        <v>0</v>
      </c>
      <c r="N297" s="928">
        <f t="shared" si="257"/>
        <v>0</v>
      </c>
      <c r="O297" s="928">
        <f>SUM(O298:O299)</f>
        <v>64000</v>
      </c>
      <c r="P297" s="928">
        <f t="shared" ref="P297" si="258">SUM(P298:P299)</f>
        <v>6048385</v>
      </c>
      <c r="Q297" s="125"/>
      <c r="R297" s="930"/>
    </row>
    <row r="298" spans="1:18" s="99" customFormat="1" ht="230.25" thickTop="1" thickBot="1" x14ac:dyDescent="0.25">
      <c r="A298" s="927" t="s">
        <v>450</v>
      </c>
      <c r="B298" s="927" t="s">
        <v>254</v>
      </c>
      <c r="C298" s="927" t="s">
        <v>252</v>
      </c>
      <c r="D298" s="927" t="s">
        <v>253</v>
      </c>
      <c r="E298" s="928">
        <f>F298</f>
        <v>5979385</v>
      </c>
      <c r="F298" s="323">
        <f>(5984385-5000)</f>
        <v>5979385</v>
      </c>
      <c r="G298" s="323">
        <v>4608055</v>
      </c>
      <c r="H298" s="323">
        <f>(70880+8160+21000+3660)</f>
        <v>103700</v>
      </c>
      <c r="I298" s="323"/>
      <c r="J298" s="928">
        <f t="shared" ref="J298:J306" si="259">L298+O298</f>
        <v>64000</v>
      </c>
      <c r="K298" s="323">
        <f>(18000)+46000</f>
        <v>64000</v>
      </c>
      <c r="L298" s="323"/>
      <c r="M298" s="323"/>
      <c r="N298" s="323"/>
      <c r="O298" s="977">
        <f>K298</f>
        <v>64000</v>
      </c>
      <c r="P298" s="928">
        <f t="shared" si="256"/>
        <v>6043385</v>
      </c>
      <c r="Q298" s="258"/>
      <c r="R298" s="930" t="b">
        <f>K298=[1]d6!J274</f>
        <v>1</v>
      </c>
    </row>
    <row r="299" spans="1:18" s="99" customFormat="1" ht="184.5" thickTop="1" thickBot="1" x14ac:dyDescent="0.25">
      <c r="A299" s="927" t="s">
        <v>791</v>
      </c>
      <c r="B299" s="927" t="s">
        <v>388</v>
      </c>
      <c r="C299" s="927" t="s">
        <v>778</v>
      </c>
      <c r="D299" s="927" t="s">
        <v>779</v>
      </c>
      <c r="E299" s="324">
        <f>F299</f>
        <v>5000</v>
      </c>
      <c r="F299" s="170">
        <v>5000</v>
      </c>
      <c r="G299" s="170"/>
      <c r="H299" s="170"/>
      <c r="I299" s="170"/>
      <c r="J299" s="928">
        <f t="shared" si="259"/>
        <v>0</v>
      </c>
      <c r="K299" s="170"/>
      <c r="L299" s="847"/>
      <c r="M299" s="847"/>
      <c r="N299" s="847"/>
      <c r="O299" s="977">
        <f t="shared" ref="O299" si="260">K299</f>
        <v>0</v>
      </c>
      <c r="P299" s="928">
        <f t="shared" ref="P299" si="261">+J299+E299</f>
        <v>5000</v>
      </c>
      <c r="Q299" s="258"/>
      <c r="R299" s="930"/>
    </row>
    <row r="300" spans="1:18" s="99" customFormat="1" ht="47.25" thickTop="1" thickBot="1" x14ac:dyDescent="0.25">
      <c r="A300" s="173" t="s">
        <v>996</v>
      </c>
      <c r="B300" s="173" t="s">
        <v>855</v>
      </c>
      <c r="C300" s="173"/>
      <c r="D300" s="173" t="s">
        <v>856</v>
      </c>
      <c r="E300" s="324">
        <f>E301</f>
        <v>0</v>
      </c>
      <c r="F300" s="324">
        <f t="shared" ref="F300:P300" si="262">F301</f>
        <v>0</v>
      </c>
      <c r="G300" s="324">
        <f t="shared" si="262"/>
        <v>0</v>
      </c>
      <c r="H300" s="324">
        <f t="shared" si="262"/>
        <v>0</v>
      </c>
      <c r="I300" s="324">
        <f t="shared" si="262"/>
        <v>0</v>
      </c>
      <c r="J300" s="324">
        <f t="shared" si="262"/>
        <v>3185138.96</v>
      </c>
      <c r="K300" s="324">
        <f t="shared" si="262"/>
        <v>0</v>
      </c>
      <c r="L300" s="324">
        <f t="shared" si="262"/>
        <v>1485138.96</v>
      </c>
      <c r="M300" s="324">
        <f t="shared" si="262"/>
        <v>0</v>
      </c>
      <c r="N300" s="324">
        <f t="shared" si="262"/>
        <v>0</v>
      </c>
      <c r="O300" s="324">
        <f t="shared" si="262"/>
        <v>1700000</v>
      </c>
      <c r="P300" s="324">
        <f t="shared" si="262"/>
        <v>3185138.96</v>
      </c>
      <c r="Q300" s="258"/>
      <c r="R300" s="930"/>
    </row>
    <row r="301" spans="1:18" s="99" customFormat="1" ht="91.5" thickTop="1" thickBot="1" x14ac:dyDescent="0.25">
      <c r="A301" s="450" t="s">
        <v>997</v>
      </c>
      <c r="B301" s="450" t="s">
        <v>998</v>
      </c>
      <c r="C301" s="450"/>
      <c r="D301" s="450" t="s">
        <v>999</v>
      </c>
      <c r="E301" s="463">
        <f>SUM(E302:E306)-E302</f>
        <v>0</v>
      </c>
      <c r="F301" s="463">
        <f t="shared" ref="F301:P301" si="263">SUM(F302:F306)-F302</f>
        <v>0</v>
      </c>
      <c r="G301" s="463">
        <f t="shared" si="263"/>
        <v>0</v>
      </c>
      <c r="H301" s="463">
        <f t="shared" si="263"/>
        <v>0</v>
      </c>
      <c r="I301" s="463">
        <f t="shared" si="263"/>
        <v>0</v>
      </c>
      <c r="J301" s="463">
        <f t="shared" si="263"/>
        <v>3185138.96</v>
      </c>
      <c r="K301" s="463">
        <f t="shared" si="263"/>
        <v>0</v>
      </c>
      <c r="L301" s="463">
        <f t="shared" si="263"/>
        <v>1485138.96</v>
      </c>
      <c r="M301" s="463">
        <f t="shared" si="263"/>
        <v>0</v>
      </c>
      <c r="N301" s="463">
        <f t="shared" si="263"/>
        <v>0</v>
      </c>
      <c r="O301" s="463">
        <f t="shared" si="263"/>
        <v>1700000</v>
      </c>
      <c r="P301" s="463">
        <f t="shared" si="263"/>
        <v>3185138.96</v>
      </c>
      <c r="Q301" s="258"/>
      <c r="R301" s="930"/>
    </row>
    <row r="302" spans="1:18" s="99" customFormat="1" ht="138.75" thickTop="1" thickBot="1" x14ac:dyDescent="0.25">
      <c r="A302" s="445" t="s">
        <v>1000</v>
      </c>
      <c r="B302" s="445" t="s">
        <v>1001</v>
      </c>
      <c r="C302" s="445"/>
      <c r="D302" s="445" t="s">
        <v>1002</v>
      </c>
      <c r="E302" s="464">
        <f>SUM(E303:E304)</f>
        <v>0</v>
      </c>
      <c r="F302" s="464">
        <f t="shared" ref="F302:P302" si="264">SUM(F303:F304)</f>
        <v>0</v>
      </c>
      <c r="G302" s="464">
        <f t="shared" si="264"/>
        <v>0</v>
      </c>
      <c r="H302" s="464">
        <f t="shared" si="264"/>
        <v>0</v>
      </c>
      <c r="I302" s="464">
        <f t="shared" si="264"/>
        <v>0</v>
      </c>
      <c r="J302" s="464">
        <f t="shared" si="264"/>
        <v>765138.96</v>
      </c>
      <c r="K302" s="464">
        <f t="shared" si="264"/>
        <v>0</v>
      </c>
      <c r="L302" s="464">
        <f t="shared" si="264"/>
        <v>765138.96</v>
      </c>
      <c r="M302" s="464">
        <f t="shared" si="264"/>
        <v>0</v>
      </c>
      <c r="N302" s="464">
        <f t="shared" si="264"/>
        <v>0</v>
      </c>
      <c r="O302" s="464">
        <f t="shared" si="264"/>
        <v>0</v>
      </c>
      <c r="P302" s="464">
        <f t="shared" si="264"/>
        <v>765138.96</v>
      </c>
      <c r="Q302" s="258"/>
      <c r="R302" s="930"/>
    </row>
    <row r="303" spans="1:18" s="99" customFormat="1" ht="138.75" thickTop="1" thickBot="1" x14ac:dyDescent="0.25">
      <c r="A303" s="927" t="s">
        <v>328</v>
      </c>
      <c r="B303" s="927" t="s">
        <v>329</v>
      </c>
      <c r="C303" s="927" t="s">
        <v>54</v>
      </c>
      <c r="D303" s="927" t="s">
        <v>55</v>
      </c>
      <c r="E303" s="928">
        <f t="shared" ref="E303:E305" si="265">F303</f>
        <v>0</v>
      </c>
      <c r="F303" s="323"/>
      <c r="G303" s="323"/>
      <c r="H303" s="323"/>
      <c r="I303" s="323"/>
      <c r="J303" s="928">
        <f t="shared" si="259"/>
        <v>403900</v>
      </c>
      <c r="K303" s="323"/>
      <c r="L303" s="323">
        <f>(248900)+155000</f>
        <v>403900</v>
      </c>
      <c r="M303" s="323"/>
      <c r="N303" s="323"/>
      <c r="O303" s="977">
        <f t="shared" ref="O303:O304" si="266">K303</f>
        <v>0</v>
      </c>
      <c r="P303" s="928">
        <f t="shared" si="256"/>
        <v>403900</v>
      </c>
      <c r="Q303" s="125" t="b">
        <f>J303=[1]d9!F13+[1]d9!F14+[1]d9!F15+[1]d9!F16</f>
        <v>1</v>
      </c>
      <c r="R303" s="201"/>
    </row>
    <row r="304" spans="1:18" s="99" customFormat="1" ht="48" thickTop="1" thickBot="1" x14ac:dyDescent="0.25">
      <c r="A304" s="927" t="s">
        <v>508</v>
      </c>
      <c r="B304" s="927" t="s">
        <v>509</v>
      </c>
      <c r="C304" s="927" t="s">
        <v>507</v>
      </c>
      <c r="D304" s="927" t="s">
        <v>510</v>
      </c>
      <c r="E304" s="928">
        <f t="shared" si="265"/>
        <v>0</v>
      </c>
      <c r="F304" s="323"/>
      <c r="G304" s="323"/>
      <c r="H304" s="323"/>
      <c r="I304" s="323"/>
      <c r="J304" s="928">
        <f t="shared" si="259"/>
        <v>361238.96</v>
      </c>
      <c r="K304" s="323"/>
      <c r="L304" s="323">
        <f>(70000)+291238.96</f>
        <v>361238.96</v>
      </c>
      <c r="M304" s="323"/>
      <c r="N304" s="323"/>
      <c r="O304" s="977">
        <f t="shared" si="266"/>
        <v>0</v>
      </c>
      <c r="P304" s="928">
        <f t="shared" si="256"/>
        <v>361238.96</v>
      </c>
      <c r="Q304" s="125" t="b">
        <f>J304=[1]d9!F17+[1]d9!F18</f>
        <v>1</v>
      </c>
      <c r="R304" s="201"/>
    </row>
    <row r="305" spans="1:19" s="99" customFormat="1" ht="93" thickTop="1" thickBot="1" x14ac:dyDescent="0.25">
      <c r="A305" s="927" t="s">
        <v>569</v>
      </c>
      <c r="B305" s="927" t="s">
        <v>567</v>
      </c>
      <c r="C305" s="927" t="s">
        <v>570</v>
      </c>
      <c r="D305" s="927" t="s">
        <v>568</v>
      </c>
      <c r="E305" s="928">
        <f t="shared" si="265"/>
        <v>0</v>
      </c>
      <c r="F305" s="323"/>
      <c r="G305" s="323"/>
      <c r="H305" s="323"/>
      <c r="I305" s="323"/>
      <c r="J305" s="928">
        <f t="shared" si="259"/>
        <v>175000</v>
      </c>
      <c r="K305" s="323"/>
      <c r="L305" s="323">
        <f>(125000)+50000</f>
        <v>175000</v>
      </c>
      <c r="M305" s="323"/>
      <c r="N305" s="323"/>
      <c r="O305" s="977">
        <f>K305</f>
        <v>0</v>
      </c>
      <c r="P305" s="928">
        <f t="shared" si="256"/>
        <v>175000</v>
      </c>
      <c r="Q305" s="125" t="b">
        <f>J305=[1]d9!F19+[1]d9!F20+[1]d9!F21</f>
        <v>1</v>
      </c>
      <c r="R305" s="201"/>
    </row>
    <row r="306" spans="1:19" s="99" customFormat="1" ht="93" thickTop="1" thickBot="1" x14ac:dyDescent="0.25">
      <c r="A306" s="927" t="s">
        <v>330</v>
      </c>
      <c r="B306" s="927" t="s">
        <v>331</v>
      </c>
      <c r="C306" s="927" t="s">
        <v>56</v>
      </c>
      <c r="D306" s="927" t="s">
        <v>511</v>
      </c>
      <c r="E306" s="928">
        <v>0</v>
      </c>
      <c r="F306" s="323"/>
      <c r="G306" s="323"/>
      <c r="H306" s="323"/>
      <c r="I306" s="323"/>
      <c r="J306" s="928">
        <f t="shared" si="259"/>
        <v>2245000</v>
      </c>
      <c r="K306" s="928"/>
      <c r="L306" s="323">
        <f>(187000)+358000</f>
        <v>545000</v>
      </c>
      <c r="M306" s="323"/>
      <c r="N306" s="323"/>
      <c r="O306" s="977">
        <f>K306+1700000</f>
        <v>1700000</v>
      </c>
      <c r="P306" s="928">
        <f t="shared" si="256"/>
        <v>2245000</v>
      </c>
      <c r="Q306" s="125" t="b">
        <f>J306=[1]d9!F22+[1]d9!F23+[1]d9!F24+[1]d9!F25+[1]d9!F26+[1]d9!F27+[1]d9!F28+1700000</f>
        <v>1</v>
      </c>
      <c r="R306" s="201"/>
    </row>
    <row r="307" spans="1:19" ht="136.5" thickTop="1" thickBot="1" x14ac:dyDescent="0.25">
      <c r="A307" s="969" t="s">
        <v>176</v>
      </c>
      <c r="B307" s="969"/>
      <c r="C307" s="969"/>
      <c r="D307" s="970" t="s">
        <v>1073</v>
      </c>
      <c r="E307" s="971">
        <f>E308</f>
        <v>7074725</v>
      </c>
      <c r="F307" s="972">
        <f t="shared" ref="F307:G307" si="267">F308</f>
        <v>7074725</v>
      </c>
      <c r="G307" s="972">
        <f t="shared" si="267"/>
        <v>5311200</v>
      </c>
      <c r="H307" s="972">
        <f>H308</f>
        <v>72700</v>
      </c>
      <c r="I307" s="972">
        <f t="shared" ref="I307" si="268">I308</f>
        <v>0</v>
      </c>
      <c r="J307" s="971">
        <f>J308</f>
        <v>350000</v>
      </c>
      <c r="K307" s="972">
        <f>K308</f>
        <v>350000</v>
      </c>
      <c r="L307" s="972">
        <f>L308</f>
        <v>0</v>
      </c>
      <c r="M307" s="972">
        <f t="shared" ref="M307" si="269">M308</f>
        <v>0</v>
      </c>
      <c r="N307" s="971">
        <f>N308</f>
        <v>0</v>
      </c>
      <c r="O307" s="971">
        <f>O308</f>
        <v>350000</v>
      </c>
      <c r="P307" s="972">
        <f t="shared" ref="P307" si="270">P308</f>
        <v>7424725</v>
      </c>
    </row>
    <row r="308" spans="1:19" ht="181.5" thickTop="1" thickBot="1" x14ac:dyDescent="0.25">
      <c r="A308" s="973" t="s">
        <v>177</v>
      </c>
      <c r="B308" s="973"/>
      <c r="C308" s="973"/>
      <c r="D308" s="974" t="s">
        <v>1072</v>
      </c>
      <c r="E308" s="975">
        <f>E309+E311</f>
        <v>7074725</v>
      </c>
      <c r="F308" s="975">
        <f t="shared" ref="F308:I308" si="271">F309+F311</f>
        <v>7074725</v>
      </c>
      <c r="G308" s="975">
        <f t="shared" si="271"/>
        <v>5311200</v>
      </c>
      <c r="H308" s="975">
        <f t="shared" si="271"/>
        <v>72700</v>
      </c>
      <c r="I308" s="975">
        <f t="shared" si="271"/>
        <v>0</v>
      </c>
      <c r="J308" s="975">
        <f>L308+O308</f>
        <v>350000</v>
      </c>
      <c r="K308" s="975">
        <f t="shared" ref="K308:O308" si="272">K309+K311</f>
        <v>350000</v>
      </c>
      <c r="L308" s="975">
        <f t="shared" si="272"/>
        <v>0</v>
      </c>
      <c r="M308" s="975">
        <f t="shared" si="272"/>
        <v>0</v>
      </c>
      <c r="N308" s="975">
        <f t="shared" si="272"/>
        <v>0</v>
      </c>
      <c r="O308" s="975">
        <f t="shared" si="272"/>
        <v>350000</v>
      </c>
      <c r="P308" s="976">
        <f>E308+J308</f>
        <v>7424725</v>
      </c>
      <c r="Q308" s="125" t="b">
        <f>P308=P313+P315+P310</f>
        <v>1</v>
      </c>
      <c r="R308" s="125" t="b">
        <f>K308=[1]d6!J275</f>
        <v>1</v>
      </c>
    </row>
    <row r="309" spans="1:19" ht="47.25" thickTop="1" thickBot="1" x14ac:dyDescent="0.25">
      <c r="A309" s="173" t="s">
        <v>1003</v>
      </c>
      <c r="B309" s="173" t="s">
        <v>843</v>
      </c>
      <c r="C309" s="173"/>
      <c r="D309" s="173" t="s">
        <v>844</v>
      </c>
      <c r="E309" s="928">
        <f>SUM(E310)</f>
        <v>7074725</v>
      </c>
      <c r="F309" s="928">
        <f t="shared" ref="F309:P309" si="273">SUM(F310)</f>
        <v>7074725</v>
      </c>
      <c r="G309" s="928">
        <f t="shared" si="273"/>
        <v>5311200</v>
      </c>
      <c r="H309" s="928">
        <f t="shared" si="273"/>
        <v>72700</v>
      </c>
      <c r="I309" s="928">
        <f t="shared" si="273"/>
        <v>0</v>
      </c>
      <c r="J309" s="928">
        <f t="shared" si="273"/>
        <v>100000</v>
      </c>
      <c r="K309" s="928">
        <f t="shared" si="273"/>
        <v>100000</v>
      </c>
      <c r="L309" s="928">
        <f t="shared" si="273"/>
        <v>0</v>
      </c>
      <c r="M309" s="928">
        <f t="shared" si="273"/>
        <v>0</v>
      </c>
      <c r="N309" s="928">
        <f t="shared" si="273"/>
        <v>0</v>
      </c>
      <c r="O309" s="928">
        <f t="shared" si="273"/>
        <v>100000</v>
      </c>
      <c r="P309" s="928">
        <f t="shared" si="273"/>
        <v>7174725</v>
      </c>
      <c r="Q309" s="125"/>
      <c r="R309" s="125"/>
    </row>
    <row r="310" spans="1:19" ht="230.25" thickTop="1" thickBot="1" x14ac:dyDescent="0.25">
      <c r="A310" s="927" t="s">
        <v>446</v>
      </c>
      <c r="B310" s="927" t="s">
        <v>254</v>
      </c>
      <c r="C310" s="927" t="s">
        <v>252</v>
      </c>
      <c r="D310" s="927" t="s">
        <v>253</v>
      </c>
      <c r="E310" s="928">
        <f>F310</f>
        <v>7074725</v>
      </c>
      <c r="F310" s="323">
        <f>(5014525)+1688700+371500</f>
        <v>7074725</v>
      </c>
      <c r="G310" s="323">
        <f>(3622500)+1688700</f>
        <v>5311200</v>
      </c>
      <c r="H310" s="323">
        <f>(53320+2000+17380)</f>
        <v>72700</v>
      </c>
      <c r="I310" s="323"/>
      <c r="J310" s="928">
        <f>L310+O310</f>
        <v>100000</v>
      </c>
      <c r="K310" s="323">
        <v>100000</v>
      </c>
      <c r="L310" s="323"/>
      <c r="M310" s="323"/>
      <c r="N310" s="323"/>
      <c r="O310" s="977">
        <f>K310</f>
        <v>100000</v>
      </c>
      <c r="P310" s="928">
        <f>E310+J310</f>
        <v>7174725</v>
      </c>
      <c r="R310" s="125" t="b">
        <f>K310=[1]d6!J277</f>
        <v>1</v>
      </c>
    </row>
    <row r="311" spans="1:19" ht="47.25" thickTop="1" thickBot="1" x14ac:dyDescent="0.25">
      <c r="A311" s="173" t="s">
        <v>1004</v>
      </c>
      <c r="B311" s="173" t="s">
        <v>908</v>
      </c>
      <c r="C311" s="927"/>
      <c r="D311" s="173" t="s">
        <v>955</v>
      </c>
      <c r="E311" s="928">
        <f t="shared" ref="E311:P311" si="274">E312+E314</f>
        <v>0</v>
      </c>
      <c r="F311" s="928">
        <f t="shared" si="274"/>
        <v>0</v>
      </c>
      <c r="G311" s="928">
        <f t="shared" si="274"/>
        <v>0</v>
      </c>
      <c r="H311" s="928">
        <f t="shared" si="274"/>
        <v>0</v>
      </c>
      <c r="I311" s="928">
        <f t="shared" si="274"/>
        <v>0</v>
      </c>
      <c r="J311" s="928">
        <f t="shared" si="274"/>
        <v>250000</v>
      </c>
      <c r="K311" s="928">
        <f t="shared" si="274"/>
        <v>250000</v>
      </c>
      <c r="L311" s="928">
        <f t="shared" si="274"/>
        <v>0</v>
      </c>
      <c r="M311" s="928">
        <f t="shared" si="274"/>
        <v>0</v>
      </c>
      <c r="N311" s="928">
        <f t="shared" si="274"/>
        <v>0</v>
      </c>
      <c r="O311" s="928">
        <f t="shared" si="274"/>
        <v>250000</v>
      </c>
      <c r="P311" s="928">
        <f t="shared" si="274"/>
        <v>250000</v>
      </c>
      <c r="Q311" s="912"/>
      <c r="R311" s="197"/>
    </row>
    <row r="312" spans="1:19" ht="91.5" thickTop="1" thickBot="1" x14ac:dyDescent="0.25">
      <c r="A312" s="450" t="s">
        <v>1005</v>
      </c>
      <c r="B312" s="450" t="s">
        <v>1006</v>
      </c>
      <c r="C312" s="450"/>
      <c r="D312" s="450" t="s">
        <v>1007</v>
      </c>
      <c r="E312" s="448">
        <f>SUM(E313)</f>
        <v>0</v>
      </c>
      <c r="F312" s="448">
        <f t="shared" ref="F312:P312" si="275">SUM(F313)</f>
        <v>0</v>
      </c>
      <c r="G312" s="448">
        <f t="shared" si="275"/>
        <v>0</v>
      </c>
      <c r="H312" s="448">
        <f t="shared" si="275"/>
        <v>0</v>
      </c>
      <c r="I312" s="448">
        <f t="shared" si="275"/>
        <v>0</v>
      </c>
      <c r="J312" s="448">
        <f t="shared" si="275"/>
        <v>200000</v>
      </c>
      <c r="K312" s="448">
        <f t="shared" si="275"/>
        <v>200000</v>
      </c>
      <c r="L312" s="448">
        <f t="shared" si="275"/>
        <v>0</v>
      </c>
      <c r="M312" s="448">
        <f t="shared" si="275"/>
        <v>0</v>
      </c>
      <c r="N312" s="448">
        <f t="shared" si="275"/>
        <v>0</v>
      </c>
      <c r="O312" s="448">
        <f t="shared" si="275"/>
        <v>200000</v>
      </c>
      <c r="P312" s="448">
        <f t="shared" si="275"/>
        <v>200000</v>
      </c>
      <c r="Q312" s="912"/>
      <c r="R312" s="197"/>
    </row>
    <row r="313" spans="1:19" ht="93" thickTop="1" thickBot="1" x14ac:dyDescent="0.25">
      <c r="A313" s="927" t="s">
        <v>325</v>
      </c>
      <c r="B313" s="927" t="s">
        <v>326</v>
      </c>
      <c r="C313" s="927" t="s">
        <v>327</v>
      </c>
      <c r="D313" s="927" t="s">
        <v>497</v>
      </c>
      <c r="E313" s="928">
        <f>F313</f>
        <v>0</v>
      </c>
      <c r="F313" s="323"/>
      <c r="G313" s="323"/>
      <c r="H313" s="323"/>
      <c r="I313" s="323"/>
      <c r="J313" s="928">
        <f>L313+O313</f>
        <v>200000</v>
      </c>
      <c r="K313" s="323">
        <v>200000</v>
      </c>
      <c r="L313" s="323"/>
      <c r="M313" s="323"/>
      <c r="N313" s="323"/>
      <c r="O313" s="977">
        <v>200000</v>
      </c>
      <c r="P313" s="928">
        <f>E313+J313</f>
        <v>200000</v>
      </c>
      <c r="R313" s="125" t="b">
        <f>K313=[1]d6!J278+[1]d6!J279</f>
        <v>1</v>
      </c>
    </row>
    <row r="314" spans="1:19" ht="136.5" thickTop="1" thickBot="1" x14ac:dyDescent="0.25">
      <c r="A314" s="450" t="s">
        <v>1008</v>
      </c>
      <c r="B314" s="450" t="s">
        <v>850</v>
      </c>
      <c r="C314" s="927"/>
      <c r="D314" s="450" t="s">
        <v>1009</v>
      </c>
      <c r="E314" s="448">
        <f>SUM(E315)</f>
        <v>0</v>
      </c>
      <c r="F314" s="448">
        <f t="shared" ref="F314:P314" si="276">SUM(F315)</f>
        <v>0</v>
      </c>
      <c r="G314" s="448">
        <f t="shared" si="276"/>
        <v>0</v>
      </c>
      <c r="H314" s="448">
        <f t="shared" si="276"/>
        <v>0</v>
      </c>
      <c r="I314" s="448">
        <f t="shared" si="276"/>
        <v>0</v>
      </c>
      <c r="J314" s="448">
        <f t="shared" si="276"/>
        <v>50000</v>
      </c>
      <c r="K314" s="448">
        <f t="shared" si="276"/>
        <v>50000</v>
      </c>
      <c r="L314" s="448">
        <f t="shared" si="276"/>
        <v>0</v>
      </c>
      <c r="M314" s="448">
        <f t="shared" si="276"/>
        <v>0</v>
      </c>
      <c r="N314" s="448">
        <f t="shared" si="276"/>
        <v>0</v>
      </c>
      <c r="O314" s="448">
        <f t="shared" si="276"/>
        <v>50000</v>
      </c>
      <c r="P314" s="448">
        <f t="shared" si="276"/>
        <v>50000</v>
      </c>
      <c r="Q314" s="912"/>
    </row>
    <row r="315" spans="1:19" ht="138.75" thickTop="1" thickBot="1" x14ac:dyDescent="0.25">
      <c r="A315" s="927" t="s">
        <v>394</v>
      </c>
      <c r="B315" s="927" t="s">
        <v>395</v>
      </c>
      <c r="C315" s="927" t="s">
        <v>184</v>
      </c>
      <c r="D315" s="927" t="s">
        <v>396</v>
      </c>
      <c r="E315" s="928">
        <f>F315</f>
        <v>0</v>
      </c>
      <c r="F315" s="323"/>
      <c r="G315" s="323"/>
      <c r="H315" s="323"/>
      <c r="I315" s="323"/>
      <c r="J315" s="928">
        <f>L315+O315</f>
        <v>50000</v>
      </c>
      <c r="K315" s="323">
        <v>50000</v>
      </c>
      <c r="L315" s="323"/>
      <c r="M315" s="323"/>
      <c r="N315" s="323"/>
      <c r="O315" s="977">
        <f>K315</f>
        <v>50000</v>
      </c>
      <c r="P315" s="928">
        <f>E315+J315</f>
        <v>50000</v>
      </c>
      <c r="R315" s="125" t="b">
        <f>K315=[1]d6!J280</f>
        <v>1</v>
      </c>
    </row>
    <row r="316" spans="1:19" ht="136.5" thickTop="1" thickBot="1" x14ac:dyDescent="0.25">
      <c r="A316" s="969" t="s">
        <v>182</v>
      </c>
      <c r="B316" s="969"/>
      <c r="C316" s="969"/>
      <c r="D316" s="970" t="s">
        <v>27</v>
      </c>
      <c r="E316" s="971">
        <f>E317</f>
        <v>86588081</v>
      </c>
      <c r="F316" s="972">
        <f t="shared" ref="F316:G316" si="277">F317</f>
        <v>86588081</v>
      </c>
      <c r="G316" s="972">
        <f t="shared" si="277"/>
        <v>6840000</v>
      </c>
      <c r="H316" s="972">
        <f>H317</f>
        <v>131350</v>
      </c>
      <c r="I316" s="972">
        <f t="shared" ref="I316" si="278">I317</f>
        <v>0</v>
      </c>
      <c r="J316" s="971">
        <f>J317</f>
        <v>40000</v>
      </c>
      <c r="K316" s="972">
        <f>K317</f>
        <v>40000</v>
      </c>
      <c r="L316" s="972">
        <f>L317</f>
        <v>0</v>
      </c>
      <c r="M316" s="972">
        <f t="shared" ref="M316" si="279">M317</f>
        <v>0</v>
      </c>
      <c r="N316" s="971">
        <f>N317</f>
        <v>0</v>
      </c>
      <c r="O316" s="971">
        <f>O317</f>
        <v>40000</v>
      </c>
      <c r="P316" s="972">
        <f t="shared" ref="P316" si="280">P317</f>
        <v>86628081</v>
      </c>
    </row>
    <row r="317" spans="1:19" ht="136.5" thickTop="1" thickBot="1" x14ac:dyDescent="0.25">
      <c r="A317" s="973" t="s">
        <v>183</v>
      </c>
      <c r="B317" s="973"/>
      <c r="C317" s="973"/>
      <c r="D317" s="974" t="s">
        <v>42</v>
      </c>
      <c r="E317" s="975">
        <f>E318+E321+E325</f>
        <v>86588081</v>
      </c>
      <c r="F317" s="975">
        <f t="shared" ref="F317:I317" si="281">F318+F321+F325</f>
        <v>86588081</v>
      </c>
      <c r="G317" s="975">
        <f t="shared" si="281"/>
        <v>6840000</v>
      </c>
      <c r="H317" s="975">
        <f t="shared" si="281"/>
        <v>131350</v>
      </c>
      <c r="I317" s="975">
        <f t="shared" si="281"/>
        <v>0</v>
      </c>
      <c r="J317" s="975">
        <f>L317+O317</f>
        <v>40000</v>
      </c>
      <c r="K317" s="975">
        <f t="shared" ref="K317:O317" si="282">K318+K321+K325</f>
        <v>40000</v>
      </c>
      <c r="L317" s="975">
        <f t="shared" si="282"/>
        <v>0</v>
      </c>
      <c r="M317" s="975">
        <f t="shared" si="282"/>
        <v>0</v>
      </c>
      <c r="N317" s="975">
        <f t="shared" si="282"/>
        <v>0</v>
      </c>
      <c r="O317" s="975">
        <f t="shared" si="282"/>
        <v>40000</v>
      </c>
      <c r="P317" s="976">
        <f>E317+J317</f>
        <v>86628081</v>
      </c>
      <c r="Q317" s="125" t="b">
        <f>P317=P322+P324+P327+P319+P320</f>
        <v>1</v>
      </c>
      <c r="R317" s="125" t="b">
        <f>K317=[1]d6!J281</f>
        <v>1</v>
      </c>
    </row>
    <row r="318" spans="1:19" ht="47.25" thickTop="1" thickBot="1" x14ac:dyDescent="0.25">
      <c r="A318" s="173" t="s">
        <v>1010</v>
      </c>
      <c r="B318" s="173" t="s">
        <v>843</v>
      </c>
      <c r="C318" s="173"/>
      <c r="D318" s="173" t="s">
        <v>844</v>
      </c>
      <c r="E318" s="928">
        <f>SUM(E319:E320)</f>
        <v>8612205</v>
      </c>
      <c r="F318" s="928">
        <f t="shared" ref="F318:P318" si="283">SUM(F319:F320)</f>
        <v>8612205</v>
      </c>
      <c r="G318" s="928">
        <f t="shared" si="283"/>
        <v>6840000</v>
      </c>
      <c r="H318" s="928">
        <f t="shared" si="283"/>
        <v>131350</v>
      </c>
      <c r="I318" s="928">
        <f t="shared" si="283"/>
        <v>0</v>
      </c>
      <c r="J318" s="928">
        <f t="shared" si="283"/>
        <v>40000</v>
      </c>
      <c r="K318" s="928">
        <f t="shared" si="283"/>
        <v>40000</v>
      </c>
      <c r="L318" s="928">
        <f t="shared" si="283"/>
        <v>0</v>
      </c>
      <c r="M318" s="928">
        <f t="shared" si="283"/>
        <v>0</v>
      </c>
      <c r="N318" s="928">
        <f t="shared" si="283"/>
        <v>0</v>
      </c>
      <c r="O318" s="928">
        <f t="shared" si="283"/>
        <v>40000</v>
      </c>
      <c r="P318" s="928">
        <f t="shared" si="283"/>
        <v>8652205</v>
      </c>
      <c r="Q318" s="125"/>
      <c r="R318" s="198"/>
    </row>
    <row r="319" spans="1:19" ht="230.25" thickTop="1" thickBot="1" x14ac:dyDescent="0.25">
      <c r="A319" s="927" t="s">
        <v>448</v>
      </c>
      <c r="B319" s="927" t="s">
        <v>254</v>
      </c>
      <c r="C319" s="927" t="s">
        <v>252</v>
      </c>
      <c r="D319" s="927" t="s">
        <v>253</v>
      </c>
      <c r="E319" s="928">
        <f>F319</f>
        <v>8609205</v>
      </c>
      <c r="F319" s="323">
        <f>((7700000+1540000+152690+146035+7000+71000+4400+51000+4950+1075-3000)-205945)-860000</f>
        <v>8609205</v>
      </c>
      <c r="G319" s="323">
        <f>(7700000)-860000</f>
        <v>6840000</v>
      </c>
      <c r="H319" s="323">
        <f>(71000+4400+51000+4950)</f>
        <v>131350</v>
      </c>
      <c r="I319" s="323"/>
      <c r="J319" s="928">
        <f>L319+O319</f>
        <v>40000</v>
      </c>
      <c r="K319" s="323">
        <v>40000</v>
      </c>
      <c r="L319" s="323"/>
      <c r="M319" s="323"/>
      <c r="N319" s="323"/>
      <c r="O319" s="977">
        <f>K319</f>
        <v>40000</v>
      </c>
      <c r="P319" s="928">
        <f>E319+J319</f>
        <v>8649205</v>
      </c>
      <c r="Q319" s="125" t="b">
        <f>K319=[1]d6!J283</f>
        <v>1</v>
      </c>
      <c r="R319" s="198"/>
      <c r="S319" s="197">
        <f>[1]d6!J283</f>
        <v>40000</v>
      </c>
    </row>
    <row r="320" spans="1:19" ht="184.5" thickTop="1" thickBot="1" x14ac:dyDescent="0.25">
      <c r="A320" s="927" t="s">
        <v>792</v>
      </c>
      <c r="B320" s="927" t="s">
        <v>388</v>
      </c>
      <c r="C320" s="927" t="s">
        <v>778</v>
      </c>
      <c r="D320" s="927" t="s">
        <v>779</v>
      </c>
      <c r="E320" s="324">
        <f>F320</f>
        <v>3000</v>
      </c>
      <c r="F320" s="170">
        <v>3000</v>
      </c>
      <c r="G320" s="170"/>
      <c r="H320" s="170"/>
      <c r="I320" s="170"/>
      <c r="J320" s="928">
        <f t="shared" ref="J320" si="284">L320+O320</f>
        <v>0</v>
      </c>
      <c r="K320" s="170"/>
      <c r="L320" s="847"/>
      <c r="M320" s="847"/>
      <c r="N320" s="847"/>
      <c r="O320" s="977">
        <f t="shared" ref="O320" si="285">K320</f>
        <v>0</v>
      </c>
      <c r="P320" s="928">
        <f t="shared" ref="P320" si="286">+J320+E320</f>
        <v>3000</v>
      </c>
      <c r="Q320" s="197"/>
      <c r="R320" s="198"/>
    </row>
    <row r="321" spans="1:18" ht="47.25" thickTop="1" thickBot="1" x14ac:dyDescent="0.25">
      <c r="A321" s="173" t="s">
        <v>1011</v>
      </c>
      <c r="B321" s="173" t="s">
        <v>855</v>
      </c>
      <c r="C321" s="173"/>
      <c r="D321" s="173" t="s">
        <v>856</v>
      </c>
      <c r="E321" s="324">
        <f>E322+E323</f>
        <v>4671976</v>
      </c>
      <c r="F321" s="324">
        <f t="shared" ref="F321:P321" si="287">F322+F323</f>
        <v>4671976</v>
      </c>
      <c r="G321" s="324">
        <f t="shared" si="287"/>
        <v>0</v>
      </c>
      <c r="H321" s="324">
        <f t="shared" si="287"/>
        <v>0</v>
      </c>
      <c r="I321" s="324">
        <f t="shared" si="287"/>
        <v>0</v>
      </c>
      <c r="J321" s="324">
        <f t="shared" si="287"/>
        <v>0</v>
      </c>
      <c r="K321" s="324">
        <f t="shared" si="287"/>
        <v>0</v>
      </c>
      <c r="L321" s="324">
        <f t="shared" si="287"/>
        <v>0</v>
      </c>
      <c r="M321" s="324">
        <f t="shared" si="287"/>
        <v>0</v>
      </c>
      <c r="N321" s="324">
        <f t="shared" si="287"/>
        <v>0</v>
      </c>
      <c r="O321" s="324">
        <f t="shared" si="287"/>
        <v>0</v>
      </c>
      <c r="P321" s="324">
        <f t="shared" si="287"/>
        <v>4671976</v>
      </c>
      <c r="Q321" s="197"/>
      <c r="R321" s="198"/>
    </row>
    <row r="322" spans="1:18" ht="91.5" thickTop="1" thickBot="1" x14ac:dyDescent="0.25">
      <c r="A322" s="994">
        <v>3718600</v>
      </c>
      <c r="B322" s="994">
        <v>8600</v>
      </c>
      <c r="C322" s="450" t="s">
        <v>388</v>
      </c>
      <c r="D322" s="994" t="s">
        <v>488</v>
      </c>
      <c r="E322" s="448">
        <f>F322</f>
        <v>3821976</v>
      </c>
      <c r="F322" s="448">
        <f>((1033835)+205945)+2582196</f>
        <v>3821976</v>
      </c>
      <c r="G322" s="448"/>
      <c r="H322" s="448"/>
      <c r="I322" s="448"/>
      <c r="J322" s="448">
        <f>L322+O322</f>
        <v>0</v>
      </c>
      <c r="K322" s="448"/>
      <c r="L322" s="448"/>
      <c r="M322" s="448"/>
      <c r="N322" s="448"/>
      <c r="O322" s="995">
        <f>K322</f>
        <v>0</v>
      </c>
      <c r="P322" s="448">
        <f>E322+J322</f>
        <v>3821976</v>
      </c>
    </row>
    <row r="323" spans="1:18" ht="47.25" thickTop="1" thickBot="1" x14ac:dyDescent="0.25">
      <c r="A323" s="994">
        <v>3718700</v>
      </c>
      <c r="B323" s="994">
        <v>8700</v>
      </c>
      <c r="C323" s="450"/>
      <c r="D323" s="994" t="s">
        <v>1012</v>
      </c>
      <c r="E323" s="448">
        <f>E324</f>
        <v>850000</v>
      </c>
      <c r="F323" s="448">
        <f>F324</f>
        <v>850000</v>
      </c>
      <c r="G323" s="448">
        <f t="shared" ref="G323:P323" si="288">G324</f>
        <v>0</v>
      </c>
      <c r="H323" s="448">
        <f t="shared" si="288"/>
        <v>0</v>
      </c>
      <c r="I323" s="448">
        <f t="shared" si="288"/>
        <v>0</v>
      </c>
      <c r="J323" s="448">
        <f t="shared" si="288"/>
        <v>0</v>
      </c>
      <c r="K323" s="448">
        <f t="shared" si="288"/>
        <v>0</v>
      </c>
      <c r="L323" s="448">
        <f t="shared" si="288"/>
        <v>0</v>
      </c>
      <c r="M323" s="448">
        <f t="shared" si="288"/>
        <v>0</v>
      </c>
      <c r="N323" s="448">
        <f t="shared" si="288"/>
        <v>0</v>
      </c>
      <c r="O323" s="448">
        <f t="shared" si="288"/>
        <v>0</v>
      </c>
      <c r="P323" s="448">
        <f t="shared" si="288"/>
        <v>850000</v>
      </c>
    </row>
    <row r="324" spans="1:18" ht="93" thickTop="1" thickBot="1" x14ac:dyDescent="0.25">
      <c r="A324" s="280">
        <v>3718710</v>
      </c>
      <c r="B324" s="280">
        <v>8710</v>
      </c>
      <c r="C324" s="927" t="s">
        <v>44</v>
      </c>
      <c r="D324" s="337" t="s">
        <v>798</v>
      </c>
      <c r="E324" s="928">
        <f>F324</f>
        <v>850000</v>
      </c>
      <c r="F324" s="323">
        <f>((3000000)-100000)-900000-1000000-150000</f>
        <v>850000</v>
      </c>
      <c r="G324" s="323"/>
      <c r="H324" s="323"/>
      <c r="I324" s="323"/>
      <c r="J324" s="928">
        <f>L324+O324</f>
        <v>0</v>
      </c>
      <c r="K324" s="323"/>
      <c r="L324" s="323"/>
      <c r="M324" s="323"/>
      <c r="N324" s="323"/>
      <c r="O324" s="977">
        <f>K324</f>
        <v>0</v>
      </c>
      <c r="P324" s="928">
        <f>E324+J324</f>
        <v>850000</v>
      </c>
    </row>
    <row r="325" spans="1:18" ht="47.25" thickTop="1" thickBot="1" x14ac:dyDescent="0.25">
      <c r="A325" s="173" t="s">
        <v>1013</v>
      </c>
      <c r="B325" s="173" t="s">
        <v>861</v>
      </c>
      <c r="C325" s="173"/>
      <c r="D325" s="173" t="s">
        <v>862</v>
      </c>
      <c r="E325" s="928">
        <f>E326</f>
        <v>73303900</v>
      </c>
      <c r="F325" s="928">
        <f t="shared" ref="F325:P326" si="289">F326</f>
        <v>73303900</v>
      </c>
      <c r="G325" s="928">
        <f t="shared" si="289"/>
        <v>0</v>
      </c>
      <c r="H325" s="928">
        <f t="shared" si="289"/>
        <v>0</v>
      </c>
      <c r="I325" s="928">
        <f t="shared" si="289"/>
        <v>0</v>
      </c>
      <c r="J325" s="928">
        <f t="shared" si="289"/>
        <v>0</v>
      </c>
      <c r="K325" s="928">
        <f t="shared" si="289"/>
        <v>0</v>
      </c>
      <c r="L325" s="928">
        <f t="shared" si="289"/>
        <v>0</v>
      </c>
      <c r="M325" s="928">
        <f t="shared" si="289"/>
        <v>0</v>
      </c>
      <c r="N325" s="928">
        <f t="shared" si="289"/>
        <v>0</v>
      </c>
      <c r="O325" s="928">
        <f t="shared" si="289"/>
        <v>0</v>
      </c>
      <c r="P325" s="928">
        <f t="shared" si="289"/>
        <v>73303900</v>
      </c>
    </row>
    <row r="326" spans="1:18" ht="91.5" thickTop="1" thickBot="1" x14ac:dyDescent="0.25">
      <c r="A326" s="994">
        <v>3719100</v>
      </c>
      <c r="B326" s="450" t="s">
        <v>1015</v>
      </c>
      <c r="C326" s="450"/>
      <c r="D326" s="450" t="s">
        <v>1014</v>
      </c>
      <c r="E326" s="448">
        <f>E327</f>
        <v>73303900</v>
      </c>
      <c r="F326" s="448">
        <f t="shared" si="289"/>
        <v>73303900</v>
      </c>
      <c r="G326" s="448">
        <f t="shared" si="289"/>
        <v>0</v>
      </c>
      <c r="H326" s="448">
        <f t="shared" si="289"/>
        <v>0</v>
      </c>
      <c r="I326" s="448">
        <f t="shared" si="289"/>
        <v>0</v>
      </c>
      <c r="J326" s="448">
        <f t="shared" si="289"/>
        <v>0</v>
      </c>
      <c r="K326" s="448">
        <f t="shared" si="289"/>
        <v>0</v>
      </c>
      <c r="L326" s="448">
        <f t="shared" si="289"/>
        <v>0</v>
      </c>
      <c r="M326" s="448">
        <f t="shared" si="289"/>
        <v>0</v>
      </c>
      <c r="N326" s="448">
        <f t="shared" si="289"/>
        <v>0</v>
      </c>
      <c r="O326" s="448">
        <f t="shared" si="289"/>
        <v>0</v>
      </c>
      <c r="P326" s="448">
        <f t="shared" si="289"/>
        <v>73303900</v>
      </c>
    </row>
    <row r="327" spans="1:18" ht="48" thickTop="1" thickBot="1" x14ac:dyDescent="0.25">
      <c r="A327" s="280">
        <v>3719110</v>
      </c>
      <c r="B327" s="280">
        <v>9110</v>
      </c>
      <c r="C327" s="927" t="s">
        <v>45</v>
      </c>
      <c r="D327" s="337" t="s">
        <v>487</v>
      </c>
      <c r="E327" s="928">
        <f>F327</f>
        <v>73303900</v>
      </c>
      <c r="F327" s="323">
        <v>73303900</v>
      </c>
      <c r="G327" s="323"/>
      <c r="H327" s="323"/>
      <c r="I327" s="323"/>
      <c r="J327" s="928">
        <f>L327+O327</f>
        <v>0</v>
      </c>
      <c r="K327" s="323"/>
      <c r="L327" s="323"/>
      <c r="M327" s="323"/>
      <c r="N327" s="323"/>
      <c r="O327" s="977">
        <f>K327</f>
        <v>0</v>
      </c>
      <c r="P327" s="928">
        <f>E327+J327</f>
        <v>73303900</v>
      </c>
    </row>
    <row r="328" spans="1:18" ht="159.75" customHeight="1" thickTop="1" thickBot="1" x14ac:dyDescent="0.25">
      <c r="A328" s="246" t="s">
        <v>408</v>
      </c>
      <c r="B328" s="246" t="s">
        <v>408</v>
      </c>
      <c r="C328" s="246" t="s">
        <v>408</v>
      </c>
      <c r="D328" s="247" t="s">
        <v>418</v>
      </c>
      <c r="E328" s="340">
        <f t="shared" ref="E328:P328" si="290">E17+E42+E166+E82+E103+E146++E241+E263+E317+E283+E296+E308+E271+E212+E193</f>
        <v>2745297706.4799995</v>
      </c>
      <c r="F328" s="340">
        <f t="shared" si="290"/>
        <v>2745297706.4799995</v>
      </c>
      <c r="G328" s="340">
        <f t="shared" si="290"/>
        <v>1447708180.47</v>
      </c>
      <c r="H328" s="340">
        <f t="shared" si="290"/>
        <v>104146614.78999999</v>
      </c>
      <c r="I328" s="340">
        <f t="shared" si="290"/>
        <v>0</v>
      </c>
      <c r="J328" s="340">
        <f t="shared" si="290"/>
        <v>718563266.08999991</v>
      </c>
      <c r="K328" s="340">
        <f t="shared" si="290"/>
        <v>550318886.51999998</v>
      </c>
      <c r="L328" s="340">
        <f t="shared" si="290"/>
        <v>161866675.54000002</v>
      </c>
      <c r="M328" s="340">
        <f t="shared" si="290"/>
        <v>49879832</v>
      </c>
      <c r="N328" s="340">
        <f t="shared" si="290"/>
        <v>10259168</v>
      </c>
      <c r="O328" s="340">
        <f t="shared" si="290"/>
        <v>556696590.54999995</v>
      </c>
      <c r="P328" s="340">
        <f t="shared" si="290"/>
        <v>3463860972.5700002</v>
      </c>
      <c r="Q328" s="38" t="b">
        <f>K328=[1]d6!J284</f>
        <v>1</v>
      </c>
      <c r="R328" s="38" t="b">
        <f>P328=J328+E328</f>
        <v>1</v>
      </c>
    </row>
    <row r="329" spans="1:18" ht="46.5" thickTop="1" x14ac:dyDescent="0.2">
      <c r="A329" s="1071" t="s">
        <v>542</v>
      </c>
      <c r="B329" s="1072"/>
      <c r="C329" s="1072"/>
      <c r="D329" s="1072"/>
      <c r="E329" s="1072"/>
      <c r="F329" s="1072"/>
      <c r="G329" s="1072"/>
      <c r="H329" s="1072"/>
      <c r="I329" s="1072"/>
      <c r="J329" s="1072"/>
      <c r="K329" s="1072"/>
      <c r="L329" s="1072"/>
      <c r="M329" s="1072"/>
      <c r="N329" s="1072"/>
      <c r="O329" s="1072"/>
      <c r="P329" s="1072"/>
      <c r="Q329" s="203"/>
    </row>
    <row r="330" spans="1:18" ht="60.75" hidden="1" x14ac:dyDescent="0.2">
      <c r="A330" s="916"/>
      <c r="B330" s="917"/>
      <c r="C330" s="917"/>
      <c r="D330" s="917"/>
      <c r="E330" s="78">
        <f>F330</f>
        <v>2745297706.48</v>
      </c>
      <c r="F330" s="78">
        <f>77438986.82+[1]d2!E19+((((2638170564+6058967+642850)-[1]d4!F17+[1]d2!E28)+16026676.66+1406835-100000)+9712966)</f>
        <v>2745297706.48</v>
      </c>
      <c r="G330" s="78">
        <f>828700-600000+9997450+1414400+359540+((354000+540000+1494859+80242670+1114143912+4186600+68381820+89280550+40854695+37511680)-3284345.53+1122300+879350)</f>
        <v>1447708180.47</v>
      </c>
      <c r="H330" s="78">
        <f>67000+2735067+49875+1431+((6000+3000+20785+3339900+87477970+201540+2063407+3907125+2243165+730080+50000+6058967)-4296997.21+25300+63000-165000-635000+200000)</f>
        <v>104146614.79000001</v>
      </c>
      <c r="I330" s="78">
        <v>0</v>
      </c>
      <c r="J330" s="78">
        <f>-10623233.82+41402316+((((356021747.58+79713450)+73413409.53-123742.2+22276190+100000)+60000000+70000000)+26383129)</f>
        <v>718563266.09000003</v>
      </c>
      <c r="K330" s="78">
        <f>-10623233.82+41402316-2300000-1326174+((((356021747.58+79713450)-4201200-630900-155853885)+73413409.53-123742.2-1155966.58-127015.03-854238.96-95000+(22276190-1700000+100000)+60000000+70000000)+26383129)</f>
        <v>550318886.5200001</v>
      </c>
      <c r="L330" s="78">
        <f>-230522+1326174+((4201200-49000)+630900+(155853885-1788820-106000))+78600-9947+1155966.58+854238.96-50000</f>
        <v>161866675.54000002</v>
      </c>
      <c r="M330" s="78">
        <f>332110+14400+(866362+41217060+104000+7345900)</f>
        <v>49879832</v>
      </c>
      <c r="N330" s="78">
        <f>920000-18400+(308978+8654190+137000+257400)</f>
        <v>10259168</v>
      </c>
      <c r="O330" s="78">
        <f>-10623233.82+41402316-2300000-1326174+2530522+((((356021747.58+79713450)-(4201200-49000)-630900-(155853885-1788820-106000))+16400+9947+(73413409.53-123742.2-95000-1155966.58-854238.96)+50000+(22276190+100000)+60000000+70000000)+26383129)</f>
        <v>556696590.54999995</v>
      </c>
      <c r="P330" s="78">
        <f>(((2994192311.58+6058967+80356300)-[1]d4!F20+[1]d2!E28+(89440086.19-123742.2)+23683025+60000000+70000000)+36096095)+118841302.82+[1]d2!E19-10623233.82</f>
        <v>3463860972.5699997</v>
      </c>
      <c r="Q330" s="38" t="b">
        <f>E330+J330=P330</f>
        <v>1</v>
      </c>
      <c r="R330" s="203"/>
    </row>
    <row r="331" spans="1:18" ht="60.75" x14ac:dyDescent="0.2">
      <c r="A331" s="916"/>
      <c r="B331" s="917"/>
      <c r="C331" s="917"/>
      <c r="D331" s="917"/>
      <c r="E331" s="661"/>
      <c r="F331" s="661"/>
      <c r="G331" s="661"/>
      <c r="H331" s="661"/>
      <c r="I331" s="661"/>
      <c r="J331" s="661"/>
      <c r="K331" s="661"/>
      <c r="L331" s="661"/>
      <c r="M331" s="661"/>
      <c r="N331" s="661"/>
      <c r="O331" s="661"/>
      <c r="P331" s="661"/>
      <c r="Q331" s="38"/>
      <c r="R331" s="203"/>
    </row>
    <row r="332" spans="1:18" ht="75.75" customHeight="1" x14ac:dyDescent="0.65">
      <c r="A332" s="916"/>
      <c r="B332" s="917"/>
      <c r="C332" s="917"/>
      <c r="D332" s="931" t="s">
        <v>1280</v>
      </c>
      <c r="E332" s="658"/>
      <c r="F332" s="915"/>
      <c r="G332" s="658"/>
      <c r="H332" s="658"/>
      <c r="I332" s="123"/>
      <c r="J332" s="123"/>
      <c r="K332" s="658" t="s">
        <v>1211</v>
      </c>
      <c r="L332" s="123"/>
      <c r="M332" s="123"/>
      <c r="N332" s="123"/>
      <c r="O332" s="123"/>
      <c r="P332" s="123"/>
      <c r="Q332" s="203"/>
    </row>
    <row r="333" spans="1:18" ht="12.75" customHeight="1" x14ac:dyDescent="0.65">
      <c r="A333" s="916"/>
      <c r="B333" s="917"/>
      <c r="C333" s="917"/>
      <c r="D333" s="1004"/>
      <c r="E333" s="1004"/>
      <c r="F333" s="1004"/>
      <c r="G333" s="1004"/>
      <c r="H333" s="1004"/>
      <c r="I333" s="1004"/>
      <c r="J333" s="1004"/>
      <c r="K333" s="1004"/>
      <c r="L333" s="1004"/>
      <c r="M333" s="1004"/>
      <c r="N333" s="1004"/>
      <c r="O333" s="1004"/>
      <c r="P333" s="1004"/>
      <c r="Q333" s="203"/>
    </row>
    <row r="334" spans="1:18" ht="46.5" thickBot="1" x14ac:dyDescent="0.7">
      <c r="A334" s="916"/>
      <c r="B334" s="917"/>
      <c r="C334" s="917"/>
      <c r="D334" s="144" t="s">
        <v>606</v>
      </c>
      <c r="E334" s="915"/>
      <c r="F334" s="915"/>
      <c r="G334" s="915"/>
      <c r="H334" s="144"/>
      <c r="I334" s="123"/>
      <c r="J334" s="123"/>
      <c r="K334" s="144" t="s">
        <v>607</v>
      </c>
      <c r="L334" s="123"/>
      <c r="M334" s="123"/>
      <c r="N334" s="123"/>
      <c r="O334" s="123"/>
      <c r="P334" s="123"/>
      <c r="Q334" s="203"/>
    </row>
    <row r="335" spans="1:18" ht="47.25" thickTop="1" thickBot="1" x14ac:dyDescent="0.7">
      <c r="A335" s="923"/>
      <c r="B335" s="923"/>
      <c r="C335" s="923"/>
      <c r="D335" s="1004"/>
      <c r="E335" s="1004"/>
      <c r="F335" s="1004"/>
      <c r="G335" s="1004"/>
      <c r="H335" s="1004"/>
      <c r="I335" s="1004"/>
      <c r="J335" s="1004"/>
      <c r="K335" s="1004"/>
      <c r="L335" s="1004"/>
      <c r="M335" s="1004"/>
      <c r="N335" s="1004"/>
      <c r="O335" s="1004"/>
      <c r="P335" s="1004"/>
      <c r="Q335" s="340"/>
    </row>
    <row r="336" spans="1:18" ht="150.75" hidden="1" customHeight="1" x14ac:dyDescent="0.65">
      <c r="D336" s="1004" t="s">
        <v>608</v>
      </c>
      <c r="E336" s="1004"/>
      <c r="F336" s="1004"/>
      <c r="G336" s="1004"/>
      <c r="H336" s="1004"/>
      <c r="I336" s="1004"/>
      <c r="J336" s="1004"/>
      <c r="K336" s="1004"/>
      <c r="L336" s="1004"/>
      <c r="M336" s="1004"/>
      <c r="N336" s="1004"/>
      <c r="O336" s="1004"/>
      <c r="P336" s="1004"/>
    </row>
    <row r="337" spans="1:18" ht="95.25" customHeight="1" thickTop="1" x14ac:dyDescent="0.55000000000000004">
      <c r="G337" s="292"/>
      <c r="H337" s="292"/>
      <c r="Q337" s="195"/>
    </row>
    <row r="338" spans="1:18" hidden="1" x14ac:dyDescent="0.2">
      <c r="E338" s="4"/>
      <c r="F338" s="3"/>
      <c r="G338" s="292"/>
      <c r="H338" s="292"/>
      <c r="J338" s="4"/>
      <c r="K338" s="4"/>
    </row>
    <row r="339" spans="1:18" hidden="1" x14ac:dyDescent="0.2">
      <c r="E339" s="4"/>
      <c r="F339" s="3"/>
      <c r="G339" s="292"/>
      <c r="H339" s="292"/>
      <c r="J339" s="4"/>
      <c r="K339" s="4"/>
    </row>
    <row r="340" spans="1:18" ht="60.75" x14ac:dyDescent="0.2">
      <c r="E340" s="38" t="b">
        <f>E330=E328</f>
        <v>1</v>
      </c>
      <c r="F340" s="38" t="b">
        <f>F330=F328</f>
        <v>1</v>
      </c>
      <c r="G340" s="38" t="b">
        <f>G330=G328</f>
        <v>1</v>
      </c>
      <c r="H340" s="38" t="b">
        <f t="shared" ref="H340:O340" si="291">H330=H328</f>
        <v>1</v>
      </c>
      <c r="I340" s="38" t="b">
        <f>I330=I328</f>
        <v>1</v>
      </c>
      <c r="J340" s="38" t="b">
        <f>J330=J328</f>
        <v>1</v>
      </c>
      <c r="K340" s="38" t="b">
        <f>K330=K328</f>
        <v>1</v>
      </c>
      <c r="L340" s="38" t="b">
        <f t="shared" si="291"/>
        <v>1</v>
      </c>
      <c r="M340" s="38" t="b">
        <f t="shared" si="291"/>
        <v>1</v>
      </c>
      <c r="N340" s="38" t="b">
        <f t="shared" si="291"/>
        <v>1</v>
      </c>
      <c r="O340" s="38" t="b">
        <f t="shared" si="291"/>
        <v>1</v>
      </c>
      <c r="P340" s="38" t="b">
        <f>P330=P328</f>
        <v>1</v>
      </c>
    </row>
    <row r="341" spans="1:18" ht="61.5" x14ac:dyDescent="0.2">
      <c r="E341" s="38" t="b">
        <f>E328=F328</f>
        <v>1</v>
      </c>
      <c r="F341" s="996">
        <f>F324/E328*100</f>
        <v>3.0962033661910703E-2</v>
      </c>
      <c r="G341" s="45" t="s">
        <v>343</v>
      </c>
      <c r="H341" s="296"/>
      <c r="I341" s="126"/>
      <c r="J341" s="38" t="b">
        <f>J330=L330+O330</f>
        <v>1</v>
      </c>
      <c r="K341" s="127"/>
      <c r="L341" s="38"/>
      <c r="M341" s="126"/>
      <c r="N341" s="126"/>
      <c r="O341" s="38"/>
      <c r="P341" s="38" t="b">
        <f>E328+J328=P328</f>
        <v>1</v>
      </c>
    </row>
    <row r="342" spans="1:18" ht="60.75" x14ac:dyDescent="0.2">
      <c r="E342" s="128"/>
      <c r="F342" s="129"/>
      <c r="G342" s="128"/>
      <c r="H342" s="297"/>
      <c r="I342" s="128"/>
      <c r="J342" s="4"/>
      <c r="K342" s="4"/>
    </row>
    <row r="343" spans="1:18" ht="61.5" x14ac:dyDescent="0.2">
      <c r="A343" s="912"/>
      <c r="B343" s="912"/>
      <c r="C343" s="912"/>
      <c r="D343" s="6"/>
      <c r="E343" s="912"/>
      <c r="F343" s="45">
        <f>F324/P328*100</f>
        <v>2.4539091110499889E-2</v>
      </c>
      <c r="G343" s="45" t="s">
        <v>343</v>
      </c>
      <c r="H343" s="296"/>
      <c r="I343" s="6"/>
      <c r="J343" s="48">
        <f>J328-J330</f>
        <v>0</v>
      </c>
      <c r="K343" s="48">
        <f>K328-K330</f>
        <v>0</v>
      </c>
      <c r="L343" s="48"/>
      <c r="M343" s="48"/>
      <c r="N343" s="48"/>
      <c r="O343" s="48">
        <f>O328-O330</f>
        <v>0</v>
      </c>
      <c r="P343" s="48"/>
    </row>
    <row r="344" spans="1:18" ht="61.5" x14ac:dyDescent="0.2">
      <c r="D344" s="6"/>
      <c r="E344" s="48"/>
      <c r="F344" s="130"/>
      <c r="G344" s="38"/>
      <c r="H344" s="296"/>
      <c r="I344" s="6"/>
      <c r="J344" s="48"/>
      <c r="K344" s="48"/>
      <c r="L344" s="102"/>
      <c r="P344" s="38"/>
      <c r="Q344" s="199"/>
      <c r="R344" s="202"/>
    </row>
    <row r="345" spans="1:18" ht="60.75" x14ac:dyDescent="0.2">
      <c r="A345" s="912"/>
      <c r="B345" s="912"/>
      <c r="C345" s="912"/>
      <c r="D345" s="6"/>
      <c r="E345" s="124"/>
      <c r="F345" s="124">
        <f>F330-F328</f>
        <v>0</v>
      </c>
      <c r="G345" s="124"/>
      <c r="H345" s="124"/>
      <c r="I345" s="131"/>
      <c r="J345" s="124"/>
      <c r="K345" s="124"/>
      <c r="L345" s="124"/>
      <c r="M345" s="124"/>
      <c r="N345" s="124"/>
      <c r="O345" s="124"/>
      <c r="P345" s="124"/>
      <c r="Q345" s="199"/>
      <c r="R345" s="202"/>
    </row>
    <row r="346" spans="1:18" ht="60.75" x14ac:dyDescent="0.2">
      <c r="D346" s="6"/>
      <c r="E346" s="48"/>
      <c r="F346" s="68"/>
      <c r="G346" s="264"/>
      <c r="O346" s="38"/>
      <c r="P346" s="38"/>
    </row>
    <row r="347" spans="1:18" ht="60.75" x14ac:dyDescent="0.2">
      <c r="A347" s="912"/>
      <c r="B347" s="912"/>
      <c r="C347" s="912"/>
      <c r="D347" s="6"/>
      <c r="E347" s="48"/>
      <c r="F347" s="45"/>
      <c r="G347" s="102"/>
      <c r="I347" s="138"/>
      <c r="J347" s="4"/>
      <c r="K347" s="4"/>
      <c r="L347" s="912"/>
      <c r="M347" s="912"/>
      <c r="N347" s="912"/>
      <c r="O347" s="912"/>
      <c r="P347" s="38"/>
    </row>
    <row r="348" spans="1:18" ht="62.25" x14ac:dyDescent="0.8">
      <c r="A348" s="912"/>
      <c r="B348" s="912"/>
      <c r="C348" s="912"/>
      <c r="D348" s="912"/>
      <c r="E348" s="9"/>
      <c r="F348" s="45"/>
      <c r="J348" s="4"/>
      <c r="K348" s="4"/>
      <c r="L348" s="912"/>
      <c r="M348" s="912"/>
      <c r="N348" s="912"/>
      <c r="O348" s="912"/>
      <c r="P348" s="50"/>
    </row>
    <row r="349" spans="1:18" ht="45.75" x14ac:dyDescent="0.2">
      <c r="E349" s="103">
        <f>E324/E328</f>
        <v>3.0962033661910703E-4</v>
      </c>
      <c r="F349" s="68"/>
    </row>
    <row r="350" spans="1:18" ht="45.75" x14ac:dyDescent="0.2">
      <c r="A350" s="912"/>
      <c r="B350" s="912"/>
      <c r="C350" s="912"/>
      <c r="D350" s="912"/>
      <c r="E350" s="9"/>
      <c r="F350" s="45"/>
      <c r="L350" s="912"/>
      <c r="M350" s="912"/>
      <c r="N350" s="912"/>
      <c r="O350" s="912"/>
      <c r="P350" s="912"/>
    </row>
    <row r="351" spans="1:18" ht="45.75" x14ac:dyDescent="0.2">
      <c r="E351" s="10"/>
      <c r="F351" s="68"/>
    </row>
    <row r="352" spans="1:18" ht="45.75" x14ac:dyDescent="0.2">
      <c r="E352" s="10"/>
      <c r="F352" s="68"/>
    </row>
    <row r="353" spans="1:16" ht="45.75" x14ac:dyDescent="0.2">
      <c r="E353" s="10"/>
      <c r="F353" s="68"/>
    </row>
    <row r="354" spans="1:16" ht="45.75" x14ac:dyDescent="0.2">
      <c r="A354" s="912"/>
      <c r="B354" s="912"/>
      <c r="C354" s="912"/>
      <c r="D354" s="912"/>
      <c r="E354" s="10"/>
      <c r="F354" s="68"/>
      <c r="G354" s="912"/>
      <c r="H354" s="912"/>
      <c r="I354" s="912"/>
      <c r="J354" s="912"/>
      <c r="K354" s="912"/>
      <c r="L354" s="912"/>
      <c r="M354" s="912"/>
      <c r="N354" s="912"/>
      <c r="O354" s="912"/>
      <c r="P354" s="912"/>
    </row>
    <row r="355" spans="1:16" ht="45.75" x14ac:dyDescent="0.2">
      <c r="A355" s="912"/>
      <c r="B355" s="912"/>
      <c r="C355" s="912"/>
      <c r="D355" s="912"/>
      <c r="E355" s="10"/>
      <c r="F355" s="68"/>
      <c r="G355" s="912"/>
      <c r="H355" s="912"/>
      <c r="I355" s="912"/>
      <c r="J355" s="912"/>
      <c r="K355" s="912"/>
      <c r="L355" s="912"/>
      <c r="M355" s="912"/>
      <c r="N355" s="912"/>
      <c r="O355" s="912"/>
      <c r="P355" s="912"/>
    </row>
    <row r="356" spans="1:16" ht="45.75" x14ac:dyDescent="0.2">
      <c r="A356" s="912"/>
      <c r="B356" s="912"/>
      <c r="C356" s="912"/>
      <c r="D356" s="912"/>
      <c r="E356" s="10"/>
      <c r="F356" s="68"/>
      <c r="G356" s="912"/>
      <c r="H356" s="912"/>
      <c r="I356" s="912"/>
      <c r="J356" s="912"/>
      <c r="K356" s="912"/>
      <c r="L356" s="912"/>
      <c r="M356" s="912"/>
      <c r="N356" s="912"/>
      <c r="O356" s="912"/>
      <c r="P356" s="912"/>
    </row>
    <row r="357" spans="1:16" ht="45.75" x14ac:dyDescent="0.2">
      <c r="A357" s="912"/>
      <c r="B357" s="912"/>
      <c r="C357" s="912"/>
      <c r="D357" s="912"/>
      <c r="E357" s="10"/>
      <c r="F357" s="68"/>
      <c r="G357" s="912"/>
      <c r="H357" s="912"/>
      <c r="I357" s="912"/>
      <c r="J357" s="912"/>
      <c r="K357" s="912"/>
      <c r="L357" s="912"/>
      <c r="M357" s="912"/>
      <c r="N357" s="912"/>
      <c r="O357" s="912"/>
      <c r="P357" s="912"/>
    </row>
  </sheetData>
  <mergeCells count="133">
    <mergeCell ref="D336:P336"/>
    <mergeCell ref="N260:N261"/>
    <mergeCell ref="O260:O261"/>
    <mergeCell ref="P260:P261"/>
    <mergeCell ref="A329:P329"/>
    <mergeCell ref="D333:P333"/>
    <mergeCell ref="D335:P335"/>
    <mergeCell ref="H260:H261"/>
    <mergeCell ref="I260:I261"/>
    <mergeCell ref="J260:J261"/>
    <mergeCell ref="K260:K261"/>
    <mergeCell ref="L260:L261"/>
    <mergeCell ref="M260:M261"/>
    <mergeCell ref="A260:A261"/>
    <mergeCell ref="B260:B261"/>
    <mergeCell ref="C260:C261"/>
    <mergeCell ref="E260:E261"/>
    <mergeCell ref="F260:F261"/>
    <mergeCell ref="G260:G261"/>
    <mergeCell ref="K233:K234"/>
    <mergeCell ref="L233:L234"/>
    <mergeCell ref="M233:M234"/>
    <mergeCell ref="N233:N234"/>
    <mergeCell ref="O233:O234"/>
    <mergeCell ref="P233:P234"/>
    <mergeCell ref="P209:P210"/>
    <mergeCell ref="A233:A234"/>
    <mergeCell ref="B233:B234"/>
    <mergeCell ref="C233:C234"/>
    <mergeCell ref="E233:E234"/>
    <mergeCell ref="F233:F234"/>
    <mergeCell ref="G233:G234"/>
    <mergeCell ref="H233:H234"/>
    <mergeCell ref="I233:I234"/>
    <mergeCell ref="J233:J234"/>
    <mergeCell ref="J209:J210"/>
    <mergeCell ref="K209:K210"/>
    <mergeCell ref="L209:L210"/>
    <mergeCell ref="M209:M210"/>
    <mergeCell ref="N209:N210"/>
    <mergeCell ref="O209:O210"/>
    <mergeCell ref="A209:A210"/>
    <mergeCell ref="B209:B210"/>
    <mergeCell ref="C209:C210"/>
    <mergeCell ref="E209:E210"/>
    <mergeCell ref="F209:F210"/>
    <mergeCell ref="G209:G210"/>
    <mergeCell ref="H209:H210"/>
    <mergeCell ref="I209:I210"/>
    <mergeCell ref="I143:I144"/>
    <mergeCell ref="P70:P71"/>
    <mergeCell ref="A143:A144"/>
    <mergeCell ref="B143:B144"/>
    <mergeCell ref="C143:C144"/>
    <mergeCell ref="E143:E144"/>
    <mergeCell ref="F143:F144"/>
    <mergeCell ref="G143:G144"/>
    <mergeCell ref="H143:H144"/>
    <mergeCell ref="H70:H71"/>
    <mergeCell ref="I70:I71"/>
    <mergeCell ref="J70:J71"/>
    <mergeCell ref="K70:K71"/>
    <mergeCell ref="L70:L71"/>
    <mergeCell ref="M70:M71"/>
    <mergeCell ref="O143:O144"/>
    <mergeCell ref="P143:P144"/>
    <mergeCell ref="J143:J144"/>
    <mergeCell ref="K143:K144"/>
    <mergeCell ref="L143:L144"/>
    <mergeCell ref="M143:M144"/>
    <mergeCell ref="N143:N144"/>
    <mergeCell ref="N51:N52"/>
    <mergeCell ref="O51:O52"/>
    <mergeCell ref="P51:P52"/>
    <mergeCell ref="A70:A71"/>
    <mergeCell ref="B70:B71"/>
    <mergeCell ref="C70:C71"/>
    <mergeCell ref="D70:D71"/>
    <mergeCell ref="E70:E71"/>
    <mergeCell ref="F70:F71"/>
    <mergeCell ref="G70:G71"/>
    <mergeCell ref="H51:H52"/>
    <mergeCell ref="I51:I52"/>
    <mergeCell ref="J51:J52"/>
    <mergeCell ref="K51:K52"/>
    <mergeCell ref="L51:L52"/>
    <mergeCell ref="M51:M52"/>
    <mergeCell ref="A51:A52"/>
    <mergeCell ref="B51:B52"/>
    <mergeCell ref="C51:C52"/>
    <mergeCell ref="E51:E52"/>
    <mergeCell ref="F51:F52"/>
    <mergeCell ref="G51:G52"/>
    <mergeCell ref="N70:N71"/>
    <mergeCell ref="O70:O71"/>
    <mergeCell ref="K30:K31"/>
    <mergeCell ref="L30:L31"/>
    <mergeCell ref="M30:M31"/>
    <mergeCell ref="N30:N31"/>
    <mergeCell ref="O30:O31"/>
    <mergeCell ref="P30:P31"/>
    <mergeCell ref="O13:O14"/>
    <mergeCell ref="A30:A31"/>
    <mergeCell ref="B30:B31"/>
    <mergeCell ref="C30:C31"/>
    <mergeCell ref="E30:E31"/>
    <mergeCell ref="F30:F31"/>
    <mergeCell ref="G30:G31"/>
    <mergeCell ref="H30:H31"/>
    <mergeCell ref="I30:I31"/>
    <mergeCell ref="J30:J31"/>
    <mergeCell ref="A10:B10"/>
    <mergeCell ref="A12:A14"/>
    <mergeCell ref="B12:B14"/>
    <mergeCell ref="C12:C14"/>
    <mergeCell ref="D12:D14"/>
    <mergeCell ref="E12:I12"/>
    <mergeCell ref="N2:Q2"/>
    <mergeCell ref="N3:Q3"/>
    <mergeCell ref="O4:P4"/>
    <mergeCell ref="A6:P6"/>
    <mergeCell ref="A7:P7"/>
    <mergeCell ref="A9:B9"/>
    <mergeCell ref="J12:O12"/>
    <mergeCell ref="P12:P14"/>
    <mergeCell ref="E13:E14"/>
    <mergeCell ref="F13:F14"/>
    <mergeCell ref="G13:H13"/>
    <mergeCell ref="I13:I14"/>
    <mergeCell ref="J13:J14"/>
    <mergeCell ref="K13:K14"/>
    <mergeCell ref="L13:L14"/>
    <mergeCell ref="M13:N13"/>
  </mergeCells>
  <conditionalFormatting sqref="Q317:Q318 Q320:R321 R319:S319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R310:R312 Q308:R309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R318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Q283:R287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Q273:Q281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R273:R281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Q271:Q272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R271:R272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R263:R264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Q263:Q269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R265:R269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R296:R297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R298:R302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Q296:Q302"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R288:R294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Q303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Q305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Q306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Q304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Q319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17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13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15">
    <cfRule type="iconSet" priority="1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horizontalDpi="4294967295" verticalDpi="4294967295" r:id="rId1"/>
  <headerFooter alignWithMargins="0">
    <oddFooter>&amp;C&amp;"Times New Roman Cyr,курсив"Сторінка &amp;P з &amp;N</oddFooter>
  </headerFooter>
  <rowBreaks count="3" manualBreakCount="3">
    <brk id="36" max="15" man="1"/>
    <brk id="69" max="15" man="1"/>
    <brk id="253" max="1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FF"/>
  </sheetPr>
  <dimension ref="A2:T385"/>
  <sheetViews>
    <sheetView view="pageBreakPreview" zoomScale="25" zoomScaleNormal="25" zoomScaleSheetLayoutView="25" zoomScalePageLayoutView="10" workbookViewId="0">
      <pane ySplit="15" topLeftCell="A329" activePane="bottomLeft" state="frozen"/>
      <selection activeCell="C121" sqref="C121"/>
      <selection pane="bottomLeft" activeCell="R329" sqref="R329"/>
    </sheetView>
  </sheetViews>
  <sheetFormatPr defaultColWidth="9.140625" defaultRowHeight="12.75" x14ac:dyDescent="0.2"/>
  <cols>
    <col min="1" max="1" width="48" style="1" customWidth="1"/>
    <col min="2" max="2" width="52.5703125" style="1" customWidth="1"/>
    <col min="3" max="3" width="65.7109375" style="1" customWidth="1"/>
    <col min="4" max="4" width="106.28515625" style="1" customWidth="1"/>
    <col min="5" max="5" width="66.42578125" style="5" customWidth="1"/>
    <col min="6" max="6" width="62.5703125" style="1" customWidth="1"/>
    <col min="7" max="7" width="59.7109375" style="1" customWidth="1"/>
    <col min="8" max="8" width="48.140625" style="1" customWidth="1"/>
    <col min="9" max="9" width="41.85546875" style="1" customWidth="1"/>
    <col min="10" max="10" width="50.5703125" style="5" customWidth="1"/>
    <col min="11" max="11" width="52.5703125" style="5" customWidth="1"/>
    <col min="12" max="12" width="56.140625" style="1" customWidth="1"/>
    <col min="13" max="13" width="54.85546875" style="1" customWidth="1"/>
    <col min="14" max="14" width="45.28515625" style="1" bestFit="1" customWidth="1"/>
    <col min="15" max="15" width="56.140625" style="1" bestFit="1" customWidth="1"/>
    <col min="16" max="16" width="86.28515625" style="5" customWidth="1"/>
    <col min="17" max="17" width="52.140625" style="934" customWidth="1"/>
    <col min="18" max="18" width="33.85546875" style="934" customWidth="1"/>
    <col min="19" max="19" width="40.140625" style="912" bestFit="1" customWidth="1"/>
    <col min="20" max="20" width="43.5703125" style="912" bestFit="1" customWidth="1"/>
    <col min="21" max="16384" width="9.140625" style="912"/>
  </cols>
  <sheetData>
    <row r="2" spans="1:18" ht="45.75" x14ac:dyDescent="0.2">
      <c r="D2" s="923"/>
      <c r="E2" s="924"/>
      <c r="F2" s="922"/>
      <c r="G2" s="924"/>
      <c r="H2" s="924"/>
      <c r="I2" s="924"/>
      <c r="J2" s="924"/>
      <c r="K2" s="924"/>
      <c r="L2" s="924"/>
      <c r="M2" s="924"/>
      <c r="N2" s="1059" t="s">
        <v>538</v>
      </c>
      <c r="O2" s="1001"/>
      <c r="P2" s="1001"/>
      <c r="Q2" s="1001"/>
    </row>
    <row r="3" spans="1:18" ht="45.75" x14ac:dyDescent="0.2">
      <c r="A3" s="923"/>
      <c r="B3" s="923"/>
      <c r="C3" s="923"/>
      <c r="D3" s="923"/>
      <c r="E3" s="924"/>
      <c r="F3" s="922"/>
      <c r="G3" s="924"/>
      <c r="H3" s="924"/>
      <c r="I3" s="924"/>
      <c r="J3" s="924"/>
      <c r="K3" s="924"/>
      <c r="L3" s="924"/>
      <c r="M3" s="924"/>
      <c r="N3" s="1059" t="s">
        <v>1255</v>
      </c>
      <c r="O3" s="1060"/>
      <c r="P3" s="1060"/>
      <c r="Q3" s="1060"/>
    </row>
    <row r="4" spans="1:18" ht="40.700000000000003" customHeight="1" x14ac:dyDescent="0.2">
      <c r="A4" s="923"/>
      <c r="B4" s="923"/>
      <c r="C4" s="923"/>
      <c r="D4" s="923"/>
      <c r="E4" s="924"/>
      <c r="F4" s="922"/>
      <c r="G4" s="924"/>
      <c r="H4" s="924"/>
      <c r="I4" s="924"/>
      <c r="J4" s="924"/>
      <c r="K4" s="924"/>
      <c r="L4" s="924"/>
      <c r="M4" s="924"/>
      <c r="N4" s="924"/>
      <c r="O4" s="1059"/>
      <c r="P4" s="1061"/>
    </row>
    <row r="5" spans="1:18" ht="45.75" hidden="1" x14ac:dyDescent="0.2">
      <c r="A5" s="923"/>
      <c r="B5" s="923"/>
      <c r="C5" s="923"/>
      <c r="D5" s="923"/>
      <c r="E5" s="924"/>
      <c r="F5" s="922"/>
      <c r="G5" s="924"/>
      <c r="H5" s="924"/>
      <c r="I5" s="924"/>
      <c r="J5" s="924"/>
      <c r="K5" s="924"/>
      <c r="L5" s="924"/>
      <c r="M5" s="924"/>
      <c r="N5" s="924"/>
      <c r="O5" s="923"/>
      <c r="P5" s="922"/>
    </row>
    <row r="6" spans="1:18" ht="45" x14ac:dyDescent="0.2">
      <c r="A6" s="1062" t="s">
        <v>1506</v>
      </c>
      <c r="B6" s="1062"/>
      <c r="C6" s="1062"/>
      <c r="D6" s="1062"/>
      <c r="E6" s="1062"/>
      <c r="F6" s="1062"/>
      <c r="G6" s="1062"/>
      <c r="H6" s="1062"/>
      <c r="I6" s="1062"/>
      <c r="J6" s="1062"/>
      <c r="K6" s="1062"/>
      <c r="L6" s="1062"/>
      <c r="M6" s="1062"/>
      <c r="N6" s="1062"/>
      <c r="O6" s="1062"/>
      <c r="P6" s="1062"/>
    </row>
    <row r="7" spans="1:18" ht="45" x14ac:dyDescent="0.2">
      <c r="A7" s="1062" t="s">
        <v>679</v>
      </c>
      <c r="B7" s="1062"/>
      <c r="C7" s="1062"/>
      <c r="D7" s="1062"/>
      <c r="E7" s="1062"/>
      <c r="F7" s="1062"/>
      <c r="G7" s="1062"/>
      <c r="H7" s="1062"/>
      <c r="I7" s="1062"/>
      <c r="J7" s="1062"/>
      <c r="K7" s="1062"/>
      <c r="L7" s="1062"/>
      <c r="M7" s="1062"/>
      <c r="N7" s="1062"/>
      <c r="O7" s="1062"/>
      <c r="P7" s="1062"/>
    </row>
    <row r="8" spans="1:18" ht="45" x14ac:dyDescent="0.2">
      <c r="A8" s="924"/>
      <c r="B8" s="924"/>
      <c r="C8" s="924"/>
      <c r="D8" s="924"/>
      <c r="E8" s="924"/>
      <c r="F8" s="924"/>
      <c r="G8" s="924"/>
      <c r="H8" s="924"/>
      <c r="I8" s="924"/>
      <c r="J8" s="924"/>
      <c r="K8" s="924"/>
      <c r="L8" s="924"/>
      <c r="M8" s="924"/>
      <c r="N8" s="924"/>
      <c r="O8" s="924"/>
      <c r="P8" s="924"/>
    </row>
    <row r="9" spans="1:18" ht="45.75" x14ac:dyDescent="0.65">
      <c r="A9" s="1063">
        <v>22564000000</v>
      </c>
      <c r="B9" s="1064"/>
      <c r="C9" s="924"/>
      <c r="D9" s="924"/>
      <c r="E9" s="924"/>
      <c r="F9" s="924"/>
      <c r="G9" s="924"/>
      <c r="H9" s="924"/>
      <c r="I9" s="924"/>
      <c r="J9" s="924"/>
      <c r="K9" s="924"/>
      <c r="L9" s="924"/>
      <c r="M9" s="924"/>
      <c r="N9" s="924"/>
      <c r="O9" s="924"/>
      <c r="P9" s="924"/>
    </row>
    <row r="10" spans="1:18" ht="45.75" x14ac:dyDescent="0.2">
      <c r="A10" s="1068" t="s">
        <v>535</v>
      </c>
      <c r="B10" s="1069"/>
      <c r="C10" s="924"/>
      <c r="D10" s="924"/>
      <c r="E10" s="924"/>
      <c r="F10" s="924"/>
      <c r="G10" s="924"/>
      <c r="H10" s="924"/>
      <c r="I10" s="924"/>
      <c r="J10" s="924"/>
      <c r="K10" s="924"/>
      <c r="L10" s="924"/>
      <c r="M10" s="924"/>
      <c r="N10" s="924"/>
      <c r="O10" s="924"/>
      <c r="P10" s="924"/>
    </row>
    <row r="11" spans="1:18" ht="53.45" customHeight="1" thickBot="1" x14ac:dyDescent="0.25">
      <c r="A11" s="924"/>
      <c r="B11" s="924"/>
      <c r="C11" s="924"/>
      <c r="D11" s="924"/>
      <c r="E11" s="924"/>
      <c r="F11" s="922"/>
      <c r="G11" s="924"/>
      <c r="H11" s="924"/>
      <c r="I11" s="924"/>
      <c r="J11" s="924"/>
      <c r="K11" s="924"/>
      <c r="L11" s="924"/>
      <c r="M11" s="924"/>
      <c r="N11" s="924"/>
      <c r="O11" s="924"/>
      <c r="P11" s="6" t="s">
        <v>431</v>
      </c>
    </row>
    <row r="12" spans="1:18" ht="62.45" customHeight="1" thickTop="1" thickBot="1" x14ac:dyDescent="0.25">
      <c r="A12" s="1067" t="s">
        <v>536</v>
      </c>
      <c r="B12" s="1067" t="s">
        <v>537</v>
      </c>
      <c r="C12" s="1067" t="s">
        <v>417</v>
      </c>
      <c r="D12" s="1067" t="s">
        <v>691</v>
      </c>
      <c r="E12" s="1065" t="s">
        <v>12</v>
      </c>
      <c r="F12" s="1065"/>
      <c r="G12" s="1065"/>
      <c r="H12" s="1065"/>
      <c r="I12" s="1065"/>
      <c r="J12" s="1065" t="s">
        <v>57</v>
      </c>
      <c r="K12" s="1065"/>
      <c r="L12" s="1065"/>
      <c r="M12" s="1065"/>
      <c r="N12" s="1065"/>
      <c r="O12" s="1066"/>
      <c r="P12" s="1065" t="s">
        <v>11</v>
      </c>
    </row>
    <row r="13" spans="1:18" ht="96" customHeight="1" thickTop="1" thickBot="1" x14ac:dyDescent="0.25">
      <c r="A13" s="1065"/>
      <c r="B13" s="1070"/>
      <c r="C13" s="1070"/>
      <c r="D13" s="1065"/>
      <c r="E13" s="1067" t="s">
        <v>411</v>
      </c>
      <c r="F13" s="1067" t="s">
        <v>58</v>
      </c>
      <c r="G13" s="1067" t="s">
        <v>13</v>
      </c>
      <c r="H13" s="1067"/>
      <c r="I13" s="1067" t="s">
        <v>60</v>
      </c>
      <c r="J13" s="1067" t="s">
        <v>411</v>
      </c>
      <c r="K13" s="1067" t="s">
        <v>412</v>
      </c>
      <c r="L13" s="1067" t="s">
        <v>58</v>
      </c>
      <c r="M13" s="1067" t="s">
        <v>13</v>
      </c>
      <c r="N13" s="1067"/>
      <c r="O13" s="1067" t="s">
        <v>60</v>
      </c>
      <c r="P13" s="1065"/>
    </row>
    <row r="14" spans="1:18" ht="328.5" customHeight="1" thickTop="1" thickBot="1" x14ac:dyDescent="0.25">
      <c r="A14" s="1070"/>
      <c r="B14" s="1070"/>
      <c r="C14" s="1070"/>
      <c r="D14" s="1070"/>
      <c r="E14" s="1067"/>
      <c r="F14" s="1067"/>
      <c r="G14" s="925" t="s">
        <v>59</v>
      </c>
      <c r="H14" s="925" t="s">
        <v>15</v>
      </c>
      <c r="I14" s="1067"/>
      <c r="J14" s="1067"/>
      <c r="K14" s="1067"/>
      <c r="L14" s="1067"/>
      <c r="M14" s="925" t="s">
        <v>59</v>
      </c>
      <c r="N14" s="925" t="s">
        <v>15</v>
      </c>
      <c r="O14" s="1067"/>
      <c r="P14" s="1065"/>
    </row>
    <row r="15" spans="1:18" s="2" customFormat="1" ht="47.25" thickTop="1" thickBot="1" x14ac:dyDescent="0.25">
      <c r="A15" s="173" t="s">
        <v>2</v>
      </c>
      <c r="B15" s="173" t="s">
        <v>3</v>
      </c>
      <c r="C15" s="173" t="s">
        <v>14</v>
      </c>
      <c r="D15" s="173" t="s">
        <v>5</v>
      </c>
      <c r="E15" s="173" t="s">
        <v>419</v>
      </c>
      <c r="F15" s="173" t="s">
        <v>420</v>
      </c>
      <c r="G15" s="173" t="s">
        <v>421</v>
      </c>
      <c r="H15" s="173" t="s">
        <v>422</v>
      </c>
      <c r="I15" s="173" t="s">
        <v>423</v>
      </c>
      <c r="J15" s="173" t="s">
        <v>424</v>
      </c>
      <c r="K15" s="173" t="s">
        <v>425</v>
      </c>
      <c r="L15" s="173" t="s">
        <v>426</v>
      </c>
      <c r="M15" s="173" t="s">
        <v>427</v>
      </c>
      <c r="N15" s="173" t="s">
        <v>428</v>
      </c>
      <c r="O15" s="173" t="s">
        <v>429</v>
      </c>
      <c r="P15" s="173" t="s">
        <v>430</v>
      </c>
      <c r="Q15" s="188"/>
      <c r="R15" s="189"/>
    </row>
    <row r="16" spans="1:18" s="2" customFormat="1" ht="136.5" thickTop="1" thickBot="1" x14ac:dyDescent="0.25">
      <c r="A16" s="853" t="s">
        <v>162</v>
      </c>
      <c r="B16" s="853"/>
      <c r="C16" s="853"/>
      <c r="D16" s="854" t="s">
        <v>164</v>
      </c>
      <c r="E16" s="855">
        <f>E17</f>
        <v>4855459</v>
      </c>
      <c r="F16" s="856">
        <f t="shared" ref="F16:N16" si="0">F17</f>
        <v>4855459</v>
      </c>
      <c r="G16" s="856">
        <f t="shared" si="0"/>
        <v>6090001.0300000012</v>
      </c>
      <c r="H16" s="856">
        <f t="shared" si="0"/>
        <v>100000</v>
      </c>
      <c r="I16" s="856">
        <f t="shared" si="0"/>
        <v>0</v>
      </c>
      <c r="J16" s="855">
        <f t="shared" si="0"/>
        <v>352000</v>
      </c>
      <c r="K16" s="856">
        <f t="shared" si="0"/>
        <v>352000</v>
      </c>
      <c r="L16" s="856">
        <f t="shared" si="0"/>
        <v>0</v>
      </c>
      <c r="M16" s="856">
        <f t="shared" si="0"/>
        <v>0</v>
      </c>
      <c r="N16" s="856">
        <f t="shared" si="0"/>
        <v>0</v>
      </c>
      <c r="O16" s="855">
        <f>O17</f>
        <v>352000</v>
      </c>
      <c r="P16" s="856">
        <f t="shared" ref="P16" si="1">P17</f>
        <v>5207459</v>
      </c>
      <c r="Q16" s="190"/>
      <c r="R16" s="190"/>
    </row>
    <row r="17" spans="1:18" s="2" customFormat="1" ht="136.5" thickTop="1" thickBot="1" x14ac:dyDescent="0.25">
      <c r="A17" s="857" t="s">
        <v>163</v>
      </c>
      <c r="B17" s="857"/>
      <c r="C17" s="857"/>
      <c r="D17" s="858" t="s">
        <v>165</v>
      </c>
      <c r="E17" s="859">
        <f>E18+E23+E33+E36</f>
        <v>4855459</v>
      </c>
      <c r="F17" s="859">
        <f>F18+F23+F33+F36</f>
        <v>4855459</v>
      </c>
      <c r="G17" s="859">
        <f t="shared" ref="G17:I17" si="2">G18+G23+G33+G36</f>
        <v>6090001.0300000012</v>
      </c>
      <c r="H17" s="859">
        <f t="shared" si="2"/>
        <v>100000</v>
      </c>
      <c r="I17" s="859">
        <f t="shared" si="2"/>
        <v>0</v>
      </c>
      <c r="J17" s="859">
        <f>L17+O17</f>
        <v>352000</v>
      </c>
      <c r="K17" s="859">
        <f>K18+K23+K33+K36</f>
        <v>352000</v>
      </c>
      <c r="L17" s="859">
        <f>L18+L23+L33+L36</f>
        <v>0</v>
      </c>
      <c r="M17" s="859">
        <f t="shared" ref="M17:N17" si="3">M18+M23+M33+M36</f>
        <v>0</v>
      </c>
      <c r="N17" s="859">
        <f t="shared" si="3"/>
        <v>0</v>
      </c>
      <c r="O17" s="859">
        <f>O18+O23+O33+O36</f>
        <v>352000</v>
      </c>
      <c r="P17" s="859">
        <f>E17+J17</f>
        <v>5207459</v>
      </c>
      <c r="Q17" s="124" t="b">
        <f>P17=P19+P20+P21+P22+P25+P28+P30+P35+P38+P39+P32+P40+P26</f>
        <v>1</v>
      </c>
      <c r="R17" s="124" t="b">
        <f>K17='d6'!J12</f>
        <v>0</v>
      </c>
    </row>
    <row r="18" spans="1:18" s="402" customFormat="1" ht="47.25" thickTop="1" thickBot="1" x14ac:dyDescent="0.25">
      <c r="A18" s="455" t="s">
        <v>842</v>
      </c>
      <c r="B18" s="455" t="s">
        <v>843</v>
      </c>
      <c r="C18" s="455"/>
      <c r="D18" s="455" t="s">
        <v>844</v>
      </c>
      <c r="E18" s="918">
        <f>'d3'!E18-'d3-07'!E18</f>
        <v>4735459</v>
      </c>
      <c r="F18" s="918">
        <f>'d3'!F18-'d3-07'!F18</f>
        <v>4735459</v>
      </c>
      <c r="G18" s="918">
        <f>'d3'!G18-'d3-07'!G18</f>
        <v>6090001.0300000012</v>
      </c>
      <c r="H18" s="918">
        <f>'d3'!H18-'d3-07'!H18</f>
        <v>100000</v>
      </c>
      <c r="I18" s="918">
        <f>'d3'!I18-'d3-07'!I18</f>
        <v>0</v>
      </c>
      <c r="J18" s="918">
        <f>'d3'!J18-'d3-07'!J18</f>
        <v>352000</v>
      </c>
      <c r="K18" s="918">
        <f>'d3'!K18-'d3-07'!K18</f>
        <v>352000</v>
      </c>
      <c r="L18" s="918">
        <f>'d3'!L18-'d3-07'!L18</f>
        <v>0</v>
      </c>
      <c r="M18" s="918">
        <f>'d3'!M18-'d3-07'!M18</f>
        <v>0</v>
      </c>
      <c r="N18" s="918">
        <f>'d3'!N18-'d3-07'!N18</f>
        <v>0</v>
      </c>
      <c r="O18" s="918">
        <f>'d3'!O18-'d3-07'!O18</f>
        <v>352000</v>
      </c>
      <c r="P18" s="918">
        <f>'d3'!P18-'d3-07'!P18</f>
        <v>5087459</v>
      </c>
      <c r="Q18" s="368"/>
      <c r="R18" s="368"/>
    </row>
    <row r="19" spans="1:18" ht="321.75" thickTop="1" thickBot="1" x14ac:dyDescent="0.25">
      <c r="A19" s="921" t="s">
        <v>250</v>
      </c>
      <c r="B19" s="921" t="s">
        <v>251</v>
      </c>
      <c r="C19" s="921" t="s">
        <v>252</v>
      </c>
      <c r="D19" s="921" t="s">
        <v>249</v>
      </c>
      <c r="E19" s="918">
        <f>'d3'!E19-'d3-07'!E19</f>
        <v>7084000</v>
      </c>
      <c r="F19" s="918">
        <f>'d3'!F19-'d3-07'!F19</f>
        <v>7084000</v>
      </c>
      <c r="G19" s="918">
        <f>'d3'!G19-'d3-07'!G19</f>
        <v>6884000</v>
      </c>
      <c r="H19" s="918">
        <f>'d3'!H19-'d3-07'!H19</f>
        <v>100000</v>
      </c>
      <c r="I19" s="918">
        <f>'d3'!I19-'d3-07'!I19</f>
        <v>0</v>
      </c>
      <c r="J19" s="918">
        <f>'d3'!J19-'d3-07'!J19</f>
        <v>352000</v>
      </c>
      <c r="K19" s="918">
        <f>'d3'!K19-'d3-07'!K19</f>
        <v>352000</v>
      </c>
      <c r="L19" s="918">
        <f>'d3'!L19-'d3-07'!L19</f>
        <v>0</v>
      </c>
      <c r="M19" s="918">
        <f>'d3'!M19-'d3-07'!M19</f>
        <v>0</v>
      </c>
      <c r="N19" s="918">
        <f>'d3'!N19-'d3-07'!N19</f>
        <v>0</v>
      </c>
      <c r="O19" s="918">
        <f>'d3'!O19-'d3-07'!O19</f>
        <v>352000</v>
      </c>
      <c r="P19" s="918">
        <f>'d3'!P19-'d3-07'!P19</f>
        <v>7436000</v>
      </c>
      <c r="Q19" s="192"/>
      <c r="R19" s="205" t="b">
        <f>K19='d6'!J14+'d6'!J15</f>
        <v>0</v>
      </c>
    </row>
    <row r="20" spans="1:18" ht="230.25" thickTop="1" thickBot="1" x14ac:dyDescent="0.25">
      <c r="A20" s="921" t="s">
        <v>708</v>
      </c>
      <c r="B20" s="921" t="s">
        <v>254</v>
      </c>
      <c r="C20" s="921" t="s">
        <v>252</v>
      </c>
      <c r="D20" s="921" t="s">
        <v>253</v>
      </c>
      <c r="E20" s="918">
        <f>'d3'!E20-'d3-07'!E20</f>
        <v>-2148541</v>
      </c>
      <c r="F20" s="918">
        <f>'d3'!F20-'d3-07'!F20</f>
        <v>-2148541</v>
      </c>
      <c r="G20" s="918">
        <f>'d3'!G20-'d3-07'!G20</f>
        <v>-793998.96999999974</v>
      </c>
      <c r="H20" s="918">
        <f>'d3'!H20-'d3-07'!H20</f>
        <v>0</v>
      </c>
      <c r="I20" s="918">
        <f>'d3'!I20-'d3-07'!I20</f>
        <v>0</v>
      </c>
      <c r="J20" s="918">
        <f>'d3'!J20-'d3-07'!J20</f>
        <v>0</v>
      </c>
      <c r="K20" s="918">
        <f>'d3'!K20-'d3-07'!K20</f>
        <v>0</v>
      </c>
      <c r="L20" s="918">
        <f>'d3'!L20-'d3-07'!L20</f>
        <v>0</v>
      </c>
      <c r="M20" s="918">
        <f>'d3'!M20-'d3-07'!M20</f>
        <v>0</v>
      </c>
      <c r="N20" s="918">
        <f>'d3'!N20-'d3-07'!N20</f>
        <v>0</v>
      </c>
      <c r="O20" s="918">
        <f>'d3'!O20-'d3-07'!O20</f>
        <v>0</v>
      </c>
      <c r="P20" s="918">
        <f>'d3'!P20-'d3-07'!P20</f>
        <v>-2148541</v>
      </c>
      <c r="Q20" s="192"/>
      <c r="R20" s="205"/>
    </row>
    <row r="21" spans="1:18" ht="184.5" thickTop="1" thickBot="1" x14ac:dyDescent="0.25">
      <c r="A21" s="920" t="s">
        <v>777</v>
      </c>
      <c r="B21" s="920" t="s">
        <v>388</v>
      </c>
      <c r="C21" s="920" t="s">
        <v>778</v>
      </c>
      <c r="D21" s="920" t="s">
        <v>779</v>
      </c>
      <c r="E21" s="918">
        <f>'d3'!E21-'d3-07'!E21</f>
        <v>0</v>
      </c>
      <c r="F21" s="918">
        <f>'d3'!F21-'d3-07'!F21</f>
        <v>0</v>
      </c>
      <c r="G21" s="918">
        <f>'d3'!G21-'d3-07'!G21</f>
        <v>0</v>
      </c>
      <c r="H21" s="918">
        <f>'d3'!H21-'d3-07'!H21</f>
        <v>0</v>
      </c>
      <c r="I21" s="918">
        <f>'d3'!I21-'d3-07'!I21</f>
        <v>0</v>
      </c>
      <c r="J21" s="918">
        <f>'d3'!J21-'d3-07'!J21</f>
        <v>0</v>
      </c>
      <c r="K21" s="918">
        <f>'d3'!K21-'d3-07'!K21</f>
        <v>0</v>
      </c>
      <c r="L21" s="918">
        <f>'d3'!L21-'d3-07'!L21</f>
        <v>0</v>
      </c>
      <c r="M21" s="918">
        <f>'d3'!M21-'d3-07'!M21</f>
        <v>0</v>
      </c>
      <c r="N21" s="918">
        <f>'d3'!N21-'d3-07'!N21</f>
        <v>0</v>
      </c>
      <c r="O21" s="918">
        <f>'d3'!O21-'d3-07'!O21</f>
        <v>0</v>
      </c>
      <c r="P21" s="918">
        <f>'d3'!P21-'d3-07'!P21</f>
        <v>0</v>
      </c>
      <c r="Q21" s="192"/>
      <c r="R21" s="191"/>
    </row>
    <row r="22" spans="1:18" ht="93" thickTop="1" thickBot="1" x14ac:dyDescent="0.25">
      <c r="A22" s="920" t="s">
        <v>265</v>
      </c>
      <c r="B22" s="920" t="s">
        <v>45</v>
      </c>
      <c r="C22" s="920" t="s">
        <v>44</v>
      </c>
      <c r="D22" s="920" t="s">
        <v>266</v>
      </c>
      <c r="E22" s="918">
        <f>'d3'!E22-'d3-07'!E22</f>
        <v>-200000</v>
      </c>
      <c r="F22" s="918">
        <f>'d3'!F22-'d3-07'!F22</f>
        <v>-200000</v>
      </c>
      <c r="G22" s="918">
        <f>'d3'!G22-'d3-07'!G22</f>
        <v>0</v>
      </c>
      <c r="H22" s="918">
        <f>'d3'!H22-'d3-07'!H22</f>
        <v>0</v>
      </c>
      <c r="I22" s="918">
        <f>'d3'!I22-'d3-07'!I22</f>
        <v>0</v>
      </c>
      <c r="J22" s="918">
        <f>'d3'!J22-'d3-07'!J22</f>
        <v>0</v>
      </c>
      <c r="K22" s="918">
        <f>'d3'!K22-'d3-07'!K22</f>
        <v>0</v>
      </c>
      <c r="L22" s="918">
        <f>'d3'!L22-'d3-07'!L22</f>
        <v>0</v>
      </c>
      <c r="M22" s="918">
        <f>'d3'!M22-'d3-07'!M22</f>
        <v>0</v>
      </c>
      <c r="N22" s="918">
        <f>'d3'!N22-'d3-07'!N22</f>
        <v>0</v>
      </c>
      <c r="O22" s="918">
        <f>'d3'!O22-'d3-07'!O22</f>
        <v>0</v>
      </c>
      <c r="P22" s="918">
        <f>'d3'!P22-'d3-07'!P22</f>
        <v>-200000</v>
      </c>
      <c r="Q22" s="192"/>
      <c r="R22" s="191"/>
    </row>
    <row r="23" spans="1:18" s="402" customFormat="1" ht="47.25" thickTop="1" thickBot="1" x14ac:dyDescent="0.3">
      <c r="A23" s="455" t="s">
        <v>907</v>
      </c>
      <c r="B23" s="454" t="s">
        <v>908</v>
      </c>
      <c r="C23" s="454"/>
      <c r="D23" s="454" t="s">
        <v>909</v>
      </c>
      <c r="E23" s="918">
        <f>'d3'!E23-'d3-07'!E23</f>
        <v>0</v>
      </c>
      <c r="F23" s="918">
        <f>'d3'!F23-'d3-07'!F23</f>
        <v>0</v>
      </c>
      <c r="G23" s="918">
        <f>'d3'!G23-'d3-07'!G23</f>
        <v>0</v>
      </c>
      <c r="H23" s="918">
        <f>'d3'!H23-'d3-07'!H23</f>
        <v>0</v>
      </c>
      <c r="I23" s="918">
        <f>'d3'!I23-'d3-07'!I23</f>
        <v>0</v>
      </c>
      <c r="J23" s="918">
        <f>'d3'!J23-'d3-07'!J23</f>
        <v>0</v>
      </c>
      <c r="K23" s="918">
        <f>'d3'!K23-'d3-07'!K23</f>
        <v>0</v>
      </c>
      <c r="L23" s="918">
        <f>'d3'!L23-'d3-07'!L23</f>
        <v>0</v>
      </c>
      <c r="M23" s="918">
        <f>'d3'!M23-'d3-07'!M23</f>
        <v>0</v>
      </c>
      <c r="N23" s="918">
        <f>'d3'!N23-'d3-07'!N23</f>
        <v>0</v>
      </c>
      <c r="O23" s="918">
        <f>'d3'!O23-'d3-07'!O23</f>
        <v>0</v>
      </c>
      <c r="P23" s="918">
        <f>'d3'!P23-'d3-07'!P23</f>
        <v>0</v>
      </c>
      <c r="Q23" s="456"/>
      <c r="R23" s="457"/>
    </row>
    <row r="24" spans="1:18" s="39" customFormat="1" ht="91.5" thickTop="1" thickBot="1" x14ac:dyDescent="0.25">
      <c r="A24" s="404" t="s">
        <v>845</v>
      </c>
      <c r="B24" s="404" t="s">
        <v>846</v>
      </c>
      <c r="C24" s="404"/>
      <c r="D24" s="404" t="s">
        <v>847</v>
      </c>
      <c r="E24" s="918">
        <f>'d3'!E24-'d3-07'!E24</f>
        <v>0</v>
      </c>
      <c r="F24" s="918">
        <f>'d3'!F24-'d3-07'!F24</f>
        <v>0</v>
      </c>
      <c r="G24" s="918">
        <f>'d3'!G24-'d3-07'!G24</f>
        <v>0</v>
      </c>
      <c r="H24" s="918">
        <f>'d3'!H24-'d3-07'!H24</f>
        <v>0</v>
      </c>
      <c r="I24" s="918">
        <f>'d3'!I24-'d3-07'!I24</f>
        <v>0</v>
      </c>
      <c r="J24" s="918">
        <f>'d3'!J24-'d3-07'!J24</f>
        <v>0</v>
      </c>
      <c r="K24" s="918">
        <f>'d3'!K24-'d3-07'!K24</f>
        <v>0</v>
      </c>
      <c r="L24" s="918">
        <f>'d3'!L24-'d3-07'!L24</f>
        <v>0</v>
      </c>
      <c r="M24" s="918">
        <f>'d3'!M24-'d3-07'!M24</f>
        <v>0</v>
      </c>
      <c r="N24" s="918">
        <f>'d3'!N24-'d3-07'!N24</f>
        <v>0</v>
      </c>
      <c r="O24" s="918">
        <f>'d3'!O24-'d3-07'!O24</f>
        <v>0</v>
      </c>
      <c r="P24" s="918">
        <f>'d3'!P24-'d3-07'!P24</f>
        <v>0</v>
      </c>
      <c r="Q24" s="458"/>
      <c r="R24" s="459"/>
    </row>
    <row r="25" spans="1:18" ht="93" thickTop="1" thickBot="1" x14ac:dyDescent="0.25">
      <c r="A25" s="920" t="s">
        <v>256</v>
      </c>
      <c r="B25" s="920" t="s">
        <v>257</v>
      </c>
      <c r="C25" s="920" t="s">
        <v>258</v>
      </c>
      <c r="D25" s="920" t="s">
        <v>255</v>
      </c>
      <c r="E25" s="918">
        <f>'d3'!E25-'d3-07'!E25</f>
        <v>0</v>
      </c>
      <c r="F25" s="918">
        <f>'d3'!F25-'d3-07'!F25</f>
        <v>0</v>
      </c>
      <c r="G25" s="918">
        <f>'d3'!G25-'d3-07'!G25</f>
        <v>0</v>
      </c>
      <c r="H25" s="918">
        <f>'d3'!H25-'d3-07'!H25</f>
        <v>0</v>
      </c>
      <c r="I25" s="918">
        <f>'d3'!I25-'d3-07'!I25</f>
        <v>0</v>
      </c>
      <c r="J25" s="918">
        <f>'d3'!J25-'d3-07'!J25</f>
        <v>0</v>
      </c>
      <c r="K25" s="918">
        <f>'d3'!K25-'d3-07'!K25</f>
        <v>0</v>
      </c>
      <c r="L25" s="918">
        <f>'d3'!L25-'d3-07'!L25</f>
        <v>0</v>
      </c>
      <c r="M25" s="918">
        <f>'d3'!M25-'d3-07'!M25</f>
        <v>0</v>
      </c>
      <c r="N25" s="918">
        <f>'d3'!N25-'d3-07'!N25</f>
        <v>0</v>
      </c>
      <c r="O25" s="918">
        <f>'d3'!O25-'d3-07'!O25</f>
        <v>0</v>
      </c>
      <c r="P25" s="918">
        <f>'d3'!P25-'d3-07'!P25</f>
        <v>0</v>
      </c>
      <c r="Q25" s="192"/>
      <c r="R25" s="205" t="b">
        <f>K25='d6'!J16</f>
        <v>0</v>
      </c>
    </row>
    <row r="26" spans="1:18" ht="230.25" thickTop="1" thickBot="1" x14ac:dyDescent="0.25">
      <c r="A26" s="920" t="s">
        <v>1288</v>
      </c>
      <c r="B26" s="920" t="s">
        <v>1289</v>
      </c>
      <c r="C26" s="920" t="s">
        <v>258</v>
      </c>
      <c r="D26" s="920" t="s">
        <v>1290</v>
      </c>
      <c r="E26" s="918">
        <f>'d3'!E26-'d3-07'!E26</f>
        <v>0</v>
      </c>
      <c r="F26" s="918">
        <f>'d3'!F26-'d3-07'!F26</f>
        <v>0</v>
      </c>
      <c r="G26" s="918">
        <f>'d3'!G26-'d3-07'!G26</f>
        <v>0</v>
      </c>
      <c r="H26" s="918">
        <f>'d3'!H26-'d3-07'!H26</f>
        <v>0</v>
      </c>
      <c r="I26" s="918">
        <f>'d3'!I26-'d3-07'!I26</f>
        <v>0</v>
      </c>
      <c r="J26" s="918">
        <f>'d3'!J26-'d3-07'!J26</f>
        <v>0</v>
      </c>
      <c r="K26" s="918">
        <f>'d3'!K26-'d3-07'!K26</f>
        <v>0</v>
      </c>
      <c r="L26" s="918">
        <f>'d3'!L26-'d3-07'!L26</f>
        <v>0</v>
      </c>
      <c r="M26" s="918">
        <f>'d3'!M26-'d3-07'!M26</f>
        <v>0</v>
      </c>
      <c r="N26" s="918">
        <f>'d3'!N26-'d3-07'!N26</f>
        <v>0</v>
      </c>
      <c r="O26" s="918">
        <f>'d3'!O26-'d3-07'!O26</f>
        <v>0</v>
      </c>
      <c r="P26" s="918">
        <f>'d3'!P26-'d3-07'!P26</f>
        <v>0</v>
      </c>
      <c r="Q26" s="192"/>
      <c r="R26" s="205"/>
    </row>
    <row r="27" spans="1:18" s="79" customFormat="1" ht="136.5" thickTop="1" thickBot="1" x14ac:dyDescent="0.25">
      <c r="A27" s="405" t="s">
        <v>849</v>
      </c>
      <c r="B27" s="405" t="s">
        <v>850</v>
      </c>
      <c r="C27" s="405"/>
      <c r="D27" s="405" t="s">
        <v>848</v>
      </c>
      <c r="E27" s="918">
        <f>'d3'!E27-'d3-07'!E27</f>
        <v>0</v>
      </c>
      <c r="F27" s="918">
        <f>'d3'!F27-'d3-07'!F27</f>
        <v>0</v>
      </c>
      <c r="G27" s="918">
        <f>'d3'!G27-'d3-07'!G27</f>
        <v>0</v>
      </c>
      <c r="H27" s="918">
        <f>'d3'!H27-'d3-07'!H27</f>
        <v>0</v>
      </c>
      <c r="I27" s="918">
        <f>'d3'!I27-'d3-07'!I27</f>
        <v>0</v>
      </c>
      <c r="J27" s="918">
        <f>'d3'!J27-'d3-07'!J27</f>
        <v>0</v>
      </c>
      <c r="K27" s="918">
        <f>'d3'!K27-'d3-07'!K27</f>
        <v>0</v>
      </c>
      <c r="L27" s="918">
        <f>'d3'!L27-'d3-07'!L27</f>
        <v>0</v>
      </c>
      <c r="M27" s="918">
        <f>'d3'!M27-'d3-07'!M27</f>
        <v>0</v>
      </c>
      <c r="N27" s="918">
        <f>'d3'!N27-'d3-07'!N27</f>
        <v>0</v>
      </c>
      <c r="O27" s="918">
        <f>'d3'!O27-'d3-07'!O27</f>
        <v>0</v>
      </c>
      <c r="P27" s="918">
        <f>'d3'!P27-'d3-07'!P27</f>
        <v>0</v>
      </c>
      <c r="Q27" s="408"/>
      <c r="R27" s="460"/>
    </row>
    <row r="28" spans="1:18" ht="138.75" thickTop="1" thickBot="1" x14ac:dyDescent="0.25">
      <c r="A28" s="920" t="s">
        <v>318</v>
      </c>
      <c r="B28" s="920" t="s">
        <v>319</v>
      </c>
      <c r="C28" s="920" t="s">
        <v>184</v>
      </c>
      <c r="D28" s="920" t="s">
        <v>475</v>
      </c>
      <c r="E28" s="918">
        <f>'d3'!E28-'d3-07'!E28</f>
        <v>0</v>
      </c>
      <c r="F28" s="918">
        <f>'d3'!F28-'d3-07'!F28</f>
        <v>0</v>
      </c>
      <c r="G28" s="918">
        <f>'d3'!G28-'d3-07'!G28</f>
        <v>0</v>
      </c>
      <c r="H28" s="918">
        <f>'d3'!H28-'d3-07'!H28</f>
        <v>0</v>
      </c>
      <c r="I28" s="918">
        <f>'d3'!I28-'d3-07'!I28</f>
        <v>0</v>
      </c>
      <c r="J28" s="918">
        <f>'d3'!J28-'d3-07'!J28</f>
        <v>0</v>
      </c>
      <c r="K28" s="918">
        <f>'d3'!K28-'d3-07'!K28</f>
        <v>0</v>
      </c>
      <c r="L28" s="918">
        <f>'d3'!L28-'d3-07'!L28</f>
        <v>0</v>
      </c>
      <c r="M28" s="918">
        <f>'d3'!M28-'d3-07'!M28</f>
        <v>0</v>
      </c>
      <c r="N28" s="918">
        <f>'d3'!N28-'d3-07'!N28</f>
        <v>0</v>
      </c>
      <c r="O28" s="918">
        <f>'d3'!O28-'d3-07'!O28</f>
        <v>0</v>
      </c>
      <c r="P28" s="918">
        <f>'d3'!P28-'d3-07'!P28</f>
        <v>0</v>
      </c>
      <c r="Q28" s="192"/>
      <c r="R28" s="191"/>
    </row>
    <row r="29" spans="1:18" s="79" customFormat="1" ht="47.25" thickTop="1" thickBot="1" x14ac:dyDescent="0.25">
      <c r="A29" s="403" t="s">
        <v>852</v>
      </c>
      <c r="B29" s="403" t="s">
        <v>853</v>
      </c>
      <c r="C29" s="403"/>
      <c r="D29" s="406" t="s">
        <v>851</v>
      </c>
      <c r="E29" s="918">
        <f>'d3'!E29-'d3-07'!E29</f>
        <v>0</v>
      </c>
      <c r="F29" s="918">
        <f>'d3'!F29-'d3-07'!F29</f>
        <v>0</v>
      </c>
      <c r="G29" s="918">
        <f>'d3'!G29-'d3-07'!G29</f>
        <v>0</v>
      </c>
      <c r="H29" s="918">
        <f>'d3'!H29-'d3-07'!H29</f>
        <v>0</v>
      </c>
      <c r="I29" s="918">
        <f>'d3'!I29-'d3-07'!I29</f>
        <v>0</v>
      </c>
      <c r="J29" s="918">
        <f>'d3'!J29-'d3-07'!J29</f>
        <v>0</v>
      </c>
      <c r="K29" s="918">
        <f>'d3'!K29-'d3-07'!K29</f>
        <v>0</v>
      </c>
      <c r="L29" s="918">
        <f>'d3'!L29-'d3-07'!L29</f>
        <v>0</v>
      </c>
      <c r="M29" s="918">
        <f>'d3'!M29-'d3-07'!M29</f>
        <v>0</v>
      </c>
      <c r="N29" s="918">
        <f>'d3'!N29-'d3-07'!N29</f>
        <v>0</v>
      </c>
      <c r="O29" s="918">
        <f>'d3'!O29-'d3-07'!O29</f>
        <v>0</v>
      </c>
      <c r="P29" s="918">
        <f>'d3'!P29-'d3-07'!P29</f>
        <v>0</v>
      </c>
      <c r="Q29" s="408"/>
      <c r="R29" s="409"/>
    </row>
    <row r="30" spans="1:18" s="39" customFormat="1" ht="361.5" customHeight="1" thickTop="1" thickBot="1" x14ac:dyDescent="0.7">
      <c r="A30" s="1044" t="s">
        <v>364</v>
      </c>
      <c r="B30" s="1044" t="s">
        <v>363</v>
      </c>
      <c r="C30" s="1044" t="s">
        <v>184</v>
      </c>
      <c r="D30" s="311" t="s">
        <v>473</v>
      </c>
      <c r="E30" s="1016">
        <f>'d3'!E30-'d3-07'!E30</f>
        <v>0</v>
      </c>
      <c r="F30" s="1016">
        <f>'d3'!F30-'d3-07'!F30</f>
        <v>0</v>
      </c>
      <c r="G30" s="1016">
        <f>'d3'!G30-'d3-07'!G30</f>
        <v>0</v>
      </c>
      <c r="H30" s="1016">
        <f>'d3'!H30-'d3-07'!H30</f>
        <v>0</v>
      </c>
      <c r="I30" s="1016">
        <f>'d3'!I30-'d3-07'!I30</f>
        <v>0</v>
      </c>
      <c r="J30" s="1016">
        <f>'d3'!J30-'d3-07'!J30</f>
        <v>0</v>
      </c>
      <c r="K30" s="1016">
        <f>'d3'!K30-'d3-07'!K30</f>
        <v>0</v>
      </c>
      <c r="L30" s="1016">
        <f>'d3'!L30-'d3-07'!L30</f>
        <v>0</v>
      </c>
      <c r="M30" s="1016">
        <f>'d3'!M30-'d3-07'!M30</f>
        <v>0</v>
      </c>
      <c r="N30" s="1016">
        <f>'d3'!N30-'d3-07'!N30</f>
        <v>0</v>
      </c>
      <c r="O30" s="1016">
        <f>'d3'!O30-'d3-07'!O30</f>
        <v>0</v>
      </c>
      <c r="P30" s="1016">
        <f>'d3'!P30-'d3-07'!P30</f>
        <v>0</v>
      </c>
      <c r="Q30" s="193"/>
      <c r="R30" s="194"/>
    </row>
    <row r="31" spans="1:18" s="39" customFormat="1" ht="184.5" thickTop="1" thickBot="1" x14ac:dyDescent="0.25">
      <c r="A31" s="1046"/>
      <c r="B31" s="1045"/>
      <c r="C31" s="1046"/>
      <c r="D31" s="312" t="s">
        <v>474</v>
      </c>
      <c r="E31" s="1026"/>
      <c r="F31" s="1026"/>
      <c r="G31" s="1026"/>
      <c r="H31" s="1026"/>
      <c r="I31" s="1026"/>
      <c r="J31" s="1026"/>
      <c r="K31" s="1026"/>
      <c r="L31" s="1026"/>
      <c r="M31" s="1026"/>
      <c r="N31" s="1026"/>
      <c r="O31" s="1026"/>
      <c r="P31" s="1026"/>
      <c r="Q31" s="194"/>
      <c r="R31" s="194"/>
    </row>
    <row r="32" spans="1:18" s="39" customFormat="1" ht="93" thickTop="1" thickBot="1" x14ac:dyDescent="0.25">
      <c r="A32" s="921" t="s">
        <v>1122</v>
      </c>
      <c r="B32" s="921" t="s">
        <v>275</v>
      </c>
      <c r="C32" s="921" t="s">
        <v>184</v>
      </c>
      <c r="D32" s="921" t="s">
        <v>273</v>
      </c>
      <c r="E32" s="918">
        <f>'d3'!E32-'d3-07'!E32</f>
        <v>0</v>
      </c>
      <c r="F32" s="918">
        <f>'d3'!F32-'d3-07'!F32</f>
        <v>0</v>
      </c>
      <c r="G32" s="918">
        <f>'d3'!G32-'d3-07'!G32</f>
        <v>0</v>
      </c>
      <c r="H32" s="918">
        <f>'d3'!H32-'d3-07'!H32</f>
        <v>0</v>
      </c>
      <c r="I32" s="918">
        <f>'d3'!I32-'d3-07'!I32</f>
        <v>0</v>
      </c>
      <c r="J32" s="918">
        <f>'d3'!J32-'d3-07'!J32</f>
        <v>0</v>
      </c>
      <c r="K32" s="918">
        <f>'d3'!K32-'d3-07'!K32</f>
        <v>0</v>
      </c>
      <c r="L32" s="918">
        <f>'d3'!L32-'d3-07'!L32</f>
        <v>0</v>
      </c>
      <c r="M32" s="918">
        <f>'d3'!M32-'d3-07'!M32</f>
        <v>0</v>
      </c>
      <c r="N32" s="918">
        <f>'d3'!N32-'d3-07'!N32</f>
        <v>0</v>
      </c>
      <c r="O32" s="918">
        <f>'d3'!O32-'d3-07'!O32</f>
        <v>0</v>
      </c>
      <c r="P32" s="918">
        <f>'d3'!P32-'d3-07'!P32</f>
        <v>0</v>
      </c>
      <c r="Q32" s="194"/>
      <c r="R32" s="194"/>
    </row>
    <row r="33" spans="1:20" s="39" customFormat="1" ht="46.5" customHeight="1" thickTop="1" thickBot="1" x14ac:dyDescent="0.25">
      <c r="A33" s="455" t="s">
        <v>854</v>
      </c>
      <c r="B33" s="455" t="s">
        <v>855</v>
      </c>
      <c r="C33" s="455"/>
      <c r="D33" s="455" t="s">
        <v>856</v>
      </c>
      <c r="E33" s="918">
        <f>'d3'!E33-'d3-07'!E33</f>
        <v>0</v>
      </c>
      <c r="F33" s="918">
        <f>'d3'!F33-'d3-07'!F33</f>
        <v>0</v>
      </c>
      <c r="G33" s="918">
        <f>'d3'!G33-'d3-07'!G33</f>
        <v>0</v>
      </c>
      <c r="H33" s="918">
        <f>'d3'!H33-'d3-07'!H33</f>
        <v>0</v>
      </c>
      <c r="I33" s="918">
        <f>'d3'!I33-'d3-07'!I33</f>
        <v>0</v>
      </c>
      <c r="J33" s="918">
        <f>'d3'!J33-'d3-07'!J33</f>
        <v>0</v>
      </c>
      <c r="K33" s="918">
        <f>'d3'!K33-'d3-07'!K33</f>
        <v>0</v>
      </c>
      <c r="L33" s="918">
        <f>'d3'!L33-'d3-07'!L33</f>
        <v>0</v>
      </c>
      <c r="M33" s="918">
        <f>'d3'!M33-'d3-07'!M33</f>
        <v>0</v>
      </c>
      <c r="N33" s="918">
        <f>'d3'!N33-'d3-07'!N33</f>
        <v>0</v>
      </c>
      <c r="O33" s="918">
        <f>'d3'!O33-'d3-07'!O33</f>
        <v>0</v>
      </c>
      <c r="P33" s="918">
        <f>'d3'!P33-'d3-07'!P33</f>
        <v>0</v>
      </c>
      <c r="Q33" s="194"/>
      <c r="R33" s="194"/>
    </row>
    <row r="34" spans="1:20" s="39" customFormat="1" ht="47.25" thickTop="1" thickBot="1" x14ac:dyDescent="0.25">
      <c r="A34" s="404" t="s">
        <v>857</v>
      </c>
      <c r="B34" s="404" t="s">
        <v>858</v>
      </c>
      <c r="C34" s="404"/>
      <c r="D34" s="404" t="s">
        <v>859</v>
      </c>
      <c r="E34" s="918">
        <f>'d3'!E34-'d3-07'!E34</f>
        <v>0</v>
      </c>
      <c r="F34" s="918">
        <f>'d3'!F34-'d3-07'!F34</f>
        <v>0</v>
      </c>
      <c r="G34" s="918">
        <f>'d3'!G34-'d3-07'!G34</f>
        <v>0</v>
      </c>
      <c r="H34" s="918">
        <f>'d3'!H34-'d3-07'!H34</f>
        <v>0</v>
      </c>
      <c r="I34" s="918">
        <f>'d3'!I34-'d3-07'!I34</f>
        <v>0</v>
      </c>
      <c r="J34" s="918">
        <f>'d3'!J34-'d3-07'!J34</f>
        <v>0</v>
      </c>
      <c r="K34" s="918">
        <f>'d3'!K34-'d3-07'!K34</f>
        <v>0</v>
      </c>
      <c r="L34" s="918">
        <f>'d3'!L34-'d3-07'!L34</f>
        <v>0</v>
      </c>
      <c r="M34" s="918">
        <f>'d3'!M34-'d3-07'!M34</f>
        <v>0</v>
      </c>
      <c r="N34" s="918">
        <f>'d3'!N34-'d3-07'!N34</f>
        <v>0</v>
      </c>
      <c r="O34" s="918">
        <f>'d3'!O34-'d3-07'!O34</f>
        <v>0</v>
      </c>
      <c r="P34" s="918">
        <f>'d3'!P34-'d3-07'!P34</f>
        <v>0</v>
      </c>
    </row>
    <row r="35" spans="1:20" ht="93" thickTop="1" thickBot="1" x14ac:dyDescent="0.25">
      <c r="A35" s="920" t="s">
        <v>259</v>
      </c>
      <c r="B35" s="920" t="s">
        <v>260</v>
      </c>
      <c r="C35" s="920" t="s">
        <v>261</v>
      </c>
      <c r="D35" s="920" t="s">
        <v>262</v>
      </c>
      <c r="E35" s="918">
        <f>'d3'!E35-'d3-07'!E35</f>
        <v>0</v>
      </c>
      <c r="F35" s="918">
        <f>'d3'!F35-'d3-07'!F35</f>
        <v>0</v>
      </c>
      <c r="G35" s="918">
        <f>'d3'!G35-'d3-07'!G35</f>
        <v>0</v>
      </c>
      <c r="H35" s="918">
        <f>'d3'!H35-'d3-07'!H35</f>
        <v>0</v>
      </c>
      <c r="I35" s="918">
        <f>'d3'!I35-'d3-07'!I35</f>
        <v>0</v>
      </c>
      <c r="J35" s="918">
        <f>'d3'!J35-'d3-07'!J35</f>
        <v>0</v>
      </c>
      <c r="K35" s="918">
        <f>'d3'!K35-'d3-07'!K35</f>
        <v>0</v>
      </c>
      <c r="L35" s="918">
        <f>'d3'!L35-'d3-07'!L35</f>
        <v>0</v>
      </c>
      <c r="M35" s="918">
        <f>'d3'!M35-'d3-07'!M35</f>
        <v>0</v>
      </c>
      <c r="N35" s="918">
        <f>'d3'!N35-'d3-07'!N35</f>
        <v>0</v>
      </c>
      <c r="O35" s="918">
        <f>'d3'!O35-'d3-07'!O35</f>
        <v>0</v>
      </c>
      <c r="P35" s="918">
        <f>'d3'!P35-'d3-07'!P35</f>
        <v>0</v>
      </c>
    </row>
    <row r="36" spans="1:20" ht="47.25" thickTop="1" thickBot="1" x14ac:dyDescent="0.25">
      <c r="A36" s="455" t="s">
        <v>860</v>
      </c>
      <c r="B36" s="455" t="s">
        <v>861</v>
      </c>
      <c r="C36" s="455"/>
      <c r="D36" s="455" t="s">
        <v>862</v>
      </c>
      <c r="E36" s="918">
        <f>'d3'!E36-'d3-07'!E36</f>
        <v>120000</v>
      </c>
      <c r="F36" s="918">
        <f>'d3'!F36-'d3-07'!F36</f>
        <v>120000</v>
      </c>
      <c r="G36" s="918">
        <f>'d3'!G36-'d3-07'!G36</f>
        <v>0</v>
      </c>
      <c r="H36" s="918">
        <f>'d3'!H36-'d3-07'!H36</f>
        <v>0</v>
      </c>
      <c r="I36" s="918">
        <f>'d3'!I36-'d3-07'!I36</f>
        <v>0</v>
      </c>
      <c r="J36" s="918">
        <f>'d3'!J36-'d3-07'!J36</f>
        <v>0</v>
      </c>
      <c r="K36" s="918">
        <f>'d3'!K36-'d3-07'!K36</f>
        <v>0</v>
      </c>
      <c r="L36" s="918">
        <f>'d3'!L36-'d3-07'!L36</f>
        <v>0</v>
      </c>
      <c r="M36" s="918">
        <f>'d3'!M36-'d3-07'!M36</f>
        <v>0</v>
      </c>
      <c r="N36" s="918">
        <f>'d3'!N36-'d3-07'!N36</f>
        <v>0</v>
      </c>
      <c r="O36" s="918">
        <f>'d3'!O36-'d3-07'!O36</f>
        <v>0</v>
      </c>
      <c r="P36" s="918">
        <f>'d3'!P36-'d3-07'!P36</f>
        <v>120000</v>
      </c>
    </row>
    <row r="37" spans="1:20" s="39" customFormat="1" ht="271.5" thickTop="1" thickBot="1" x14ac:dyDescent="0.25">
      <c r="A37" s="404" t="s">
        <v>863</v>
      </c>
      <c r="B37" s="404" t="s">
        <v>864</v>
      </c>
      <c r="C37" s="404"/>
      <c r="D37" s="404" t="s">
        <v>865</v>
      </c>
      <c r="E37" s="918">
        <f>'d3'!E37-'d3-07'!E37</f>
        <v>0</v>
      </c>
      <c r="F37" s="918">
        <f>'d3'!F37-'d3-07'!F37</f>
        <v>0</v>
      </c>
      <c r="G37" s="918">
        <f>'d3'!G37-'d3-07'!G37</f>
        <v>0</v>
      </c>
      <c r="H37" s="918">
        <f>'d3'!H37-'d3-07'!H37</f>
        <v>0</v>
      </c>
      <c r="I37" s="918">
        <f>'d3'!I37-'d3-07'!I37</f>
        <v>0</v>
      </c>
      <c r="J37" s="918">
        <f>'d3'!J37-'d3-07'!J37</f>
        <v>0</v>
      </c>
      <c r="K37" s="918">
        <f>'d3'!K37-'d3-07'!K37</f>
        <v>0</v>
      </c>
      <c r="L37" s="918">
        <f>'d3'!L37-'d3-07'!L37</f>
        <v>0</v>
      </c>
      <c r="M37" s="918">
        <f>'d3'!M37-'d3-07'!M37</f>
        <v>0</v>
      </c>
      <c r="N37" s="918">
        <f>'d3'!N37-'d3-07'!N37</f>
        <v>0</v>
      </c>
      <c r="O37" s="918">
        <f>'d3'!O37-'d3-07'!O37</f>
        <v>0</v>
      </c>
      <c r="P37" s="918">
        <f>'d3'!P37-'d3-07'!P37</f>
        <v>0</v>
      </c>
      <c r="Q37" s="194"/>
      <c r="R37" s="194"/>
    </row>
    <row r="38" spans="1:20" ht="276" thickTop="1" thickBot="1" x14ac:dyDescent="0.25">
      <c r="A38" s="921" t="s">
        <v>263</v>
      </c>
      <c r="B38" s="921" t="s">
        <v>264</v>
      </c>
      <c r="C38" s="921" t="s">
        <v>45</v>
      </c>
      <c r="D38" s="921" t="s">
        <v>476</v>
      </c>
      <c r="E38" s="918">
        <f>'d3'!E38-'d3-07'!E38</f>
        <v>0</v>
      </c>
      <c r="F38" s="918">
        <f>'d3'!F38-'d3-07'!F38</f>
        <v>0</v>
      </c>
      <c r="G38" s="918">
        <f>'d3'!G38-'d3-07'!G38</f>
        <v>0</v>
      </c>
      <c r="H38" s="918">
        <f>'d3'!H38-'d3-07'!H38</f>
        <v>0</v>
      </c>
      <c r="I38" s="918">
        <f>'d3'!I38-'d3-07'!I38</f>
        <v>0</v>
      </c>
      <c r="J38" s="918">
        <f>'d3'!J38-'d3-07'!J38</f>
        <v>0</v>
      </c>
      <c r="K38" s="918">
        <f>'d3'!K38-'d3-07'!K38</f>
        <v>0</v>
      </c>
      <c r="L38" s="918">
        <f>'d3'!L38-'d3-07'!L38</f>
        <v>0</v>
      </c>
      <c r="M38" s="918">
        <f>'d3'!M38-'d3-07'!M38</f>
        <v>0</v>
      </c>
      <c r="N38" s="918">
        <f>'d3'!N38-'d3-07'!N38</f>
        <v>0</v>
      </c>
      <c r="O38" s="918">
        <f>'d3'!O38-'d3-07'!O38</f>
        <v>0</v>
      </c>
      <c r="P38" s="918">
        <f>'d3'!P38-'d3-07'!P38</f>
        <v>0</v>
      </c>
    </row>
    <row r="39" spans="1:20" ht="93" thickTop="1" thickBot="1" x14ac:dyDescent="0.25">
      <c r="A39" s="921" t="s">
        <v>695</v>
      </c>
      <c r="B39" s="921" t="s">
        <v>389</v>
      </c>
      <c r="C39" s="921" t="s">
        <v>45</v>
      </c>
      <c r="D39" s="921" t="s">
        <v>390</v>
      </c>
      <c r="E39" s="918">
        <f>'d3'!E39-'d3-07'!E39</f>
        <v>0</v>
      </c>
      <c r="F39" s="918">
        <f>'d3'!F39-'d3-07'!F39</f>
        <v>0</v>
      </c>
      <c r="G39" s="918">
        <f>'d3'!G39-'d3-07'!G39</f>
        <v>0</v>
      </c>
      <c r="H39" s="918">
        <f>'d3'!H39-'d3-07'!H39</f>
        <v>0</v>
      </c>
      <c r="I39" s="918">
        <f>'d3'!I39-'d3-07'!I39</f>
        <v>0</v>
      </c>
      <c r="J39" s="918">
        <f>'d3'!J39-'d3-07'!J39</f>
        <v>0</v>
      </c>
      <c r="K39" s="918">
        <f>'d3'!K39-'d3-07'!K39</f>
        <v>0</v>
      </c>
      <c r="L39" s="918">
        <f>'d3'!L39-'d3-07'!L39</f>
        <v>0</v>
      </c>
      <c r="M39" s="918">
        <f>'d3'!M39-'d3-07'!M39</f>
        <v>0</v>
      </c>
      <c r="N39" s="918">
        <f>'d3'!N39-'d3-07'!N39</f>
        <v>0</v>
      </c>
      <c r="O39" s="918">
        <f>'d3'!O39-'d3-07'!O39</f>
        <v>0</v>
      </c>
      <c r="P39" s="918">
        <f>'d3'!P39-'d3-07'!P39</f>
        <v>0</v>
      </c>
    </row>
    <row r="40" spans="1:20" ht="271.5" thickTop="1" thickBot="1" x14ac:dyDescent="0.25">
      <c r="A40" s="404" t="s">
        <v>560</v>
      </c>
      <c r="B40" s="404" t="s">
        <v>561</v>
      </c>
      <c r="C40" s="404" t="s">
        <v>45</v>
      </c>
      <c r="D40" s="404" t="s">
        <v>562</v>
      </c>
      <c r="E40" s="918">
        <f>'d3'!E40-'d3-07'!E40</f>
        <v>120000</v>
      </c>
      <c r="F40" s="918">
        <f>'d3'!F40-'d3-07'!F40</f>
        <v>120000</v>
      </c>
      <c r="G40" s="918">
        <f>'d3'!G40-'d3-07'!G40</f>
        <v>0</v>
      </c>
      <c r="H40" s="918">
        <f>'d3'!H40-'d3-07'!H40</f>
        <v>0</v>
      </c>
      <c r="I40" s="918">
        <f>'d3'!I40-'d3-07'!I40</f>
        <v>0</v>
      </c>
      <c r="J40" s="918">
        <f>'d3'!J40-'d3-07'!J40</f>
        <v>0</v>
      </c>
      <c r="K40" s="918">
        <f>'d3'!K40-'d3-07'!K40</f>
        <v>0</v>
      </c>
      <c r="L40" s="918">
        <f>'d3'!L40-'d3-07'!L40</f>
        <v>0</v>
      </c>
      <c r="M40" s="918">
        <f>'d3'!M40-'d3-07'!M40</f>
        <v>0</v>
      </c>
      <c r="N40" s="918">
        <f>'d3'!N40-'d3-07'!N40</f>
        <v>0</v>
      </c>
      <c r="O40" s="918">
        <f>'d3'!O40-'d3-07'!O40</f>
        <v>0</v>
      </c>
      <c r="P40" s="918">
        <f>'d3'!P40-'d3-07'!P40</f>
        <v>120000</v>
      </c>
      <c r="R40" s="124" t="b">
        <f>K40='d6'!J18+'d6'!J17</f>
        <v>0</v>
      </c>
    </row>
    <row r="41" spans="1:20" ht="136.5" thickTop="1" thickBot="1" x14ac:dyDescent="0.25">
      <c r="A41" s="853" t="s">
        <v>166</v>
      </c>
      <c r="B41" s="853"/>
      <c r="C41" s="853"/>
      <c r="D41" s="854" t="s">
        <v>0</v>
      </c>
      <c r="E41" s="855">
        <f>E42</f>
        <v>20492131</v>
      </c>
      <c r="F41" s="856">
        <f t="shared" ref="F41" si="4">F42</f>
        <v>20492131</v>
      </c>
      <c r="G41" s="856">
        <f>G42</f>
        <v>-5636312</v>
      </c>
      <c r="H41" s="856">
        <f>H42</f>
        <v>27531977</v>
      </c>
      <c r="I41" s="856">
        <f t="shared" ref="I41" si="5">I42</f>
        <v>0</v>
      </c>
      <c r="J41" s="855">
        <f>J42</f>
        <v>5394297.8200000003</v>
      </c>
      <c r="K41" s="856">
        <f>K42</f>
        <v>3152047.8200000003</v>
      </c>
      <c r="L41" s="856">
        <f>L42</f>
        <v>2464836</v>
      </c>
      <c r="M41" s="856">
        <f t="shared" ref="M41" si="6">M42</f>
        <v>1021459</v>
      </c>
      <c r="N41" s="856">
        <f>N42</f>
        <v>4099570</v>
      </c>
      <c r="O41" s="855">
        <f>O42</f>
        <v>2929461.8200000003</v>
      </c>
      <c r="P41" s="856">
        <f t="shared" ref="P41" si="7">P42</f>
        <v>25886428.82</v>
      </c>
    </row>
    <row r="42" spans="1:20" ht="136.5" thickTop="1" thickBot="1" x14ac:dyDescent="0.25">
      <c r="A42" s="857" t="s">
        <v>167</v>
      </c>
      <c r="B42" s="857"/>
      <c r="C42" s="857"/>
      <c r="D42" s="858" t="s">
        <v>1</v>
      </c>
      <c r="E42" s="859">
        <f>E43+E74+E85+E79</f>
        <v>20492131</v>
      </c>
      <c r="F42" s="859">
        <f>F43+F74+F85+F79</f>
        <v>20492131</v>
      </c>
      <c r="G42" s="859">
        <f>G43+G74+G85+G79</f>
        <v>-5636312</v>
      </c>
      <c r="H42" s="859">
        <f>H43+H74+H85+H79</f>
        <v>27531977</v>
      </c>
      <c r="I42" s="859">
        <f>I43+I74+I85+I79</f>
        <v>0</v>
      </c>
      <c r="J42" s="859">
        <f>L42+O42</f>
        <v>5394297.8200000003</v>
      </c>
      <c r="K42" s="859">
        <f>K43+K74+K85+K79</f>
        <v>3152047.8200000003</v>
      </c>
      <c r="L42" s="859">
        <f>L43+L74+L85+L79</f>
        <v>2464836</v>
      </c>
      <c r="M42" s="859">
        <f>M43+M74+M85+M79</f>
        <v>1021459</v>
      </c>
      <c r="N42" s="859">
        <f>N43+N74+N85+N79</f>
        <v>4099570</v>
      </c>
      <c r="O42" s="859">
        <f>O43+O74+O85+O79</f>
        <v>2929461.8200000003</v>
      </c>
      <c r="P42" s="859">
        <f>E42+J42</f>
        <v>25886428.82</v>
      </c>
      <c r="Q42" s="124" t="b">
        <f>P42=P44+P46+P47+P50+P54+P56+P57+P59+P60+P62+P63+P64+P66+P72+P75+P53+P73+P48+P67+P69+P77+P70+P87+P78+P82+P84</f>
        <v>1</v>
      </c>
      <c r="R42" s="124" t="b">
        <f>K42='d6'!J20</f>
        <v>0</v>
      </c>
    </row>
    <row r="43" spans="1:20" ht="47.25" thickTop="1" thickBot="1" x14ac:dyDescent="0.25">
      <c r="A43" s="455" t="s">
        <v>866</v>
      </c>
      <c r="B43" s="455" t="s">
        <v>867</v>
      </c>
      <c r="C43" s="455"/>
      <c r="D43" s="455" t="s">
        <v>868</v>
      </c>
      <c r="E43" s="918">
        <f>'d3'!E43-'d3-07'!E43</f>
        <v>20407954</v>
      </c>
      <c r="F43" s="918">
        <f>'d3'!F43-'d3-07'!F43</f>
        <v>20407954</v>
      </c>
      <c r="G43" s="918">
        <f>'d3'!G43-'d3-07'!G43</f>
        <v>-5636312</v>
      </c>
      <c r="H43" s="918">
        <f>'d3'!H43-'d3-07'!H43</f>
        <v>27531977</v>
      </c>
      <c r="I43" s="918">
        <f>'d3'!I43-'d3-07'!I43</f>
        <v>0</v>
      </c>
      <c r="J43" s="918">
        <f>'d3'!J43-'d3-07'!J43</f>
        <v>5038356</v>
      </c>
      <c r="K43" s="918">
        <f>'d3'!K43-'d3-07'!K43</f>
        <v>2796106</v>
      </c>
      <c r="L43" s="918">
        <f>'d3'!L43-'d3-07'!L43</f>
        <v>2464836</v>
      </c>
      <c r="M43" s="918">
        <f>'d3'!M43-'d3-07'!M43</f>
        <v>1021459</v>
      </c>
      <c r="N43" s="918">
        <f>'d3'!N43-'d3-07'!N43</f>
        <v>4099570</v>
      </c>
      <c r="O43" s="918">
        <f>'d3'!O43-'d3-07'!O43</f>
        <v>2573520</v>
      </c>
      <c r="P43" s="918">
        <f>'d3'!P43-'d3-07'!P43</f>
        <v>25446310</v>
      </c>
      <c r="Q43" s="124"/>
      <c r="R43" s="124"/>
    </row>
    <row r="44" spans="1:20" ht="99" customHeight="1" thickTop="1" thickBot="1" x14ac:dyDescent="0.6">
      <c r="A44" s="921" t="s">
        <v>216</v>
      </c>
      <c r="B44" s="921" t="s">
        <v>217</v>
      </c>
      <c r="C44" s="921" t="s">
        <v>219</v>
      </c>
      <c r="D44" s="921" t="s">
        <v>220</v>
      </c>
      <c r="E44" s="918">
        <f>'d3'!E44-'d3-07'!E44</f>
        <v>7623851</v>
      </c>
      <c r="F44" s="918">
        <f>'d3'!F44-'d3-07'!F44</f>
        <v>7623851</v>
      </c>
      <c r="G44" s="918">
        <f>'d3'!G44-'d3-07'!G44</f>
        <v>-3000000</v>
      </c>
      <c r="H44" s="918">
        <f>'d3'!H44-'d3-07'!H44</f>
        <v>10367600</v>
      </c>
      <c r="I44" s="918">
        <f>'d3'!I44-'d3-07'!I44</f>
        <v>0</v>
      </c>
      <c r="J44" s="918">
        <f>'d3'!J44-'d3-07'!J44</f>
        <v>0</v>
      </c>
      <c r="K44" s="918">
        <f>'d3'!K44-'d3-07'!K44</f>
        <v>0</v>
      </c>
      <c r="L44" s="918">
        <f>'d3'!L44-'d3-07'!L44</f>
        <v>81676</v>
      </c>
      <c r="M44" s="918">
        <f>'d3'!M44-'d3-07'!M44</f>
        <v>50279</v>
      </c>
      <c r="N44" s="918">
        <f>'d3'!N44-'d3-07'!N44</f>
        <v>2000000</v>
      </c>
      <c r="O44" s="918">
        <f>'d3'!O44-'d3-07'!O44</f>
        <v>-81676</v>
      </c>
      <c r="P44" s="918">
        <f>'d3'!P44-'d3-07'!P44</f>
        <v>7623851</v>
      </c>
      <c r="Q44" s="195"/>
      <c r="R44" s="124" t="b">
        <f>K44='d6'!J21+'d6'!J22+'d6'!J23+'d6'!J24+'d6'!J25+'d6'!J26+'d6'!J28+'d6'!J29+'d6'!J30+'d6'!J31</f>
        <v>0</v>
      </c>
    </row>
    <row r="45" spans="1:20" s="79" customFormat="1" ht="138.75" thickTop="1" thickBot="1" x14ac:dyDescent="0.6">
      <c r="A45" s="365" t="s">
        <v>221</v>
      </c>
      <c r="B45" s="365" t="s">
        <v>218</v>
      </c>
      <c r="C45" s="365"/>
      <c r="D45" s="365" t="s">
        <v>802</v>
      </c>
      <c r="E45" s="918">
        <f>'d3'!E45-'d3-07'!E45</f>
        <v>6434419</v>
      </c>
      <c r="F45" s="918">
        <f>'d3'!F45-'d3-07'!F45</f>
        <v>6434419</v>
      </c>
      <c r="G45" s="918">
        <f>'d3'!G45-'d3-07'!G45</f>
        <v>-5389950</v>
      </c>
      <c r="H45" s="918">
        <f>'d3'!H45-'d3-07'!H45</f>
        <v>13332842</v>
      </c>
      <c r="I45" s="918">
        <f>'d3'!I45-'d3-07'!I45</f>
        <v>0</v>
      </c>
      <c r="J45" s="918">
        <f>'d3'!J45-'d3-07'!J45</f>
        <v>1912621</v>
      </c>
      <c r="K45" s="918">
        <f>'d3'!K45-'d3-07'!K45</f>
        <v>1724651</v>
      </c>
      <c r="L45" s="918">
        <f>'d3'!L45-'d3-07'!L45</f>
        <v>388880</v>
      </c>
      <c r="M45" s="918">
        <f>'d3'!M45-'d3-07'!M45</f>
        <v>441180</v>
      </c>
      <c r="N45" s="918">
        <f>'d3'!N45-'d3-07'!N45</f>
        <v>894130</v>
      </c>
      <c r="O45" s="918">
        <f>'d3'!O45-'d3-07'!O45</f>
        <v>1523741</v>
      </c>
      <c r="P45" s="918">
        <f>'d3'!P45-'d3-07'!P45</f>
        <v>8347040</v>
      </c>
      <c r="Q45" s="195"/>
      <c r="R45" s="48"/>
    </row>
    <row r="46" spans="1:20" ht="138.75" thickTop="1" thickBot="1" x14ac:dyDescent="0.6">
      <c r="A46" s="921" t="s">
        <v>799</v>
      </c>
      <c r="B46" s="921" t="s">
        <v>800</v>
      </c>
      <c r="C46" s="921" t="s">
        <v>222</v>
      </c>
      <c r="D46" s="921" t="s">
        <v>801</v>
      </c>
      <c r="E46" s="918">
        <f>'d3'!E46-'d3-07'!E46</f>
        <v>4720722</v>
      </c>
      <c r="F46" s="918">
        <f>'d3'!F46-'d3-07'!F46</f>
        <v>4720722</v>
      </c>
      <c r="G46" s="918">
        <f>'d3'!G46-'d3-07'!G46</f>
        <v>-5738000</v>
      </c>
      <c r="H46" s="918">
        <f>'d3'!H46-'d3-07'!H46</f>
        <v>12474462</v>
      </c>
      <c r="I46" s="918">
        <f>'d3'!I46-'d3-07'!I46</f>
        <v>0</v>
      </c>
      <c r="J46" s="918">
        <f>'d3'!J46-'d3-07'!J46</f>
        <v>1942021</v>
      </c>
      <c r="K46" s="918">
        <f>'d3'!K46-'d3-07'!K46</f>
        <v>1754051</v>
      </c>
      <c r="L46" s="918">
        <f>'d3'!L46-'d3-07'!L46</f>
        <v>388880</v>
      </c>
      <c r="M46" s="918">
        <f>'d3'!M46-'d3-07'!M46</f>
        <v>441180</v>
      </c>
      <c r="N46" s="918">
        <f>'d3'!N46-'d3-07'!N46</f>
        <v>894130</v>
      </c>
      <c r="O46" s="918">
        <f>'d3'!O46-'d3-07'!O46</f>
        <v>1553141</v>
      </c>
      <c r="P46" s="918">
        <f>'d3'!P46-'d3-07'!P46</f>
        <v>6662743</v>
      </c>
      <c r="Q46" s="195"/>
      <c r="R46" s="124" t="b">
        <f>K46='d6'!J32+'d6'!J34+'d6'!J35+'d6'!J36+'d6'!J37+'d6'!J39+'d6'!J40+'d6'!J41+'d6'!J42+'d6'!J43+'d6'!J44+'d6'!J45+'d6'!J46+'d6'!J47+'d6'!J48+'d6'!J49+'d6'!J50+'d6'!J51+'d6'!J38+'d6'!J53+'d6'!J54+'d6'!J55+'d6'!J56+'d6'!J57+'d6'!J58+'d6'!J59+'d6'!J60+'d6'!J61+'d6'!J62+'d6'!J33+'d6'!J52</f>
        <v>0</v>
      </c>
      <c r="T46" s="236"/>
    </row>
    <row r="47" spans="1:20" ht="276" thickTop="1" thickBot="1" x14ac:dyDescent="0.25">
      <c r="A47" s="921" t="s">
        <v>809</v>
      </c>
      <c r="B47" s="921" t="s">
        <v>810</v>
      </c>
      <c r="C47" s="921" t="s">
        <v>225</v>
      </c>
      <c r="D47" s="921" t="s">
        <v>543</v>
      </c>
      <c r="E47" s="918">
        <f>'d3'!E47-'d3-07'!E47</f>
        <v>-2666150</v>
      </c>
      <c r="F47" s="918">
        <f>'d3'!F47-'d3-07'!F47</f>
        <v>-2666150</v>
      </c>
      <c r="G47" s="918">
        <f>'d3'!G47-'d3-07'!G47</f>
        <v>-2328000</v>
      </c>
      <c r="H47" s="918">
        <f>'d3'!H47-'d3-07'!H47</f>
        <v>145500</v>
      </c>
      <c r="I47" s="918">
        <f>'d3'!I47-'d3-07'!I47</f>
        <v>0</v>
      </c>
      <c r="J47" s="918">
        <f>'d3'!J47-'d3-07'!J47</f>
        <v>-29400</v>
      </c>
      <c r="K47" s="918">
        <f>'d3'!K47-'d3-07'!K47</f>
        <v>-29400</v>
      </c>
      <c r="L47" s="918">
        <f>'d3'!L47-'d3-07'!L47</f>
        <v>0</v>
      </c>
      <c r="M47" s="918">
        <f>'d3'!M47-'d3-07'!M47</f>
        <v>0</v>
      </c>
      <c r="N47" s="918">
        <f>'d3'!N47-'d3-07'!N47</f>
        <v>0</v>
      </c>
      <c r="O47" s="918">
        <f>'d3'!O47-'d3-07'!O47</f>
        <v>-29400</v>
      </c>
      <c r="P47" s="918">
        <f>'d3'!P47-'d3-07'!P47</f>
        <v>-2695550</v>
      </c>
      <c r="R47" s="368" t="b">
        <f>K47='d6'!J63+'d6'!J64</f>
        <v>0</v>
      </c>
    </row>
    <row r="48" spans="1:20" ht="184.5" thickTop="1" thickBot="1" x14ac:dyDescent="0.25">
      <c r="A48" s="921" t="s">
        <v>1318</v>
      </c>
      <c r="B48" s="921" t="s">
        <v>1319</v>
      </c>
      <c r="C48" s="921" t="s">
        <v>225</v>
      </c>
      <c r="D48" s="921" t="s">
        <v>1320</v>
      </c>
      <c r="E48" s="918">
        <f>'d3'!E48-'d3-07'!E48</f>
        <v>4379847</v>
      </c>
      <c r="F48" s="918">
        <f>'d3'!F48-'d3-07'!F48</f>
        <v>4379847</v>
      </c>
      <c r="G48" s="918">
        <f>'d3'!G48-'d3-07'!G48</f>
        <v>2676050</v>
      </c>
      <c r="H48" s="918">
        <f>'d3'!H48-'d3-07'!H48</f>
        <v>712880</v>
      </c>
      <c r="I48" s="918">
        <f>'d3'!I48-'d3-07'!I48</f>
        <v>0</v>
      </c>
      <c r="J48" s="918">
        <f>'d3'!J48-'d3-07'!J48</f>
        <v>0</v>
      </c>
      <c r="K48" s="918">
        <f>'d3'!K48-'d3-07'!K48</f>
        <v>0</v>
      </c>
      <c r="L48" s="918">
        <f>'d3'!L48-'d3-07'!L48</f>
        <v>0</v>
      </c>
      <c r="M48" s="918">
        <f>'d3'!M48-'d3-07'!M48</f>
        <v>0</v>
      </c>
      <c r="N48" s="918">
        <f>'d3'!N48-'d3-07'!N48</f>
        <v>0</v>
      </c>
      <c r="O48" s="918">
        <f>'d3'!O48-'d3-07'!O48</f>
        <v>0</v>
      </c>
      <c r="P48" s="918">
        <f>'d3'!P48-'d3-07'!P48</f>
        <v>4379847</v>
      </c>
      <c r="R48" s="368"/>
    </row>
    <row r="49" spans="1:18" s="79" customFormat="1" ht="138.75" thickTop="1" thickBot="1" x14ac:dyDescent="0.25">
      <c r="A49" s="365" t="s">
        <v>544</v>
      </c>
      <c r="B49" s="365" t="s">
        <v>223</v>
      </c>
      <c r="C49" s="365"/>
      <c r="D49" s="365" t="s">
        <v>817</v>
      </c>
      <c r="E49" s="918">
        <f>'d3'!E49-'d3-07'!E49</f>
        <v>0</v>
      </c>
      <c r="F49" s="918">
        <f>'d3'!F49-'d3-07'!F49</f>
        <v>0</v>
      </c>
      <c r="G49" s="918">
        <f>'d3'!G49-'d3-07'!G49</f>
        <v>0</v>
      </c>
      <c r="H49" s="918">
        <f>'d3'!H49-'d3-07'!H49</f>
        <v>0</v>
      </c>
      <c r="I49" s="918">
        <f>'d3'!I49-'d3-07'!I49</f>
        <v>0</v>
      </c>
      <c r="J49" s="918">
        <f>'d3'!J49-'d3-07'!J49</f>
        <v>0</v>
      </c>
      <c r="K49" s="918">
        <f>'d3'!K49-'d3-07'!K49</f>
        <v>0</v>
      </c>
      <c r="L49" s="918">
        <f>'d3'!L49-'d3-07'!L49</f>
        <v>0</v>
      </c>
      <c r="M49" s="918">
        <f>'d3'!M49-'d3-07'!M49</f>
        <v>0</v>
      </c>
      <c r="N49" s="918">
        <f>'d3'!N49-'d3-07'!N49</f>
        <v>0</v>
      </c>
      <c r="O49" s="918">
        <f>'d3'!O49-'d3-07'!O49</f>
        <v>0</v>
      </c>
      <c r="P49" s="918">
        <f>'d3'!P49-'d3-07'!P49</f>
        <v>0</v>
      </c>
      <c r="Q49" s="934"/>
      <c r="R49" s="409"/>
    </row>
    <row r="50" spans="1:18" ht="138.75" thickTop="1" thickBot="1" x14ac:dyDescent="0.25">
      <c r="A50" s="921" t="s">
        <v>818</v>
      </c>
      <c r="B50" s="921" t="s">
        <v>819</v>
      </c>
      <c r="C50" s="921" t="s">
        <v>222</v>
      </c>
      <c r="D50" s="921" t="s">
        <v>801</v>
      </c>
      <c r="E50" s="918">
        <f>'d3'!E50-'d3-07'!E50</f>
        <v>0</v>
      </c>
      <c r="F50" s="918">
        <f>'d3'!F50-'d3-07'!F50</f>
        <v>0</v>
      </c>
      <c r="G50" s="918">
        <f>'d3'!G50-'d3-07'!G50</f>
        <v>0</v>
      </c>
      <c r="H50" s="918">
        <f>'d3'!H50-'d3-07'!H50</f>
        <v>0</v>
      </c>
      <c r="I50" s="918">
        <f>'d3'!I50-'d3-07'!I50</f>
        <v>0</v>
      </c>
      <c r="J50" s="918">
        <f>'d3'!J50-'d3-07'!J50</f>
        <v>0</v>
      </c>
      <c r="K50" s="918">
        <f>'d3'!K50-'d3-07'!K50</f>
        <v>0</v>
      </c>
      <c r="L50" s="918">
        <f>'d3'!L50-'d3-07'!L50</f>
        <v>0</v>
      </c>
      <c r="M50" s="918">
        <f>'d3'!M50-'d3-07'!M50</f>
        <v>0</v>
      </c>
      <c r="N50" s="918">
        <f>'d3'!N50-'d3-07'!N50</f>
        <v>0</v>
      </c>
      <c r="O50" s="918">
        <f>'d3'!O50-'d3-07'!O50</f>
        <v>0</v>
      </c>
      <c r="P50" s="918">
        <f>'d3'!P50-'d3-07'!P50</f>
        <v>0</v>
      </c>
      <c r="R50" s="191"/>
    </row>
    <row r="51" spans="1:18" ht="409.6" thickTop="1" thickBot="1" x14ac:dyDescent="0.7">
      <c r="A51" s="1057" t="s">
        <v>1169</v>
      </c>
      <c r="B51" s="1057" t="s">
        <v>52</v>
      </c>
      <c r="C51" s="1057"/>
      <c r="D51" s="595" t="s">
        <v>1172</v>
      </c>
      <c r="E51" s="918">
        <f>'d3'!E51-'d3-07'!E51</f>
        <v>0</v>
      </c>
      <c r="F51" s="918">
        <f>'d3'!F51-'d3-07'!F51</f>
        <v>0</v>
      </c>
      <c r="G51" s="918">
        <f>'d3'!G51-'d3-07'!G51</f>
        <v>0</v>
      </c>
      <c r="H51" s="918">
        <f>'d3'!H51-'d3-07'!H51</f>
        <v>0</v>
      </c>
      <c r="I51" s="918">
        <f>'d3'!I51-'d3-07'!I51</f>
        <v>0</v>
      </c>
      <c r="J51" s="918">
        <f>'d3'!J51-'d3-07'!J51</f>
        <v>0</v>
      </c>
      <c r="K51" s="918">
        <f>'d3'!K51-'d3-07'!K51</f>
        <v>0</v>
      </c>
      <c r="L51" s="918">
        <f>'d3'!L51-'d3-07'!L51</f>
        <v>0</v>
      </c>
      <c r="M51" s="918">
        <f>'d3'!M51-'d3-07'!M51</f>
        <v>0</v>
      </c>
      <c r="N51" s="918">
        <f>'d3'!N51-'d3-07'!N51</f>
        <v>0</v>
      </c>
      <c r="O51" s="918">
        <f>'d3'!O51-'d3-07'!O51</f>
        <v>0</v>
      </c>
      <c r="P51" s="918">
        <f>'d3'!P51-'d3-07'!P51</f>
        <v>0</v>
      </c>
      <c r="R51" s="191"/>
    </row>
    <row r="52" spans="1:18" ht="184.5" thickTop="1" thickBot="1" x14ac:dyDescent="0.25">
      <c r="A52" s="1018"/>
      <c r="B52" s="1018"/>
      <c r="C52" s="1018"/>
      <c r="D52" s="596" t="s">
        <v>1173</v>
      </c>
      <c r="E52" s="918">
        <f>'d3'!E52-'d3-07'!E52</f>
        <v>0</v>
      </c>
      <c r="F52" s="918">
        <f>'d3'!F52-'d3-07'!F52</f>
        <v>0</v>
      </c>
      <c r="G52" s="918">
        <f>'d3'!G52-'d3-07'!G52</f>
        <v>0</v>
      </c>
      <c r="H52" s="918">
        <f>'d3'!H52-'d3-07'!H52</f>
        <v>0</v>
      </c>
      <c r="I52" s="918">
        <f>'d3'!I52-'d3-07'!I52</f>
        <v>0</v>
      </c>
      <c r="J52" s="918">
        <f>'d3'!J52-'d3-07'!J52</f>
        <v>0</v>
      </c>
      <c r="K52" s="918">
        <f>'d3'!K52-'d3-07'!K52</f>
        <v>0</v>
      </c>
      <c r="L52" s="918">
        <f>'d3'!L52-'d3-07'!L52</f>
        <v>0</v>
      </c>
      <c r="M52" s="918">
        <f>'d3'!M52-'d3-07'!M52</f>
        <v>0</v>
      </c>
      <c r="N52" s="918">
        <f>'d3'!N52-'d3-07'!N52</f>
        <v>0</v>
      </c>
      <c r="O52" s="918">
        <f>'d3'!O52-'d3-07'!O52</f>
        <v>0</v>
      </c>
      <c r="P52" s="918">
        <f>'d3'!P52-'d3-07'!P52</f>
        <v>0</v>
      </c>
      <c r="R52" s="191"/>
    </row>
    <row r="53" spans="1:18" ht="138.75" thickTop="1" thickBot="1" x14ac:dyDescent="0.25">
      <c r="A53" s="921" t="s">
        <v>1170</v>
      </c>
      <c r="B53" s="921" t="s">
        <v>1171</v>
      </c>
      <c r="C53" s="921" t="s">
        <v>222</v>
      </c>
      <c r="D53" s="921" t="s">
        <v>1174</v>
      </c>
      <c r="E53" s="918">
        <f>'d3'!E53-'d3-07'!E53</f>
        <v>0</v>
      </c>
      <c r="F53" s="918">
        <f>'d3'!F53-'d3-07'!F53</f>
        <v>0</v>
      </c>
      <c r="G53" s="918">
        <f>'d3'!G53-'d3-07'!G53</f>
        <v>0</v>
      </c>
      <c r="H53" s="918">
        <f>'d3'!H53-'d3-07'!H53</f>
        <v>0</v>
      </c>
      <c r="I53" s="918">
        <f>'d3'!I53-'d3-07'!I53</f>
        <v>0</v>
      </c>
      <c r="J53" s="918">
        <f>'d3'!J53-'d3-07'!J53</f>
        <v>0</v>
      </c>
      <c r="K53" s="918">
        <f>'d3'!K53-'d3-07'!K53</f>
        <v>0</v>
      </c>
      <c r="L53" s="918">
        <f>'d3'!L53-'d3-07'!L53</f>
        <v>0</v>
      </c>
      <c r="M53" s="918">
        <f>'d3'!M53-'d3-07'!M53</f>
        <v>0</v>
      </c>
      <c r="N53" s="918">
        <f>'d3'!N53-'d3-07'!N53</f>
        <v>0</v>
      </c>
      <c r="O53" s="918">
        <f>'d3'!O53-'d3-07'!O53</f>
        <v>0</v>
      </c>
      <c r="P53" s="918">
        <f>'d3'!P53-'d3-07'!P53</f>
        <v>0</v>
      </c>
      <c r="R53" s="124" t="b">
        <f>K53='d6'!J65+'d6'!J66+'d6'!J67+'d6'!J68+'d6'!J69+'d6'!J70+'d6'!J71+'d6'!J72+'d6'!J73</f>
        <v>0</v>
      </c>
    </row>
    <row r="54" spans="1:18" ht="184.5" thickTop="1" thickBot="1" x14ac:dyDescent="0.25">
      <c r="A54" s="921" t="s">
        <v>820</v>
      </c>
      <c r="B54" s="921" t="s">
        <v>224</v>
      </c>
      <c r="C54" s="921" t="s">
        <v>199</v>
      </c>
      <c r="D54" s="921" t="s">
        <v>545</v>
      </c>
      <c r="E54" s="918">
        <f>'d3'!E54-'d3-07'!E54</f>
        <v>-1247830</v>
      </c>
      <c r="F54" s="918">
        <f>'d3'!F54-'d3-07'!F54</f>
        <v>-1247830</v>
      </c>
      <c r="G54" s="918">
        <f>'d3'!G54-'d3-07'!G54</f>
        <v>-890000</v>
      </c>
      <c r="H54" s="918">
        <f>'d3'!H54-'d3-07'!H54</f>
        <v>370725</v>
      </c>
      <c r="I54" s="918">
        <f>'d3'!I54-'d3-07'!I54</f>
        <v>0</v>
      </c>
      <c r="J54" s="918">
        <f>'d3'!J54-'d3-07'!J54</f>
        <v>-1087345</v>
      </c>
      <c r="K54" s="918">
        <f>'d3'!K54-'d3-07'!K54</f>
        <v>-1087345</v>
      </c>
      <c r="L54" s="918">
        <f>'d3'!L54-'d3-07'!L54</f>
        <v>0</v>
      </c>
      <c r="M54" s="918">
        <f>'d3'!M54-'d3-07'!M54</f>
        <v>0</v>
      </c>
      <c r="N54" s="918">
        <f>'d3'!N54-'d3-07'!N54</f>
        <v>74960</v>
      </c>
      <c r="O54" s="918">
        <f>'d3'!O54-'d3-07'!O54</f>
        <v>-1087345</v>
      </c>
      <c r="P54" s="918">
        <f>'d3'!P54-'d3-07'!P54</f>
        <v>-2335175</v>
      </c>
      <c r="R54" s="124" t="b">
        <f>K54='d6'!J74+'d6'!J75</f>
        <v>0</v>
      </c>
    </row>
    <row r="55" spans="1:18" s="79" customFormat="1" ht="184.5" thickTop="1" thickBot="1" x14ac:dyDescent="0.25">
      <c r="A55" s="365" t="s">
        <v>226</v>
      </c>
      <c r="B55" s="365" t="s">
        <v>209</v>
      </c>
      <c r="C55" s="365"/>
      <c r="D55" s="365" t="s">
        <v>547</v>
      </c>
      <c r="E55" s="918">
        <f>'d3'!E55-'d3-07'!E55</f>
        <v>8733540</v>
      </c>
      <c r="F55" s="918">
        <f>'d3'!F55-'d3-07'!F55</f>
        <v>8733540</v>
      </c>
      <c r="G55" s="918">
        <f>'d3'!G55-'d3-07'!G55</f>
        <v>5030340</v>
      </c>
      <c r="H55" s="918">
        <f>'d3'!H55-'d3-07'!H55</f>
        <v>3315200</v>
      </c>
      <c r="I55" s="918">
        <f>'d3'!I55-'d3-07'!I55</f>
        <v>0</v>
      </c>
      <c r="J55" s="918">
        <f>'d3'!J55-'d3-07'!J55</f>
        <v>2074280</v>
      </c>
      <c r="K55" s="918">
        <f>'d3'!K55-'d3-07'!K55</f>
        <v>20000</v>
      </c>
      <c r="L55" s="918">
        <f>'d3'!L55-'d3-07'!L55</f>
        <v>1994280</v>
      </c>
      <c r="M55" s="918">
        <f>'d3'!M55-'d3-07'!M55</f>
        <v>530000</v>
      </c>
      <c r="N55" s="918">
        <f>'d3'!N55-'d3-07'!N55</f>
        <v>1130480</v>
      </c>
      <c r="O55" s="918">
        <f>'d3'!O55-'d3-07'!O55</f>
        <v>80000</v>
      </c>
      <c r="P55" s="918">
        <f>'d3'!P55-'d3-07'!P55</f>
        <v>10807820</v>
      </c>
      <c r="Q55" s="934"/>
      <c r="R55" s="409"/>
    </row>
    <row r="56" spans="1:18" ht="230.25" thickTop="1" thickBot="1" x14ac:dyDescent="0.25">
      <c r="A56" s="921" t="s">
        <v>821</v>
      </c>
      <c r="B56" s="921" t="s">
        <v>822</v>
      </c>
      <c r="C56" s="921" t="s">
        <v>227</v>
      </c>
      <c r="D56" s="921" t="s">
        <v>823</v>
      </c>
      <c r="E56" s="918">
        <f>'d3'!E56-'d3-07'!E56</f>
        <v>8733540</v>
      </c>
      <c r="F56" s="918">
        <f>'d3'!F56-'d3-07'!F56</f>
        <v>8733540</v>
      </c>
      <c r="G56" s="918">
        <f>'d3'!G56-'d3-07'!G56</f>
        <v>5030340</v>
      </c>
      <c r="H56" s="918">
        <f>'d3'!H56-'d3-07'!H56</f>
        <v>3315200</v>
      </c>
      <c r="I56" s="918">
        <f>'d3'!I56-'d3-07'!I56</f>
        <v>0</v>
      </c>
      <c r="J56" s="918">
        <f>'d3'!J56-'d3-07'!J56</f>
        <v>2074280</v>
      </c>
      <c r="K56" s="918">
        <f>'d3'!K56-'d3-07'!K56</f>
        <v>20000</v>
      </c>
      <c r="L56" s="918">
        <f>'d3'!L56-'d3-07'!L56</f>
        <v>1994280</v>
      </c>
      <c r="M56" s="918">
        <f>'d3'!M56-'d3-07'!M56</f>
        <v>530000</v>
      </c>
      <c r="N56" s="918">
        <f>'d3'!N56-'d3-07'!N56</f>
        <v>1130480</v>
      </c>
      <c r="O56" s="918">
        <f>'d3'!O56-'d3-07'!O56</f>
        <v>80000</v>
      </c>
      <c r="P56" s="918">
        <f>'d3'!P56-'d3-07'!P56</f>
        <v>10807820.000000015</v>
      </c>
      <c r="R56" s="124" t="b">
        <f>K56='d6'!J76+'d6'!J77+'d6'!J78</f>
        <v>0</v>
      </c>
    </row>
    <row r="57" spans="1:18" ht="230.25" thickTop="1" thickBot="1" x14ac:dyDescent="0.25">
      <c r="A57" s="921" t="s">
        <v>825</v>
      </c>
      <c r="B57" s="921" t="s">
        <v>824</v>
      </c>
      <c r="C57" s="921" t="s">
        <v>227</v>
      </c>
      <c r="D57" s="921" t="s">
        <v>826</v>
      </c>
      <c r="E57" s="918">
        <f>'d3'!E57-'d3-07'!E57</f>
        <v>0</v>
      </c>
      <c r="F57" s="918">
        <f>'d3'!F57-'d3-07'!F57</f>
        <v>0</v>
      </c>
      <c r="G57" s="918">
        <f>'d3'!G57-'d3-07'!G57</f>
        <v>0</v>
      </c>
      <c r="H57" s="918">
        <f>'d3'!H57-'d3-07'!H57</f>
        <v>0</v>
      </c>
      <c r="I57" s="918">
        <f>'d3'!I57-'d3-07'!I57</f>
        <v>0</v>
      </c>
      <c r="J57" s="918">
        <f>'d3'!J57-'d3-07'!J57</f>
        <v>0</v>
      </c>
      <c r="K57" s="918">
        <f>'d3'!K57-'d3-07'!K57</f>
        <v>0</v>
      </c>
      <c r="L57" s="918">
        <f>'d3'!L57-'d3-07'!L57</f>
        <v>0</v>
      </c>
      <c r="M57" s="918">
        <f>'d3'!M57-'d3-07'!M57</f>
        <v>0</v>
      </c>
      <c r="N57" s="918">
        <f>'d3'!N57-'d3-07'!N57</f>
        <v>0</v>
      </c>
      <c r="O57" s="918">
        <f>'d3'!O57-'d3-07'!O57</f>
        <v>0</v>
      </c>
      <c r="P57" s="918">
        <f>'d3'!P57-'d3-07'!P57</f>
        <v>0</v>
      </c>
      <c r="R57" s="191"/>
    </row>
    <row r="58" spans="1:18" s="79" customFormat="1" ht="93" thickTop="1" thickBot="1" x14ac:dyDescent="0.25">
      <c r="A58" s="365" t="s">
        <v>828</v>
      </c>
      <c r="B58" s="365" t="s">
        <v>827</v>
      </c>
      <c r="C58" s="365"/>
      <c r="D58" s="365" t="s">
        <v>829</v>
      </c>
      <c r="E58" s="918">
        <f>'d3'!E58-'d3-07'!E58</f>
        <v>-1682390</v>
      </c>
      <c r="F58" s="918">
        <f>'d3'!F58-'d3-07'!F58</f>
        <v>-1682390</v>
      </c>
      <c r="G58" s="918">
        <f>'d3'!G58-'d3-07'!G58</f>
        <v>-1380000</v>
      </c>
      <c r="H58" s="918">
        <f>'d3'!H58-'d3-07'!H58</f>
        <v>145610</v>
      </c>
      <c r="I58" s="918">
        <f>'d3'!I58-'d3-07'!I58</f>
        <v>0</v>
      </c>
      <c r="J58" s="918">
        <f>'d3'!J58-'d3-07'!J58</f>
        <v>0</v>
      </c>
      <c r="K58" s="918">
        <f>'d3'!K58-'d3-07'!K58</f>
        <v>0</v>
      </c>
      <c r="L58" s="918">
        <f>'d3'!L58-'d3-07'!L58</f>
        <v>0</v>
      </c>
      <c r="M58" s="918">
        <f>'d3'!M58-'d3-07'!M58</f>
        <v>0</v>
      </c>
      <c r="N58" s="918">
        <f>'d3'!N58-'d3-07'!N58</f>
        <v>0</v>
      </c>
      <c r="O58" s="918">
        <f>'d3'!O58-'d3-07'!O58</f>
        <v>0</v>
      </c>
      <c r="P58" s="918">
        <f>'d3'!P58-'d3-07'!P58</f>
        <v>-1682390</v>
      </c>
      <c r="Q58" s="934"/>
      <c r="R58" s="409"/>
    </row>
    <row r="59" spans="1:18" ht="93" thickTop="1" thickBot="1" x14ac:dyDescent="0.25">
      <c r="A59" s="921" t="s">
        <v>830</v>
      </c>
      <c r="B59" s="921" t="s">
        <v>831</v>
      </c>
      <c r="C59" s="921" t="s">
        <v>228</v>
      </c>
      <c r="D59" s="921" t="s">
        <v>548</v>
      </c>
      <c r="E59" s="918">
        <f>'d3'!E59-'d3-07'!E59</f>
        <v>-1682390</v>
      </c>
      <c r="F59" s="918">
        <f>'d3'!F59-'d3-07'!F59</f>
        <v>-1682390</v>
      </c>
      <c r="G59" s="918">
        <f>'d3'!G59-'d3-07'!G59</f>
        <v>-1380000</v>
      </c>
      <c r="H59" s="918">
        <f>'d3'!H59-'d3-07'!H59</f>
        <v>145610</v>
      </c>
      <c r="I59" s="918">
        <f>'d3'!I59-'d3-07'!I59</f>
        <v>0</v>
      </c>
      <c r="J59" s="918">
        <f>'d3'!J59-'d3-07'!J59</f>
        <v>0</v>
      </c>
      <c r="K59" s="918">
        <f>'d3'!K59-'d3-07'!K59</f>
        <v>0</v>
      </c>
      <c r="L59" s="918">
        <f>'d3'!L59-'d3-07'!L59</f>
        <v>0</v>
      </c>
      <c r="M59" s="918">
        <f>'d3'!M59-'d3-07'!M59</f>
        <v>0</v>
      </c>
      <c r="N59" s="918">
        <f>'d3'!N59-'d3-07'!N59</f>
        <v>0</v>
      </c>
      <c r="O59" s="918">
        <f>'d3'!O59-'d3-07'!O59</f>
        <v>0</v>
      </c>
      <c r="P59" s="918">
        <f>'d3'!P59-'d3-07'!P59</f>
        <v>-1682390</v>
      </c>
      <c r="R59" s="191"/>
    </row>
    <row r="60" spans="1:18" ht="93" thickTop="1" thickBot="1" x14ac:dyDescent="0.25">
      <c r="A60" s="921" t="s">
        <v>832</v>
      </c>
      <c r="B60" s="921" t="s">
        <v>833</v>
      </c>
      <c r="C60" s="921" t="s">
        <v>228</v>
      </c>
      <c r="D60" s="921" t="s">
        <v>362</v>
      </c>
      <c r="E60" s="918">
        <f>'d3'!E60-'d3-07'!E60</f>
        <v>0</v>
      </c>
      <c r="F60" s="918">
        <f>'d3'!F60-'d3-07'!F60</f>
        <v>0</v>
      </c>
      <c r="G60" s="918">
        <f>'d3'!G60-'d3-07'!G60</f>
        <v>0</v>
      </c>
      <c r="H60" s="918">
        <f>'d3'!H60-'d3-07'!H60</f>
        <v>0</v>
      </c>
      <c r="I60" s="918">
        <f>'d3'!I60-'d3-07'!I60</f>
        <v>0</v>
      </c>
      <c r="J60" s="918">
        <f>'d3'!J60-'d3-07'!J60</f>
        <v>0</v>
      </c>
      <c r="K60" s="918">
        <f>'d3'!K60-'d3-07'!K60</f>
        <v>0</v>
      </c>
      <c r="L60" s="918">
        <f>'d3'!L60-'d3-07'!L60</f>
        <v>0</v>
      </c>
      <c r="M60" s="918">
        <f>'d3'!M60-'d3-07'!M60</f>
        <v>0</v>
      </c>
      <c r="N60" s="918">
        <f>'d3'!N60-'d3-07'!N60</f>
        <v>0</v>
      </c>
      <c r="O60" s="918">
        <f>'d3'!O60-'d3-07'!O60</f>
        <v>0</v>
      </c>
      <c r="P60" s="918">
        <f>'d3'!P60-'d3-07'!P60</f>
        <v>0</v>
      </c>
      <c r="R60" s="191"/>
    </row>
    <row r="61" spans="1:18" s="79" customFormat="1" ht="93" thickTop="1" thickBot="1" x14ac:dyDescent="0.25">
      <c r="A61" s="365" t="s">
        <v>834</v>
      </c>
      <c r="B61" s="365" t="s">
        <v>835</v>
      </c>
      <c r="C61" s="365"/>
      <c r="D61" s="365" t="s">
        <v>459</v>
      </c>
      <c r="E61" s="918">
        <f>'d3'!E61-'d3-07'!E61</f>
        <v>-97000</v>
      </c>
      <c r="F61" s="918">
        <f>'d3'!F61-'d3-07'!F61</f>
        <v>-97000</v>
      </c>
      <c r="G61" s="918">
        <f>'d3'!G61-'d3-07'!G61</f>
        <v>-80000</v>
      </c>
      <c r="H61" s="918">
        <f>'d3'!H61-'d3-07'!H61</f>
        <v>0</v>
      </c>
      <c r="I61" s="918">
        <f>'d3'!I61-'d3-07'!I61</f>
        <v>0</v>
      </c>
      <c r="J61" s="918">
        <f>'d3'!J61-'d3-07'!J61</f>
        <v>0</v>
      </c>
      <c r="K61" s="918">
        <f>'d3'!K61-'d3-07'!K61</f>
        <v>0</v>
      </c>
      <c r="L61" s="918">
        <f>'d3'!L61-'d3-07'!L61</f>
        <v>0</v>
      </c>
      <c r="M61" s="918">
        <f>'d3'!M61-'d3-07'!M61</f>
        <v>0</v>
      </c>
      <c r="N61" s="918">
        <f>'d3'!N61-'d3-07'!N61</f>
        <v>0</v>
      </c>
      <c r="O61" s="918">
        <f>'d3'!O61-'d3-07'!O61</f>
        <v>0</v>
      </c>
      <c r="P61" s="918">
        <f>'d3'!P61-'d3-07'!P61</f>
        <v>-97000</v>
      </c>
      <c r="Q61" s="934"/>
      <c r="R61" s="409"/>
    </row>
    <row r="62" spans="1:18" ht="184.5" thickTop="1" thickBot="1" x14ac:dyDescent="0.25">
      <c r="A62" s="921" t="s">
        <v>836</v>
      </c>
      <c r="B62" s="921" t="s">
        <v>837</v>
      </c>
      <c r="C62" s="921" t="s">
        <v>228</v>
      </c>
      <c r="D62" s="921" t="s">
        <v>838</v>
      </c>
      <c r="E62" s="918">
        <f>'d3'!E62-'d3-07'!E62</f>
        <v>-97000</v>
      </c>
      <c r="F62" s="918">
        <f>'d3'!F62-'d3-07'!F62</f>
        <v>-97000</v>
      </c>
      <c r="G62" s="918">
        <f>'d3'!G62-'d3-07'!G62</f>
        <v>-80000</v>
      </c>
      <c r="H62" s="918">
        <f>'d3'!H62-'d3-07'!H62</f>
        <v>0</v>
      </c>
      <c r="I62" s="918">
        <f>'d3'!I62-'d3-07'!I62</f>
        <v>0</v>
      </c>
      <c r="J62" s="918">
        <f>'d3'!J62-'d3-07'!J62</f>
        <v>0</v>
      </c>
      <c r="K62" s="918">
        <f>'d3'!K62-'d3-07'!K62</f>
        <v>0</v>
      </c>
      <c r="L62" s="918">
        <f>'d3'!L62-'d3-07'!L62</f>
        <v>0</v>
      </c>
      <c r="M62" s="918">
        <f>'d3'!M62-'d3-07'!M62</f>
        <v>0</v>
      </c>
      <c r="N62" s="918">
        <f>'d3'!N62-'d3-07'!N62</f>
        <v>0</v>
      </c>
      <c r="O62" s="918">
        <f>'d3'!O62-'d3-07'!O62</f>
        <v>0</v>
      </c>
      <c r="P62" s="918">
        <f>'d3'!P62-'d3-07'!P62</f>
        <v>-97000</v>
      </c>
      <c r="R62" s="124" t="b">
        <f>K62='d6'!J79</f>
        <v>0</v>
      </c>
    </row>
    <row r="63" spans="1:18" ht="138.75" thickTop="1" thickBot="1" x14ac:dyDescent="0.25">
      <c r="A63" s="921" t="s">
        <v>839</v>
      </c>
      <c r="B63" s="921" t="s">
        <v>840</v>
      </c>
      <c r="C63" s="921" t="s">
        <v>228</v>
      </c>
      <c r="D63" s="921" t="s">
        <v>841</v>
      </c>
      <c r="E63" s="918">
        <f>'d3'!E63-'d3-07'!E63</f>
        <v>0</v>
      </c>
      <c r="F63" s="918">
        <f>'d3'!F63-'d3-07'!F63</f>
        <v>0</v>
      </c>
      <c r="G63" s="918">
        <f>'d3'!G63-'d3-07'!G63</f>
        <v>0</v>
      </c>
      <c r="H63" s="918">
        <f>'d3'!H63-'d3-07'!H63</f>
        <v>0</v>
      </c>
      <c r="I63" s="918">
        <f>'d3'!I63-'d3-07'!I63</f>
        <v>0</v>
      </c>
      <c r="J63" s="918">
        <f>'d3'!J63-'d3-07'!J63</f>
        <v>0</v>
      </c>
      <c r="K63" s="918">
        <f>'d3'!K63-'d3-07'!K63</f>
        <v>0</v>
      </c>
      <c r="L63" s="918">
        <f>'d3'!L63-'d3-07'!L63</f>
        <v>0</v>
      </c>
      <c r="M63" s="918">
        <f>'d3'!M63-'d3-07'!M63</f>
        <v>0</v>
      </c>
      <c r="N63" s="918">
        <f>'d3'!N63-'d3-07'!N63</f>
        <v>0</v>
      </c>
      <c r="O63" s="918">
        <f>'d3'!O63-'d3-07'!O63</f>
        <v>0</v>
      </c>
      <c r="P63" s="918">
        <f>'d3'!P63-'d3-07'!P63</f>
        <v>0</v>
      </c>
      <c r="R63" s="191"/>
    </row>
    <row r="64" spans="1:18" ht="138.75" thickTop="1" thickBot="1" x14ac:dyDescent="0.25">
      <c r="A64" s="921" t="s">
        <v>806</v>
      </c>
      <c r="B64" s="921" t="s">
        <v>807</v>
      </c>
      <c r="C64" s="921" t="s">
        <v>228</v>
      </c>
      <c r="D64" s="921" t="s">
        <v>808</v>
      </c>
      <c r="E64" s="918">
        <f>'d3'!E64-'d3-07'!E64</f>
        <v>-209800</v>
      </c>
      <c r="F64" s="918">
        <f>'d3'!F64-'d3-07'!F64</f>
        <v>-209800</v>
      </c>
      <c r="G64" s="918">
        <f>'d3'!G64-'d3-07'!G64</f>
        <v>-172000</v>
      </c>
      <c r="H64" s="918">
        <f>'d3'!H64-'d3-07'!H64</f>
        <v>0</v>
      </c>
      <c r="I64" s="918">
        <f>'d3'!I64-'d3-07'!I64</f>
        <v>0</v>
      </c>
      <c r="J64" s="918">
        <f>'d3'!J64-'d3-07'!J64</f>
        <v>0</v>
      </c>
      <c r="K64" s="918">
        <f>'d3'!K64-'d3-07'!K64</f>
        <v>0</v>
      </c>
      <c r="L64" s="918">
        <f>'d3'!L64-'d3-07'!L64</f>
        <v>0</v>
      </c>
      <c r="M64" s="918">
        <f>'d3'!M64-'d3-07'!M64</f>
        <v>0</v>
      </c>
      <c r="N64" s="918">
        <f>'d3'!N64-'d3-07'!N64</f>
        <v>0</v>
      </c>
      <c r="O64" s="918">
        <f>'d3'!O64-'d3-07'!O64</f>
        <v>0</v>
      </c>
      <c r="P64" s="918">
        <f>'d3'!P64-'d3-07'!P64</f>
        <v>-209800</v>
      </c>
      <c r="R64" s="124" t="b">
        <f>K64='d6'!J80</f>
        <v>0</v>
      </c>
    </row>
    <row r="65" spans="1:18" s="39" customFormat="1" ht="230.25" thickTop="1" thickBot="1" x14ac:dyDescent="0.25">
      <c r="A65" s="365" t="s">
        <v>811</v>
      </c>
      <c r="B65" s="365" t="s">
        <v>812</v>
      </c>
      <c r="C65" s="365"/>
      <c r="D65" s="365" t="s">
        <v>813</v>
      </c>
      <c r="E65" s="918">
        <f>'d3'!E65-'d3-07'!E65</f>
        <v>0</v>
      </c>
      <c r="F65" s="918">
        <f>'d3'!F65-'d3-07'!F65</f>
        <v>0</v>
      </c>
      <c r="G65" s="918">
        <f>'d3'!G65-'d3-07'!G65</f>
        <v>0</v>
      </c>
      <c r="H65" s="918">
        <f>'d3'!H65-'d3-07'!H65</f>
        <v>0</v>
      </c>
      <c r="I65" s="918">
        <f>'d3'!I65-'d3-07'!I65</f>
        <v>0</v>
      </c>
      <c r="J65" s="918">
        <f>'d3'!J65-'d3-07'!J65</f>
        <v>0</v>
      </c>
      <c r="K65" s="918">
        <f>'d3'!K65-'d3-07'!K65</f>
        <v>0</v>
      </c>
      <c r="L65" s="918">
        <f>'d3'!L65-'d3-07'!L65</f>
        <v>0</v>
      </c>
      <c r="M65" s="918">
        <f>'d3'!M65-'d3-07'!M65</f>
        <v>0</v>
      </c>
      <c r="N65" s="918">
        <f>'d3'!N65-'d3-07'!N65</f>
        <v>0</v>
      </c>
      <c r="O65" s="918">
        <f>'d3'!O65-'d3-07'!O65</f>
        <v>0</v>
      </c>
      <c r="P65" s="918">
        <f>'d3'!P65-'d3-07'!P65</f>
        <v>0</v>
      </c>
      <c r="Q65" s="194"/>
      <c r="R65" s="48"/>
    </row>
    <row r="66" spans="1:18" s="39" customFormat="1" ht="367.5" thickTop="1" thickBot="1" x14ac:dyDescent="0.25">
      <c r="A66" s="921" t="s">
        <v>814</v>
      </c>
      <c r="B66" s="921" t="s">
        <v>815</v>
      </c>
      <c r="C66" s="921" t="s">
        <v>228</v>
      </c>
      <c r="D66" s="921" t="s">
        <v>816</v>
      </c>
      <c r="E66" s="918">
        <f>'d3'!E66-'d3-07'!E66</f>
        <v>0</v>
      </c>
      <c r="F66" s="918">
        <f>'d3'!F66-'d3-07'!F66</f>
        <v>0</v>
      </c>
      <c r="G66" s="918">
        <f>'d3'!G66-'d3-07'!G66</f>
        <v>0</v>
      </c>
      <c r="H66" s="918">
        <f>'d3'!H66-'d3-07'!H66</f>
        <v>0</v>
      </c>
      <c r="I66" s="918">
        <f>'d3'!I66-'d3-07'!I66</f>
        <v>0</v>
      </c>
      <c r="J66" s="918">
        <f>'d3'!J66-'d3-07'!J66</f>
        <v>0</v>
      </c>
      <c r="K66" s="918">
        <f>'d3'!K66-'d3-07'!K66</f>
        <v>0</v>
      </c>
      <c r="L66" s="918">
        <f>'d3'!L66-'d3-07'!L66</f>
        <v>0</v>
      </c>
      <c r="M66" s="918">
        <f>'d3'!M66-'d3-07'!M66</f>
        <v>0</v>
      </c>
      <c r="N66" s="918">
        <f>'d3'!N66-'d3-07'!N66</f>
        <v>0</v>
      </c>
      <c r="O66" s="918">
        <f>'d3'!O66-'d3-07'!O66</f>
        <v>0</v>
      </c>
      <c r="P66" s="918">
        <f>'d3'!P66-'d3-07'!P66</f>
        <v>0</v>
      </c>
      <c r="Q66" s="194"/>
      <c r="R66" s="124" t="b">
        <f>K66='d6'!J81</f>
        <v>0</v>
      </c>
    </row>
    <row r="67" spans="1:18" s="39" customFormat="1" ht="321.75" thickTop="1" thickBot="1" x14ac:dyDescent="0.25">
      <c r="A67" s="921" t="s">
        <v>1291</v>
      </c>
      <c r="B67" s="921" t="s">
        <v>1292</v>
      </c>
      <c r="C67" s="921" t="s">
        <v>228</v>
      </c>
      <c r="D67" s="921" t="s">
        <v>1293</v>
      </c>
      <c r="E67" s="918">
        <f>'d3'!E67-'d3-07'!E67</f>
        <v>0</v>
      </c>
      <c r="F67" s="918">
        <f>'d3'!F67-'d3-07'!F67</f>
        <v>0</v>
      </c>
      <c r="G67" s="918">
        <f>'d3'!G67-'d3-07'!G67</f>
        <v>0</v>
      </c>
      <c r="H67" s="918">
        <f>'d3'!H67-'d3-07'!H67</f>
        <v>0</v>
      </c>
      <c r="I67" s="918">
        <f>'d3'!I67-'d3-07'!I67</f>
        <v>0</v>
      </c>
      <c r="J67" s="918">
        <f>'d3'!J67-'d3-07'!J67</f>
        <v>0</v>
      </c>
      <c r="K67" s="918">
        <f>'d3'!K67-'d3-07'!K67</f>
        <v>0</v>
      </c>
      <c r="L67" s="918">
        <f>'d3'!L67-'d3-07'!L67</f>
        <v>0</v>
      </c>
      <c r="M67" s="918">
        <f>'d3'!M67-'d3-07'!M67</f>
        <v>0</v>
      </c>
      <c r="N67" s="918">
        <f>'d3'!N67-'d3-07'!N67</f>
        <v>0</v>
      </c>
      <c r="O67" s="918">
        <f>'d3'!O67-'d3-07'!O67</f>
        <v>0</v>
      </c>
      <c r="P67" s="918">
        <f>'d3'!P67-'d3-07'!P67</f>
        <v>0</v>
      </c>
      <c r="Q67" s="194"/>
      <c r="R67" s="124" t="b">
        <f>K67='d6'!J82</f>
        <v>0</v>
      </c>
    </row>
    <row r="68" spans="1:18" s="39" customFormat="1" ht="409.6" hidden="1" thickTop="1" thickBot="1" x14ac:dyDescent="0.25">
      <c r="A68" s="365" t="s">
        <v>1321</v>
      </c>
      <c r="B68" s="365" t="s">
        <v>1323</v>
      </c>
      <c r="C68" s="365"/>
      <c r="D68" s="365" t="s">
        <v>1325</v>
      </c>
      <c r="E68" s="367"/>
      <c r="F68" s="367"/>
      <c r="G68" s="367"/>
      <c r="H68" s="367"/>
      <c r="I68" s="367"/>
      <c r="J68" s="839"/>
      <c r="K68" s="839"/>
      <c r="L68" s="839"/>
      <c r="M68" s="839"/>
      <c r="N68" s="839"/>
      <c r="O68" s="839"/>
      <c r="P68" s="839"/>
      <c r="Q68" s="194"/>
      <c r="R68" s="124"/>
    </row>
    <row r="69" spans="1:18" s="39" customFormat="1" ht="409.6" hidden="1" thickTop="1" thickBot="1" x14ac:dyDescent="0.25">
      <c r="A69" s="921" t="s">
        <v>1322</v>
      </c>
      <c r="B69" s="921" t="s">
        <v>1324</v>
      </c>
      <c r="C69" s="921" t="s">
        <v>228</v>
      </c>
      <c r="D69" s="921" t="s">
        <v>1326</v>
      </c>
      <c r="E69" s="918"/>
      <c r="F69" s="313"/>
      <c r="G69" s="313"/>
      <c r="H69" s="313"/>
      <c r="I69" s="313"/>
      <c r="J69" s="836"/>
      <c r="K69" s="809"/>
      <c r="L69" s="809"/>
      <c r="M69" s="809"/>
      <c r="N69" s="809"/>
      <c r="O69" s="838"/>
      <c r="P69" s="836"/>
      <c r="Q69" s="194"/>
      <c r="R69" s="124" t="b">
        <f>K69='d6'!J83</f>
        <v>1</v>
      </c>
    </row>
    <row r="70" spans="1:18" s="39" customFormat="1" ht="312" hidden="1" customHeight="1" thickTop="1" x14ac:dyDescent="0.2">
      <c r="A70" s="1051" t="s">
        <v>1350</v>
      </c>
      <c r="B70" s="1051" t="s">
        <v>1351</v>
      </c>
      <c r="C70" s="1051" t="s">
        <v>228</v>
      </c>
      <c r="D70" s="1051" t="s">
        <v>1352</v>
      </c>
      <c r="E70" s="1016"/>
      <c r="F70" s="1016"/>
      <c r="G70" s="1016"/>
      <c r="H70" s="1016"/>
      <c r="I70" s="1016"/>
      <c r="J70" s="1033"/>
      <c r="K70" s="1035"/>
      <c r="L70" s="1033"/>
      <c r="M70" s="1033"/>
      <c r="N70" s="1033"/>
      <c r="O70" s="1035"/>
      <c r="P70" s="1033"/>
      <c r="Q70" s="194"/>
      <c r="R70" s="124" t="b">
        <f>K70='d6'!J84</f>
        <v>1</v>
      </c>
    </row>
    <row r="71" spans="1:18" s="39" customFormat="1" ht="195" hidden="1" customHeight="1" thickBot="1" x14ac:dyDescent="0.25">
      <c r="A71" s="1026"/>
      <c r="B71" s="1026"/>
      <c r="C71" s="1026"/>
      <c r="D71" s="1026"/>
      <c r="E71" s="1026"/>
      <c r="F71" s="1026"/>
      <c r="G71" s="1026"/>
      <c r="H71" s="1026"/>
      <c r="I71" s="1026"/>
      <c r="J71" s="1034"/>
      <c r="K71" s="1036"/>
      <c r="L71" s="1034"/>
      <c r="M71" s="1034"/>
      <c r="N71" s="1034"/>
      <c r="O71" s="1036"/>
      <c r="P71" s="1034"/>
      <c r="Q71" s="194"/>
      <c r="R71" s="124"/>
    </row>
    <row r="72" spans="1:18" s="39" customFormat="1" ht="321.75" thickTop="1" thickBot="1" x14ac:dyDescent="0.25">
      <c r="A72" s="921" t="s">
        <v>803</v>
      </c>
      <c r="B72" s="921" t="s">
        <v>804</v>
      </c>
      <c r="C72" s="921" t="s">
        <v>228</v>
      </c>
      <c r="D72" s="921" t="s">
        <v>805</v>
      </c>
      <c r="E72" s="918">
        <f>'d3'!E72-'d3-07'!E72</f>
        <v>0</v>
      </c>
      <c r="F72" s="918">
        <f>'d3'!F72-'d3-07'!F72</f>
        <v>0</v>
      </c>
      <c r="G72" s="918">
        <f>'d3'!G72-'d3-07'!G72</f>
        <v>0</v>
      </c>
      <c r="H72" s="918">
        <f>'d3'!H72-'d3-07'!H72</f>
        <v>0</v>
      </c>
      <c r="I72" s="918">
        <f>'d3'!I72-'d3-07'!I72</f>
        <v>0</v>
      </c>
      <c r="J72" s="918">
        <f>'d3'!J72-'d3-07'!J72</f>
        <v>0</v>
      </c>
      <c r="K72" s="918">
        <f>'d3'!K72-'d3-07'!K72</f>
        <v>0</v>
      </c>
      <c r="L72" s="918">
        <f>'d3'!L72-'d3-07'!L72</f>
        <v>0</v>
      </c>
      <c r="M72" s="918">
        <f>'d3'!M72-'d3-07'!M72</f>
        <v>0</v>
      </c>
      <c r="N72" s="918">
        <f>'d3'!N72-'d3-07'!N72</f>
        <v>0</v>
      </c>
      <c r="O72" s="918">
        <f>'d3'!O72-'d3-07'!O72</f>
        <v>0</v>
      </c>
      <c r="P72" s="918">
        <f>'d3'!P72-'d3-07'!P72</f>
        <v>0</v>
      </c>
      <c r="Q72" s="194"/>
      <c r="R72" s="124" t="b">
        <f>K72='d6'!J86</f>
        <v>0</v>
      </c>
    </row>
    <row r="73" spans="1:18" s="39" customFormat="1" ht="321.75" thickTop="1" thickBot="1" x14ac:dyDescent="0.25">
      <c r="A73" s="921" t="s">
        <v>1213</v>
      </c>
      <c r="B73" s="921" t="s">
        <v>1214</v>
      </c>
      <c r="C73" s="921" t="s">
        <v>228</v>
      </c>
      <c r="D73" s="921" t="s">
        <v>1215</v>
      </c>
      <c r="E73" s="918">
        <f>'d3'!E73-'d3-07'!E73</f>
        <v>299264</v>
      </c>
      <c r="F73" s="918">
        <f>'d3'!F73-'d3-07'!F73</f>
        <v>299264</v>
      </c>
      <c r="G73" s="918">
        <f>'d3'!G73-'d3-07'!G73</f>
        <v>245298</v>
      </c>
      <c r="H73" s="918">
        <f>'d3'!H73-'d3-07'!H73</f>
        <v>0</v>
      </c>
      <c r="I73" s="918">
        <f>'d3'!I73-'d3-07'!I73</f>
        <v>0</v>
      </c>
      <c r="J73" s="918">
        <f>'d3'!J73-'d3-07'!J73</f>
        <v>172700</v>
      </c>
      <c r="K73" s="918">
        <f>'d3'!K73-'d3-07'!K73</f>
        <v>172700</v>
      </c>
      <c r="L73" s="918">
        <f>'d3'!L73-'d3-07'!L73</f>
        <v>0</v>
      </c>
      <c r="M73" s="918">
        <f>'d3'!M73-'d3-07'!M73</f>
        <v>0</v>
      </c>
      <c r="N73" s="918">
        <f>'d3'!N73-'d3-07'!N73</f>
        <v>0</v>
      </c>
      <c r="O73" s="918">
        <f>'d3'!O73-'d3-07'!O73</f>
        <v>172700</v>
      </c>
      <c r="P73" s="918">
        <f>'d3'!P73-'d3-07'!P73</f>
        <v>471964</v>
      </c>
      <c r="Q73" s="194"/>
      <c r="R73" s="124" t="b">
        <f>K73='d6'!J87</f>
        <v>0</v>
      </c>
    </row>
    <row r="74" spans="1:18" s="39" customFormat="1" ht="91.5" hidden="1" thickTop="1" thickBot="1" x14ac:dyDescent="0.25">
      <c r="A74" s="455" t="s">
        <v>869</v>
      </c>
      <c r="B74" s="455" t="s">
        <v>870</v>
      </c>
      <c r="C74" s="455"/>
      <c r="D74" s="455" t="s">
        <v>871</v>
      </c>
      <c r="E74" s="918"/>
      <c r="F74" s="918"/>
      <c r="G74" s="918"/>
      <c r="H74" s="918"/>
      <c r="I74" s="918"/>
      <c r="J74" s="836"/>
      <c r="K74" s="836"/>
      <c r="L74" s="836"/>
      <c r="M74" s="836"/>
      <c r="N74" s="836"/>
      <c r="O74" s="836"/>
      <c r="P74" s="836"/>
      <c r="Q74" s="194"/>
      <c r="R74" s="124"/>
    </row>
    <row r="75" spans="1:18" s="39" customFormat="1" ht="367.5" hidden="1" thickTop="1" thickBot="1" x14ac:dyDescent="0.25">
      <c r="A75" s="921" t="s">
        <v>461</v>
      </c>
      <c r="B75" s="921" t="s">
        <v>462</v>
      </c>
      <c r="C75" s="921" t="s">
        <v>203</v>
      </c>
      <c r="D75" s="921" t="s">
        <v>460</v>
      </c>
      <c r="E75" s="918"/>
      <c r="F75" s="313"/>
      <c r="G75" s="313"/>
      <c r="H75" s="313"/>
      <c r="I75" s="313"/>
      <c r="J75" s="836"/>
      <c r="K75" s="809"/>
      <c r="L75" s="809"/>
      <c r="M75" s="809"/>
      <c r="N75" s="809"/>
      <c r="O75" s="838"/>
      <c r="P75" s="836"/>
      <c r="Q75" s="194"/>
      <c r="R75" s="196"/>
    </row>
    <row r="76" spans="1:18" s="39" customFormat="1" ht="230.25" thickTop="1" thickBot="1" x14ac:dyDescent="0.25">
      <c r="A76" s="365" t="s">
        <v>1327</v>
      </c>
      <c r="B76" s="365" t="s">
        <v>1329</v>
      </c>
      <c r="C76" s="365"/>
      <c r="D76" s="365" t="s">
        <v>1331</v>
      </c>
      <c r="E76" s="918">
        <f>'d3'!E76-'d3-07'!E76</f>
        <v>553900</v>
      </c>
      <c r="F76" s="918">
        <f>'d3'!F76-'d3-07'!F76</f>
        <v>553900</v>
      </c>
      <c r="G76" s="918">
        <f>'d3'!G76-'d3-07'!G76</f>
        <v>0</v>
      </c>
      <c r="H76" s="918">
        <f>'d3'!H76-'d3-07'!H76</f>
        <v>0</v>
      </c>
      <c r="I76" s="918">
        <f>'d3'!I76-'d3-07'!I76</f>
        <v>0</v>
      </c>
      <c r="J76" s="918">
        <f>'d3'!J76-'d3-07'!J76</f>
        <v>1966100</v>
      </c>
      <c r="K76" s="918">
        <f>'d3'!K76-'d3-07'!K76</f>
        <v>1966100</v>
      </c>
      <c r="L76" s="918">
        <f>'d3'!L76-'d3-07'!L76</f>
        <v>0</v>
      </c>
      <c r="M76" s="918">
        <f>'d3'!M76-'d3-07'!M76</f>
        <v>0</v>
      </c>
      <c r="N76" s="918">
        <f>'d3'!N76-'d3-07'!N76</f>
        <v>0</v>
      </c>
      <c r="O76" s="918">
        <f>'d3'!O76-'d3-07'!O76</f>
        <v>1966100</v>
      </c>
      <c r="P76" s="918">
        <f>'d3'!P76-'d3-07'!P76</f>
        <v>2520000</v>
      </c>
      <c r="Q76" s="194"/>
      <c r="R76" s="196"/>
    </row>
    <row r="77" spans="1:18" s="39" customFormat="1" ht="367.5" thickTop="1" thickBot="1" x14ac:dyDescent="0.25">
      <c r="A77" s="921" t="s">
        <v>1328</v>
      </c>
      <c r="B77" s="921" t="s">
        <v>1330</v>
      </c>
      <c r="C77" s="921" t="s">
        <v>228</v>
      </c>
      <c r="D77" s="921" t="s">
        <v>1332</v>
      </c>
      <c r="E77" s="918">
        <f>'d3'!E77-'d3-07'!E77</f>
        <v>0</v>
      </c>
      <c r="F77" s="918">
        <f>'d3'!F77-'d3-07'!F77</f>
        <v>0</v>
      </c>
      <c r="G77" s="918">
        <f>'d3'!G77-'d3-07'!G77</f>
        <v>0</v>
      </c>
      <c r="H77" s="918">
        <f>'d3'!H77-'d3-07'!H77</f>
        <v>0</v>
      </c>
      <c r="I77" s="918">
        <f>'d3'!I77-'d3-07'!I77</f>
        <v>0</v>
      </c>
      <c r="J77" s="918">
        <f>'d3'!J77-'d3-07'!J77</f>
        <v>0</v>
      </c>
      <c r="K77" s="918">
        <f>'d3'!K77-'d3-07'!K77</f>
        <v>0</v>
      </c>
      <c r="L77" s="918">
        <f>'d3'!L77-'d3-07'!L77</f>
        <v>0</v>
      </c>
      <c r="M77" s="918">
        <f>'d3'!M77-'d3-07'!M77</f>
        <v>0</v>
      </c>
      <c r="N77" s="918">
        <f>'d3'!N77-'d3-07'!N77</f>
        <v>0</v>
      </c>
      <c r="O77" s="918">
        <f>'d3'!O77-'d3-07'!O77</f>
        <v>0</v>
      </c>
      <c r="P77" s="918">
        <f>'d3'!P77-'d3-07'!P77</f>
        <v>0</v>
      </c>
      <c r="Q77" s="194"/>
      <c r="R77" s="124" t="b">
        <f>K77='d6'!J88+'d6'!J89</f>
        <v>0</v>
      </c>
    </row>
    <row r="78" spans="1:18" s="39" customFormat="1" ht="321.75" thickTop="1" thickBot="1" x14ac:dyDescent="0.25">
      <c r="A78" s="921" t="s">
        <v>1403</v>
      </c>
      <c r="B78" s="921" t="s">
        <v>1404</v>
      </c>
      <c r="C78" s="921" t="s">
        <v>228</v>
      </c>
      <c r="D78" s="921" t="s">
        <v>1402</v>
      </c>
      <c r="E78" s="918">
        <f>'d3'!E78-0</f>
        <v>553900</v>
      </c>
      <c r="F78" s="918">
        <f>'d3'!F78-0</f>
        <v>553900</v>
      </c>
      <c r="G78" s="918">
        <f>'d3'!G78-0</f>
        <v>0</v>
      </c>
      <c r="H78" s="918">
        <f>'d3'!H78-0</f>
        <v>0</v>
      </c>
      <c r="I78" s="918">
        <f>'d3'!I78-0</f>
        <v>0</v>
      </c>
      <c r="J78" s="918">
        <f>'d3'!J78-0</f>
        <v>1966100</v>
      </c>
      <c r="K78" s="918">
        <f>'d3'!K78-0</f>
        <v>1966100</v>
      </c>
      <c r="L78" s="918">
        <f>'d3'!L78-0</f>
        <v>0</v>
      </c>
      <c r="M78" s="918">
        <f>'d3'!M78-0</f>
        <v>0</v>
      </c>
      <c r="N78" s="918">
        <f>'d3'!N78-0</f>
        <v>0</v>
      </c>
      <c r="O78" s="918">
        <f>'d3'!O78-0</f>
        <v>1966100</v>
      </c>
      <c r="P78" s="918">
        <f>'d3'!P78-0</f>
        <v>2520000</v>
      </c>
      <c r="Q78" s="194"/>
      <c r="R78" s="124" t="b">
        <f>K78='d6'!J90</f>
        <v>1</v>
      </c>
    </row>
    <row r="79" spans="1:18" s="39" customFormat="1" ht="47.25" thickTop="1" thickBot="1" x14ac:dyDescent="0.25">
      <c r="A79" s="455" t="s">
        <v>1465</v>
      </c>
      <c r="B79" s="455" t="s">
        <v>908</v>
      </c>
      <c r="C79" s="455"/>
      <c r="D79" s="455" t="s">
        <v>1464</v>
      </c>
      <c r="E79" s="918">
        <f>'d3'!E79-0</f>
        <v>84177</v>
      </c>
      <c r="F79" s="918">
        <f>'d3'!F79-0</f>
        <v>84177</v>
      </c>
      <c r="G79" s="918">
        <f>'d3'!G79-0</f>
        <v>0</v>
      </c>
      <c r="H79" s="918">
        <f>'d3'!H79-0</f>
        <v>0</v>
      </c>
      <c r="I79" s="918">
        <f>'d3'!I79-0</f>
        <v>0</v>
      </c>
      <c r="J79" s="918">
        <f>'d3'!J79-0</f>
        <v>200000</v>
      </c>
      <c r="K79" s="918">
        <f>'d3'!K79-0</f>
        <v>200000</v>
      </c>
      <c r="L79" s="918">
        <f>'d3'!L79-0</f>
        <v>0</v>
      </c>
      <c r="M79" s="918">
        <f>'d3'!M79-0</f>
        <v>0</v>
      </c>
      <c r="N79" s="918">
        <f>'d3'!N79-0</f>
        <v>0</v>
      </c>
      <c r="O79" s="918">
        <f>'d3'!O79-0</f>
        <v>200000</v>
      </c>
      <c r="P79" s="918">
        <f>'d3'!P79-0</f>
        <v>284177</v>
      </c>
      <c r="Q79" s="194"/>
      <c r="R79" s="124"/>
    </row>
    <row r="80" spans="1:18" s="39" customFormat="1" ht="91.5" thickTop="1" thickBot="1" x14ac:dyDescent="0.25">
      <c r="A80" s="404" t="s">
        <v>1463</v>
      </c>
      <c r="B80" s="404" t="s">
        <v>964</v>
      </c>
      <c r="C80" s="404"/>
      <c r="D80" s="404" t="s">
        <v>965</v>
      </c>
      <c r="E80" s="918">
        <f>'d3'!E80-0</f>
        <v>0</v>
      </c>
      <c r="F80" s="918">
        <f>'d3'!F80-0</f>
        <v>0</v>
      </c>
      <c r="G80" s="918">
        <f>'d3'!G80-0</f>
        <v>0</v>
      </c>
      <c r="H80" s="918">
        <f>'d3'!H80-0</f>
        <v>0</v>
      </c>
      <c r="I80" s="918">
        <f>'d3'!I80-0</f>
        <v>0</v>
      </c>
      <c r="J80" s="918">
        <f>'d3'!J80-0</f>
        <v>200000</v>
      </c>
      <c r="K80" s="918">
        <f>'d3'!K80-0</f>
        <v>200000</v>
      </c>
      <c r="L80" s="918">
        <f>'d3'!L80-0</f>
        <v>0</v>
      </c>
      <c r="M80" s="918">
        <f>'d3'!M80-0</f>
        <v>0</v>
      </c>
      <c r="N80" s="918">
        <f>'d3'!N80-0</f>
        <v>0</v>
      </c>
      <c r="O80" s="918">
        <f>'d3'!O80-0</f>
        <v>200000</v>
      </c>
      <c r="P80" s="918">
        <f>'d3'!P80-0</f>
        <v>200000</v>
      </c>
      <c r="Q80" s="194"/>
      <c r="R80" s="124"/>
    </row>
    <row r="81" spans="1:18" s="39" customFormat="1" ht="145.5" thickTop="1" thickBot="1" x14ac:dyDescent="0.25">
      <c r="A81" s="365" t="s">
        <v>1466</v>
      </c>
      <c r="B81" s="365" t="s">
        <v>983</v>
      </c>
      <c r="C81" s="365"/>
      <c r="D81" s="365" t="s">
        <v>1467</v>
      </c>
      <c r="E81" s="918">
        <f>'d3'!E81-0</f>
        <v>0</v>
      </c>
      <c r="F81" s="918">
        <f>'d3'!F81-0</f>
        <v>0</v>
      </c>
      <c r="G81" s="918">
        <f>'d3'!G81-0</f>
        <v>0</v>
      </c>
      <c r="H81" s="918">
        <f>'d3'!H81-0</f>
        <v>0</v>
      </c>
      <c r="I81" s="918">
        <f>'d3'!I81-0</f>
        <v>0</v>
      </c>
      <c r="J81" s="918">
        <f>'d3'!J81-0</f>
        <v>200000</v>
      </c>
      <c r="K81" s="918">
        <f>'d3'!K81-0</f>
        <v>200000</v>
      </c>
      <c r="L81" s="918">
        <f>'d3'!L81-0</f>
        <v>0</v>
      </c>
      <c r="M81" s="918">
        <f>'d3'!M81-0</f>
        <v>0</v>
      </c>
      <c r="N81" s="918">
        <f>'d3'!N81-0</f>
        <v>0</v>
      </c>
      <c r="O81" s="918">
        <f>'d3'!O81-0</f>
        <v>200000</v>
      </c>
      <c r="P81" s="918">
        <f>'d3'!P81-0</f>
        <v>200000</v>
      </c>
      <c r="Q81" s="194"/>
      <c r="R81" s="124"/>
    </row>
    <row r="82" spans="1:18" s="39" customFormat="1" ht="99.75" thickTop="1" thickBot="1" x14ac:dyDescent="0.25">
      <c r="A82" s="921" t="s">
        <v>1485</v>
      </c>
      <c r="B82" s="365" t="s">
        <v>334</v>
      </c>
      <c r="C82" s="921" t="s">
        <v>323</v>
      </c>
      <c r="D82" s="921" t="s">
        <v>781</v>
      </c>
      <c r="E82" s="918">
        <f>'d3'!E82-0</f>
        <v>0</v>
      </c>
      <c r="F82" s="918">
        <f>'d3'!F82-0</f>
        <v>0</v>
      </c>
      <c r="G82" s="918">
        <f>'d3'!G82-0</f>
        <v>0</v>
      </c>
      <c r="H82" s="918">
        <f>'d3'!H82-0</f>
        <v>0</v>
      </c>
      <c r="I82" s="918">
        <f>'d3'!I82-0</f>
        <v>0</v>
      </c>
      <c r="J82" s="918">
        <f>'d3'!J82-0</f>
        <v>200000</v>
      </c>
      <c r="K82" s="918">
        <f>'d3'!K82-0</f>
        <v>200000</v>
      </c>
      <c r="L82" s="918">
        <f>'d3'!L82-0</f>
        <v>0</v>
      </c>
      <c r="M82" s="918">
        <f>'d3'!M82-0</f>
        <v>0</v>
      </c>
      <c r="N82" s="918">
        <f>'d3'!N82-0</f>
        <v>0</v>
      </c>
      <c r="O82" s="918">
        <f>'d3'!O82-0</f>
        <v>200000</v>
      </c>
      <c r="P82" s="918">
        <f>'d3'!P82-0</f>
        <v>200000</v>
      </c>
      <c r="Q82" s="124"/>
      <c r="R82" s="124" t="b">
        <f>K82='d6'!J91</f>
        <v>1</v>
      </c>
    </row>
    <row r="83" spans="1:18" s="39" customFormat="1" ht="136.5" thickTop="1" thickBot="1" x14ac:dyDescent="0.25">
      <c r="A83" s="404" t="s">
        <v>1470</v>
      </c>
      <c r="B83" s="404" t="s">
        <v>850</v>
      </c>
      <c r="C83" s="404"/>
      <c r="D83" s="404" t="s">
        <v>848</v>
      </c>
      <c r="E83" s="918">
        <f>'d3'!E83-0</f>
        <v>84177</v>
      </c>
      <c r="F83" s="918">
        <f>'d3'!F83-0</f>
        <v>84177</v>
      </c>
      <c r="G83" s="918">
        <f>'d3'!G83-0</f>
        <v>0</v>
      </c>
      <c r="H83" s="918">
        <f>'d3'!H83-0</f>
        <v>0</v>
      </c>
      <c r="I83" s="918">
        <f>'d3'!I83-0</f>
        <v>0</v>
      </c>
      <c r="J83" s="918">
        <f>'d3'!J83-0</f>
        <v>0</v>
      </c>
      <c r="K83" s="918">
        <f>'d3'!K83-0</f>
        <v>0</v>
      </c>
      <c r="L83" s="918">
        <f>'d3'!L83-0</f>
        <v>0</v>
      </c>
      <c r="M83" s="918">
        <f>'d3'!M83-0</f>
        <v>0</v>
      </c>
      <c r="N83" s="918">
        <f>'d3'!N83-0</f>
        <v>0</v>
      </c>
      <c r="O83" s="918">
        <f>'d3'!O83-0</f>
        <v>0</v>
      </c>
      <c r="P83" s="918">
        <f>'d3'!P83-0</f>
        <v>84177</v>
      </c>
      <c r="Q83" s="124"/>
      <c r="R83" s="124"/>
    </row>
    <row r="84" spans="1:18" s="39" customFormat="1" ht="47.25" thickTop="1" thickBot="1" x14ac:dyDescent="0.25">
      <c r="A84" s="921" t="s">
        <v>1471</v>
      </c>
      <c r="B84" s="365" t="s">
        <v>230</v>
      </c>
      <c r="C84" s="921" t="s">
        <v>231</v>
      </c>
      <c r="D84" s="921" t="s">
        <v>43</v>
      </c>
      <c r="E84" s="918">
        <f>'d3'!E84-0</f>
        <v>84177</v>
      </c>
      <c r="F84" s="918">
        <f>'d3'!F84-0</f>
        <v>84177</v>
      </c>
      <c r="G84" s="918">
        <f>'d3'!G84-0</f>
        <v>0</v>
      </c>
      <c r="H84" s="918">
        <f>'d3'!H84-0</f>
        <v>0</v>
      </c>
      <c r="I84" s="918">
        <f>'d3'!I84-0</f>
        <v>0</v>
      </c>
      <c r="J84" s="918">
        <f>'d3'!J84-0</f>
        <v>0</v>
      </c>
      <c r="K84" s="918">
        <f>'d3'!K84-0</f>
        <v>0</v>
      </c>
      <c r="L84" s="918">
        <f>'d3'!L84-0</f>
        <v>0</v>
      </c>
      <c r="M84" s="918">
        <f>'d3'!M84-0</f>
        <v>0</v>
      </c>
      <c r="N84" s="918">
        <f>'d3'!N84-0</f>
        <v>0</v>
      </c>
      <c r="O84" s="918">
        <f>'d3'!O84-0</f>
        <v>0</v>
      </c>
      <c r="P84" s="918">
        <f>'d3'!P84-0</f>
        <v>84177</v>
      </c>
      <c r="Q84" s="124"/>
      <c r="R84" s="124"/>
    </row>
    <row r="85" spans="1:18" s="39" customFormat="1" ht="47.25" thickTop="1" thickBot="1" x14ac:dyDescent="0.25">
      <c r="A85" s="455" t="s">
        <v>1373</v>
      </c>
      <c r="B85" s="455" t="s">
        <v>861</v>
      </c>
      <c r="C85" s="455"/>
      <c r="D85" s="455" t="s">
        <v>862</v>
      </c>
      <c r="E85" s="918">
        <f>'d3'!E85-'d3-07'!E78</f>
        <v>0</v>
      </c>
      <c r="F85" s="918">
        <f>'d3'!F85-'d3-07'!F78</f>
        <v>0</v>
      </c>
      <c r="G85" s="918">
        <f>'d3'!G85-'d3-07'!G78</f>
        <v>0</v>
      </c>
      <c r="H85" s="918">
        <f>'d3'!H85-'d3-07'!H78</f>
        <v>0</v>
      </c>
      <c r="I85" s="918">
        <f>'d3'!I85-'d3-07'!I78</f>
        <v>0</v>
      </c>
      <c r="J85" s="918">
        <f>'d3'!J85-'d3-07'!J78</f>
        <v>155941.8200000003</v>
      </c>
      <c r="K85" s="918">
        <f>'d3'!K85-'d3-07'!K78</f>
        <v>155941.8200000003</v>
      </c>
      <c r="L85" s="918">
        <f>'d3'!L85-'d3-07'!L78</f>
        <v>0</v>
      </c>
      <c r="M85" s="918">
        <f>'d3'!M85-'d3-07'!M78</f>
        <v>0</v>
      </c>
      <c r="N85" s="918">
        <f>'d3'!N85-'d3-07'!N78</f>
        <v>0</v>
      </c>
      <c r="O85" s="918">
        <f>'d3'!O85-'d3-07'!O78</f>
        <v>155941.8200000003</v>
      </c>
      <c r="P85" s="918">
        <f>'d3'!P85-'d3-07'!P78</f>
        <v>155941.8200000003</v>
      </c>
      <c r="Q85" s="194"/>
      <c r="R85" s="124"/>
    </row>
    <row r="86" spans="1:18" s="39" customFormat="1" ht="271.5" thickTop="1" thickBot="1" x14ac:dyDescent="0.25">
      <c r="A86" s="404" t="s">
        <v>1374</v>
      </c>
      <c r="B86" s="404" t="s">
        <v>864</v>
      </c>
      <c r="C86" s="404"/>
      <c r="D86" s="404" t="s">
        <v>865</v>
      </c>
      <c r="E86" s="918">
        <f>'d3'!E86-'d3-07'!E79</f>
        <v>0</v>
      </c>
      <c r="F86" s="918">
        <f>'d3'!F86-'d3-07'!F79</f>
        <v>0</v>
      </c>
      <c r="G86" s="918">
        <f>'d3'!G86-'d3-07'!G79</f>
        <v>0</v>
      </c>
      <c r="H86" s="918">
        <f>'d3'!H86-'d3-07'!H79</f>
        <v>0</v>
      </c>
      <c r="I86" s="918">
        <f>'d3'!I86-'d3-07'!I79</f>
        <v>0</v>
      </c>
      <c r="J86" s="918">
        <f>'d3'!J86-'d3-07'!J79</f>
        <v>155941.8200000003</v>
      </c>
      <c r="K86" s="918">
        <f>'d3'!K86-'d3-07'!K79</f>
        <v>155941.8200000003</v>
      </c>
      <c r="L86" s="918">
        <f>'d3'!L86-'d3-07'!L79</f>
        <v>0</v>
      </c>
      <c r="M86" s="918">
        <f>'d3'!M86-'d3-07'!M79</f>
        <v>0</v>
      </c>
      <c r="N86" s="918">
        <f>'d3'!N86-'d3-07'!N79</f>
        <v>0</v>
      </c>
      <c r="O86" s="918">
        <f>'d3'!O86-'d3-07'!O79</f>
        <v>155941.8200000003</v>
      </c>
      <c r="P86" s="918">
        <f>'d3'!P86-'d3-07'!P79</f>
        <v>155941.8200000003</v>
      </c>
      <c r="Q86" s="194"/>
      <c r="R86" s="124"/>
    </row>
    <row r="87" spans="1:18" s="39" customFormat="1" ht="93" thickTop="1" thickBot="1" x14ac:dyDescent="0.25">
      <c r="A87" s="921" t="s">
        <v>1375</v>
      </c>
      <c r="B87" s="921" t="s">
        <v>389</v>
      </c>
      <c r="C87" s="921" t="s">
        <v>45</v>
      </c>
      <c r="D87" s="921" t="s">
        <v>390</v>
      </c>
      <c r="E87" s="918">
        <f>'d3'!E87-'d3-07'!E80</f>
        <v>0</v>
      </c>
      <c r="F87" s="918">
        <f>'d3'!F87-'d3-07'!F80</f>
        <v>0</v>
      </c>
      <c r="G87" s="918">
        <f>'d3'!G87-'d3-07'!G80</f>
        <v>0</v>
      </c>
      <c r="H87" s="918">
        <f>'d3'!H87-'d3-07'!H80</f>
        <v>0</v>
      </c>
      <c r="I87" s="918">
        <f>'d3'!I87-'d3-07'!I80</f>
        <v>0</v>
      </c>
      <c r="J87" s="918">
        <f>'d3'!J87-'d3-07'!J80</f>
        <v>155941.8200000003</v>
      </c>
      <c r="K87" s="918">
        <f>'d3'!K87-'d3-07'!K80</f>
        <v>155941.8200000003</v>
      </c>
      <c r="L87" s="918">
        <f>'d3'!L87-'d3-07'!L80</f>
        <v>0</v>
      </c>
      <c r="M87" s="918">
        <f>'d3'!M87-'d3-07'!M80</f>
        <v>0</v>
      </c>
      <c r="N87" s="918">
        <f>'d3'!N87-'d3-07'!N80</f>
        <v>0</v>
      </c>
      <c r="O87" s="918">
        <f>'d3'!O87-'d3-07'!O80</f>
        <v>155941.8200000003</v>
      </c>
      <c r="P87" s="918">
        <f>'d3'!P87-'d3-07'!P80</f>
        <v>155941.8200000003</v>
      </c>
      <c r="Q87" s="194"/>
      <c r="R87" s="124" t="b">
        <f>K87='d6'!J92</f>
        <v>0</v>
      </c>
    </row>
    <row r="88" spans="1:18" ht="136.5" thickTop="1" thickBot="1" x14ac:dyDescent="0.25">
      <c r="A88" s="853" t="s">
        <v>168</v>
      </c>
      <c r="B88" s="853"/>
      <c r="C88" s="853"/>
      <c r="D88" s="854" t="s">
        <v>18</v>
      </c>
      <c r="E88" s="855">
        <f>E89</f>
        <v>4224550</v>
      </c>
      <c r="F88" s="856">
        <f t="shared" ref="F88:G88" si="8">F89</f>
        <v>4224550</v>
      </c>
      <c r="G88" s="856">
        <f t="shared" si="8"/>
        <v>107000</v>
      </c>
      <c r="H88" s="856">
        <f>H89</f>
        <v>0</v>
      </c>
      <c r="I88" s="856">
        <f t="shared" ref="I88" si="9">I89</f>
        <v>0</v>
      </c>
      <c r="J88" s="855">
        <f>J89</f>
        <v>3553902</v>
      </c>
      <c r="K88" s="856">
        <f>K89</f>
        <v>3553902</v>
      </c>
      <c r="L88" s="856">
        <f>L89</f>
        <v>0</v>
      </c>
      <c r="M88" s="856">
        <f t="shared" ref="M88" si="10">M89</f>
        <v>0</v>
      </c>
      <c r="N88" s="856">
        <f>N89</f>
        <v>0</v>
      </c>
      <c r="O88" s="855">
        <f>O89</f>
        <v>3553902</v>
      </c>
      <c r="P88" s="856">
        <f>P89</f>
        <v>7778452</v>
      </c>
    </row>
    <row r="89" spans="1:18" ht="136.5" thickTop="1" thickBot="1" x14ac:dyDescent="0.25">
      <c r="A89" s="857" t="s">
        <v>169</v>
      </c>
      <c r="B89" s="857"/>
      <c r="C89" s="857"/>
      <c r="D89" s="858" t="s">
        <v>38</v>
      </c>
      <c r="E89" s="859">
        <f>E90+E92+E105</f>
        <v>4224550</v>
      </c>
      <c r="F89" s="859">
        <f t="shared" ref="F89:I89" si="11">F90+F92+F105</f>
        <v>4224550</v>
      </c>
      <c r="G89" s="859">
        <f t="shared" si="11"/>
        <v>107000</v>
      </c>
      <c r="H89" s="859">
        <f t="shared" si="11"/>
        <v>0</v>
      </c>
      <c r="I89" s="859">
        <f t="shared" si="11"/>
        <v>0</v>
      </c>
      <c r="J89" s="859">
        <f>L89+O89</f>
        <v>3553902</v>
      </c>
      <c r="K89" s="859">
        <f t="shared" ref="K89:O89" si="12">K90+K92+K105</f>
        <v>3553902</v>
      </c>
      <c r="L89" s="859">
        <f t="shared" si="12"/>
        <v>0</v>
      </c>
      <c r="M89" s="859">
        <f t="shared" si="12"/>
        <v>0</v>
      </c>
      <c r="N89" s="859">
        <f t="shared" si="12"/>
        <v>0</v>
      </c>
      <c r="O89" s="859">
        <f t="shared" si="12"/>
        <v>3553902</v>
      </c>
      <c r="P89" s="859">
        <f t="shared" ref="P89:P111" si="13">E89+J89</f>
        <v>7778452</v>
      </c>
      <c r="Q89" s="124" t="b">
        <f>P89=P91+P93+P94+P95+P96+P97+P99+P101+P103+P104+P110+P108</f>
        <v>1</v>
      </c>
      <c r="R89" s="124" t="b">
        <f>K89='d6'!J94</f>
        <v>0</v>
      </c>
    </row>
    <row r="90" spans="1:18" ht="47.25" thickTop="1" thickBot="1" x14ac:dyDescent="0.25">
      <c r="A90" s="455" t="s">
        <v>872</v>
      </c>
      <c r="B90" s="455" t="s">
        <v>843</v>
      </c>
      <c r="C90" s="455"/>
      <c r="D90" s="455" t="s">
        <v>844</v>
      </c>
      <c r="E90" s="918">
        <f>'d3'!E90-'d3-07'!E83</f>
        <v>131000</v>
      </c>
      <c r="F90" s="918">
        <f>'d3'!F90-'d3-07'!F83</f>
        <v>131000</v>
      </c>
      <c r="G90" s="918">
        <f>'d3'!G90-'d3-07'!G83</f>
        <v>107000</v>
      </c>
      <c r="H90" s="918">
        <f>'d3'!H90-'d3-07'!H83</f>
        <v>0</v>
      </c>
      <c r="I90" s="918">
        <f>'d3'!I90-'d3-07'!I83</f>
        <v>0</v>
      </c>
      <c r="J90" s="918">
        <f>'d3'!J90-'d3-07'!J83</f>
        <v>100000</v>
      </c>
      <c r="K90" s="918">
        <f>'d3'!K90-'d3-07'!K83</f>
        <v>100000</v>
      </c>
      <c r="L90" s="918">
        <f>'d3'!L90-'d3-07'!L83</f>
        <v>0</v>
      </c>
      <c r="M90" s="918">
        <f>'d3'!M90-'d3-07'!M83</f>
        <v>0</v>
      </c>
      <c r="N90" s="918">
        <f>'d3'!N90-'d3-07'!N83</f>
        <v>0</v>
      </c>
      <c r="O90" s="918">
        <f>'d3'!O90-'d3-07'!O83</f>
        <v>100000</v>
      </c>
      <c r="P90" s="918">
        <f>'d3'!P90-'d3-07'!P83</f>
        <v>231000</v>
      </c>
      <c r="Q90" s="124"/>
      <c r="R90" s="124"/>
    </row>
    <row r="91" spans="1:18" ht="230.25" thickTop="1" thickBot="1" x14ac:dyDescent="0.25">
      <c r="A91" s="921" t="s">
        <v>444</v>
      </c>
      <c r="B91" s="921" t="s">
        <v>254</v>
      </c>
      <c r="C91" s="921" t="s">
        <v>252</v>
      </c>
      <c r="D91" s="921" t="s">
        <v>253</v>
      </c>
      <c r="E91" s="918">
        <f>'d3'!E91-'d3-07'!E84</f>
        <v>131000</v>
      </c>
      <c r="F91" s="918">
        <f>'d3'!F91-'d3-07'!F84</f>
        <v>131000</v>
      </c>
      <c r="G91" s="918">
        <f>'d3'!G91-'d3-07'!G84</f>
        <v>107000</v>
      </c>
      <c r="H91" s="918">
        <f>'d3'!H91-'d3-07'!H84</f>
        <v>0</v>
      </c>
      <c r="I91" s="918">
        <f>'d3'!I91-'d3-07'!I84</f>
        <v>0</v>
      </c>
      <c r="J91" s="918">
        <f>'d3'!J91-'d3-07'!J84</f>
        <v>100000</v>
      </c>
      <c r="K91" s="918">
        <f>'d3'!K91-'d3-07'!K84</f>
        <v>100000</v>
      </c>
      <c r="L91" s="918">
        <f>'d3'!L91-'d3-07'!L84</f>
        <v>0</v>
      </c>
      <c r="M91" s="918">
        <f>'d3'!M91-'d3-07'!M84</f>
        <v>0</v>
      </c>
      <c r="N91" s="918">
        <f>'d3'!N91-'d3-07'!N84</f>
        <v>0</v>
      </c>
      <c r="O91" s="918">
        <f>'d3'!O91-'d3-07'!O84</f>
        <v>100000</v>
      </c>
      <c r="P91" s="918">
        <f>'d3'!P91-'d3-07'!P84</f>
        <v>231000</v>
      </c>
      <c r="Q91" s="196"/>
      <c r="R91" s="124" t="b">
        <f>K91='d6'!J95</f>
        <v>1</v>
      </c>
    </row>
    <row r="92" spans="1:18" ht="47.25" thickTop="1" thickBot="1" x14ac:dyDescent="0.25">
      <c r="A92" s="455" t="s">
        <v>873</v>
      </c>
      <c r="B92" s="455" t="s">
        <v>874</v>
      </c>
      <c r="C92" s="455"/>
      <c r="D92" s="455" t="s">
        <v>875</v>
      </c>
      <c r="E92" s="918">
        <f>'d3'!E92-'d3-07'!E85</f>
        <v>4093550</v>
      </c>
      <c r="F92" s="918">
        <f>'d3'!F92-'d3-07'!F85</f>
        <v>4093550</v>
      </c>
      <c r="G92" s="918">
        <f>'d3'!G92-'d3-07'!G85</f>
        <v>0</v>
      </c>
      <c r="H92" s="918">
        <f>'d3'!H92-'d3-07'!H85</f>
        <v>0</v>
      </c>
      <c r="I92" s="918">
        <f>'d3'!I92-'d3-07'!I85</f>
        <v>0</v>
      </c>
      <c r="J92" s="918">
        <f>'d3'!J92-'d3-07'!J85</f>
        <v>24000</v>
      </c>
      <c r="K92" s="918">
        <f>'d3'!K92-'d3-07'!K85</f>
        <v>24000</v>
      </c>
      <c r="L92" s="918">
        <f>'d3'!L92-'d3-07'!L85</f>
        <v>0</v>
      </c>
      <c r="M92" s="918">
        <f>'d3'!M92-'d3-07'!M85</f>
        <v>0</v>
      </c>
      <c r="N92" s="918">
        <f>'d3'!N92-'d3-07'!N85</f>
        <v>0</v>
      </c>
      <c r="O92" s="918">
        <f>'d3'!O92-'d3-07'!O85</f>
        <v>24000</v>
      </c>
      <c r="P92" s="918">
        <f>'d3'!P92-'d3-07'!P85</f>
        <v>4117550</v>
      </c>
      <c r="Q92" s="196"/>
      <c r="R92" s="196"/>
    </row>
    <row r="93" spans="1:18" ht="93" thickTop="1" thickBot="1" x14ac:dyDescent="0.25">
      <c r="A93" s="921" t="s">
        <v>232</v>
      </c>
      <c r="B93" s="921" t="s">
        <v>229</v>
      </c>
      <c r="C93" s="921" t="s">
        <v>233</v>
      </c>
      <c r="D93" s="921" t="s">
        <v>19</v>
      </c>
      <c r="E93" s="918">
        <f>'d3'!E93-'d3-07'!E86</f>
        <v>1924000</v>
      </c>
      <c r="F93" s="918">
        <f>'d3'!F93-'d3-07'!F86</f>
        <v>1924000</v>
      </c>
      <c r="G93" s="918">
        <f>'d3'!G93-'d3-07'!G86</f>
        <v>0</v>
      </c>
      <c r="H93" s="918">
        <f>'d3'!H93-'d3-07'!H86</f>
        <v>0</v>
      </c>
      <c r="I93" s="918">
        <f>'d3'!I93-'d3-07'!I86</f>
        <v>0</v>
      </c>
      <c r="J93" s="918">
        <f>'d3'!J93-'d3-07'!J86</f>
        <v>0</v>
      </c>
      <c r="K93" s="918">
        <f>'d3'!K93-'d3-07'!K86</f>
        <v>0</v>
      </c>
      <c r="L93" s="918">
        <f>'d3'!L93-'d3-07'!L86</f>
        <v>0</v>
      </c>
      <c r="M93" s="918">
        <f>'d3'!M93-'d3-07'!M86</f>
        <v>0</v>
      </c>
      <c r="N93" s="918">
        <f>'d3'!N93-'d3-07'!N86</f>
        <v>0</v>
      </c>
      <c r="O93" s="918">
        <f>'d3'!O93-'d3-07'!O86</f>
        <v>0</v>
      </c>
      <c r="P93" s="918">
        <f>'d3'!P93-'d3-07'!P86</f>
        <v>1924000</v>
      </c>
      <c r="R93" s="191"/>
    </row>
    <row r="94" spans="1:18" ht="93" thickTop="1" thickBot="1" x14ac:dyDescent="0.25">
      <c r="A94" s="921" t="s">
        <v>552</v>
      </c>
      <c r="B94" s="921" t="s">
        <v>555</v>
      </c>
      <c r="C94" s="921" t="s">
        <v>554</v>
      </c>
      <c r="D94" s="921" t="s">
        <v>553</v>
      </c>
      <c r="E94" s="918">
        <f>'d3'!E94-'d3-07'!E87</f>
        <v>120000</v>
      </c>
      <c r="F94" s="918">
        <f>'d3'!F94-'d3-07'!F87</f>
        <v>120000</v>
      </c>
      <c r="G94" s="918">
        <f>'d3'!G94-'d3-07'!G87</f>
        <v>0</v>
      </c>
      <c r="H94" s="918">
        <f>'d3'!H94-'d3-07'!H87</f>
        <v>0</v>
      </c>
      <c r="I94" s="918">
        <f>'d3'!I94-'d3-07'!I87</f>
        <v>0</v>
      </c>
      <c r="J94" s="918">
        <f>'d3'!J94-'d3-07'!J87</f>
        <v>0</v>
      </c>
      <c r="K94" s="918">
        <f>'d3'!K94-'d3-07'!K87</f>
        <v>0</v>
      </c>
      <c r="L94" s="918">
        <f>'d3'!L94-'d3-07'!L87</f>
        <v>0</v>
      </c>
      <c r="M94" s="918">
        <f>'d3'!M94-'d3-07'!M87</f>
        <v>0</v>
      </c>
      <c r="N94" s="918">
        <f>'d3'!N94-'d3-07'!N87</f>
        <v>0</v>
      </c>
      <c r="O94" s="918">
        <f>'d3'!O94-'d3-07'!O87</f>
        <v>0</v>
      </c>
      <c r="P94" s="918">
        <f>'d3'!P94-'d3-07'!P87</f>
        <v>120000</v>
      </c>
      <c r="R94" s="196"/>
    </row>
    <row r="95" spans="1:18" ht="138.75" thickTop="1" thickBot="1" x14ac:dyDescent="0.25">
      <c r="A95" s="921" t="s">
        <v>234</v>
      </c>
      <c r="B95" s="921" t="s">
        <v>235</v>
      </c>
      <c r="C95" s="921" t="s">
        <v>236</v>
      </c>
      <c r="D95" s="921" t="s">
        <v>237</v>
      </c>
      <c r="E95" s="918">
        <f>'d3'!E95-'d3-07'!E88</f>
        <v>1408650</v>
      </c>
      <c r="F95" s="918">
        <f>'d3'!F95-'d3-07'!F88</f>
        <v>1408650</v>
      </c>
      <c r="G95" s="918">
        <f>'d3'!G95-'d3-07'!G88</f>
        <v>0</v>
      </c>
      <c r="H95" s="918">
        <f>'d3'!H95-'d3-07'!H88</f>
        <v>0</v>
      </c>
      <c r="I95" s="918">
        <f>'d3'!I95-'d3-07'!I88</f>
        <v>0</v>
      </c>
      <c r="J95" s="918">
        <f>'d3'!J95-'d3-07'!J88</f>
        <v>0</v>
      </c>
      <c r="K95" s="918">
        <f>'d3'!K95-'d3-07'!K88</f>
        <v>0</v>
      </c>
      <c r="L95" s="918">
        <f>'d3'!L95-'d3-07'!L88</f>
        <v>0</v>
      </c>
      <c r="M95" s="918">
        <f>'d3'!M95-'d3-07'!M88</f>
        <v>0</v>
      </c>
      <c r="N95" s="918">
        <f>'d3'!N95-'d3-07'!N88</f>
        <v>0</v>
      </c>
      <c r="O95" s="918">
        <f>'d3'!O95-'d3-07'!O88</f>
        <v>0</v>
      </c>
      <c r="P95" s="918">
        <f>'d3'!P95-'d3-07'!P88</f>
        <v>1408650</v>
      </c>
      <c r="R95" s="196"/>
    </row>
    <row r="96" spans="1:18" ht="138.75" thickTop="1" thickBot="1" x14ac:dyDescent="0.25">
      <c r="A96" s="921" t="s">
        <v>238</v>
      </c>
      <c r="B96" s="921" t="s">
        <v>239</v>
      </c>
      <c r="C96" s="921" t="s">
        <v>240</v>
      </c>
      <c r="D96" s="921" t="s">
        <v>371</v>
      </c>
      <c r="E96" s="918">
        <f>'d3'!E96-'d3-07'!E89</f>
        <v>-47500</v>
      </c>
      <c r="F96" s="918">
        <f>'d3'!F96-'d3-07'!F89</f>
        <v>-47500</v>
      </c>
      <c r="G96" s="918">
        <f>'d3'!G96-'d3-07'!G89</f>
        <v>0</v>
      </c>
      <c r="H96" s="918">
        <f>'d3'!H96-'d3-07'!H89</f>
        <v>0</v>
      </c>
      <c r="I96" s="918">
        <f>'d3'!I96-'d3-07'!I89</f>
        <v>0</v>
      </c>
      <c r="J96" s="918">
        <f>'d3'!J96-'d3-07'!J89</f>
        <v>0</v>
      </c>
      <c r="K96" s="918">
        <f>'d3'!K96-'d3-07'!K89</f>
        <v>0</v>
      </c>
      <c r="L96" s="918">
        <f>'d3'!L96-'d3-07'!L89</f>
        <v>0</v>
      </c>
      <c r="M96" s="918">
        <f>'d3'!M96-'d3-07'!M89</f>
        <v>0</v>
      </c>
      <c r="N96" s="918">
        <f>'d3'!N96-'d3-07'!N89</f>
        <v>0</v>
      </c>
      <c r="O96" s="918">
        <f>'d3'!O96-'d3-07'!O89</f>
        <v>0</v>
      </c>
      <c r="P96" s="918">
        <f>'d3'!P96-'d3-07'!P89</f>
        <v>-47500</v>
      </c>
      <c r="R96" s="196"/>
    </row>
    <row r="97" spans="1:18" ht="93" thickTop="1" thickBot="1" x14ac:dyDescent="0.25">
      <c r="A97" s="921" t="s">
        <v>241</v>
      </c>
      <c r="B97" s="921" t="s">
        <v>242</v>
      </c>
      <c r="C97" s="921" t="s">
        <v>243</v>
      </c>
      <c r="D97" s="921" t="s">
        <v>244</v>
      </c>
      <c r="E97" s="918">
        <f>'d3'!E97-'d3-07'!E90</f>
        <v>182000</v>
      </c>
      <c r="F97" s="918">
        <f>'d3'!F97-'d3-07'!F90</f>
        <v>182000</v>
      </c>
      <c r="G97" s="918">
        <f>'d3'!G97-'d3-07'!G90</f>
        <v>0</v>
      </c>
      <c r="H97" s="918">
        <f>'d3'!H97-'d3-07'!H90</f>
        <v>0</v>
      </c>
      <c r="I97" s="918">
        <f>'d3'!I97-'d3-07'!I90</f>
        <v>0</v>
      </c>
      <c r="J97" s="918">
        <f>'d3'!J97-'d3-07'!J90</f>
        <v>0</v>
      </c>
      <c r="K97" s="918">
        <f>'d3'!K97-'d3-07'!K90</f>
        <v>0</v>
      </c>
      <c r="L97" s="918">
        <f>'d3'!L97-'d3-07'!L90</f>
        <v>0</v>
      </c>
      <c r="M97" s="918">
        <f>'d3'!M97-'d3-07'!M90</f>
        <v>0</v>
      </c>
      <c r="N97" s="918">
        <f>'d3'!N97-'d3-07'!N90</f>
        <v>0</v>
      </c>
      <c r="O97" s="918">
        <f>'d3'!O97-'d3-07'!O90</f>
        <v>0</v>
      </c>
      <c r="P97" s="918">
        <f>'d3'!P97-'d3-07'!P90</f>
        <v>182000</v>
      </c>
      <c r="R97" s="196"/>
    </row>
    <row r="98" spans="1:18" ht="93" thickTop="1" thickBot="1" x14ac:dyDescent="0.25">
      <c r="A98" s="365" t="s">
        <v>876</v>
      </c>
      <c r="B98" s="365" t="s">
        <v>877</v>
      </c>
      <c r="C98" s="365"/>
      <c r="D98" s="365" t="s">
        <v>878</v>
      </c>
      <c r="E98" s="918">
        <f>'d3'!E98-'d3-07'!E91</f>
        <v>606400</v>
      </c>
      <c r="F98" s="918">
        <f>'d3'!F98-'d3-07'!F91</f>
        <v>606400</v>
      </c>
      <c r="G98" s="918">
        <f>'d3'!G98-'d3-07'!G91</f>
        <v>0</v>
      </c>
      <c r="H98" s="918">
        <f>'d3'!H98-'d3-07'!H91</f>
        <v>0</v>
      </c>
      <c r="I98" s="918">
        <f>'d3'!I98-'d3-07'!I91</f>
        <v>0</v>
      </c>
      <c r="J98" s="918">
        <f>'d3'!J98-'d3-07'!J91</f>
        <v>0</v>
      </c>
      <c r="K98" s="918">
        <f>'d3'!K98-'d3-07'!K91</f>
        <v>0</v>
      </c>
      <c r="L98" s="918">
        <f>'d3'!L98-'d3-07'!L91</f>
        <v>0</v>
      </c>
      <c r="M98" s="918">
        <f>'d3'!M98-'d3-07'!M91</f>
        <v>0</v>
      </c>
      <c r="N98" s="918">
        <f>'d3'!N98-'d3-07'!N91</f>
        <v>0</v>
      </c>
      <c r="O98" s="918">
        <f>'d3'!O98-'d3-07'!O91</f>
        <v>0</v>
      </c>
      <c r="P98" s="918">
        <f>'d3'!P98-'d3-07'!P91</f>
        <v>606400</v>
      </c>
      <c r="R98" s="196"/>
    </row>
    <row r="99" spans="1:18" ht="184.5" thickTop="1" thickBot="1" x14ac:dyDescent="0.25">
      <c r="A99" s="921" t="s">
        <v>245</v>
      </c>
      <c r="B99" s="921" t="s">
        <v>246</v>
      </c>
      <c r="C99" s="921" t="s">
        <v>372</v>
      </c>
      <c r="D99" s="921" t="s">
        <v>247</v>
      </c>
      <c r="E99" s="918">
        <f>'d3'!E99-'d3-07'!E92</f>
        <v>606400</v>
      </c>
      <c r="F99" s="918">
        <f>'d3'!F99-'d3-07'!F92</f>
        <v>606400</v>
      </c>
      <c r="G99" s="918">
        <f>'d3'!G99-'d3-07'!G92</f>
        <v>0</v>
      </c>
      <c r="H99" s="918">
        <f>'d3'!H99-'d3-07'!H92</f>
        <v>0</v>
      </c>
      <c r="I99" s="918">
        <f>'d3'!I99-'d3-07'!I92</f>
        <v>0</v>
      </c>
      <c r="J99" s="918">
        <f>'d3'!J99-'d3-07'!J92</f>
        <v>0</v>
      </c>
      <c r="K99" s="918">
        <f>'d3'!K99-'d3-07'!K92</f>
        <v>0</v>
      </c>
      <c r="L99" s="918">
        <f>'d3'!L99-'d3-07'!L92</f>
        <v>0</v>
      </c>
      <c r="M99" s="918">
        <f>'d3'!M99-'d3-07'!M92</f>
        <v>0</v>
      </c>
      <c r="N99" s="918">
        <f>'d3'!N99-'d3-07'!N92</f>
        <v>0</v>
      </c>
      <c r="O99" s="918">
        <f>'d3'!O99-'d3-07'!O92</f>
        <v>0</v>
      </c>
      <c r="P99" s="918">
        <f>'d3'!P99-'d3-07'!P92</f>
        <v>606400</v>
      </c>
      <c r="R99" s="196"/>
    </row>
    <row r="100" spans="1:18" ht="138.75" thickTop="1" thickBot="1" x14ac:dyDescent="0.25">
      <c r="A100" s="365" t="s">
        <v>879</v>
      </c>
      <c r="B100" s="365" t="s">
        <v>880</v>
      </c>
      <c r="C100" s="365"/>
      <c r="D100" s="365" t="s">
        <v>881</v>
      </c>
      <c r="E100" s="918">
        <f>'d3'!E100-'d3-07'!E93</f>
        <v>0</v>
      </c>
      <c r="F100" s="918">
        <f>'d3'!F100-'d3-07'!F93</f>
        <v>0</v>
      </c>
      <c r="G100" s="918">
        <f>'d3'!G100-'d3-07'!G93</f>
        <v>0</v>
      </c>
      <c r="H100" s="918">
        <f>'d3'!H100-'d3-07'!H93</f>
        <v>0</v>
      </c>
      <c r="I100" s="918">
        <f>'d3'!I100-'d3-07'!I93</f>
        <v>0</v>
      </c>
      <c r="J100" s="918">
        <f>'d3'!J100-'d3-07'!J93</f>
        <v>0</v>
      </c>
      <c r="K100" s="918">
        <f>'d3'!K100-'d3-07'!K93</f>
        <v>0</v>
      </c>
      <c r="L100" s="918">
        <f>'d3'!L100-'d3-07'!L93</f>
        <v>0</v>
      </c>
      <c r="M100" s="918">
        <f>'d3'!M100-'d3-07'!M93</f>
        <v>0</v>
      </c>
      <c r="N100" s="918">
        <f>'d3'!N100-'d3-07'!N93</f>
        <v>0</v>
      </c>
      <c r="O100" s="918">
        <f>'d3'!O100-'d3-07'!O93</f>
        <v>0</v>
      </c>
      <c r="P100" s="918">
        <f>'d3'!P100-'d3-07'!P93</f>
        <v>0</v>
      </c>
      <c r="R100" s="196"/>
    </row>
    <row r="101" spans="1:18" ht="138.75" thickTop="1" thickBot="1" x14ac:dyDescent="0.25">
      <c r="A101" s="921" t="s">
        <v>519</v>
      </c>
      <c r="B101" s="921" t="s">
        <v>520</v>
      </c>
      <c r="C101" s="921" t="s">
        <v>248</v>
      </c>
      <c r="D101" s="921" t="s">
        <v>521</v>
      </c>
      <c r="E101" s="918">
        <f>'d3'!E101-'d3-07'!E94</f>
        <v>0</v>
      </c>
      <c r="F101" s="918">
        <f>'d3'!F101-'d3-07'!F94</f>
        <v>0</v>
      </c>
      <c r="G101" s="918">
        <f>'d3'!G101-'d3-07'!G94</f>
        <v>0</v>
      </c>
      <c r="H101" s="918">
        <f>'d3'!H101-'d3-07'!H94</f>
        <v>0</v>
      </c>
      <c r="I101" s="918">
        <f>'d3'!I101-'d3-07'!I94</f>
        <v>0</v>
      </c>
      <c r="J101" s="918">
        <f>'d3'!J101-'d3-07'!J94</f>
        <v>0</v>
      </c>
      <c r="K101" s="918">
        <f>'d3'!K101-'d3-07'!K94</f>
        <v>0</v>
      </c>
      <c r="L101" s="918">
        <f>'d3'!L101-'d3-07'!L94</f>
        <v>0</v>
      </c>
      <c r="M101" s="918">
        <f>'d3'!M101-'d3-07'!M94</f>
        <v>0</v>
      </c>
      <c r="N101" s="918">
        <f>'d3'!N101-'d3-07'!N94</f>
        <v>0</v>
      </c>
      <c r="O101" s="918">
        <f>'d3'!O101-'d3-07'!O94</f>
        <v>0</v>
      </c>
      <c r="P101" s="918">
        <f>'d3'!P101-'d3-07'!P94</f>
        <v>0</v>
      </c>
      <c r="R101" s="196"/>
    </row>
    <row r="102" spans="1:18" ht="138.75" thickTop="1" thickBot="1" x14ac:dyDescent="0.25">
      <c r="A102" s="365" t="s">
        <v>882</v>
      </c>
      <c r="B102" s="365" t="s">
        <v>883</v>
      </c>
      <c r="C102" s="365"/>
      <c r="D102" s="365" t="s">
        <v>884</v>
      </c>
      <c r="E102" s="918">
        <f>'d3'!E102-'d3-07'!E95</f>
        <v>-100000</v>
      </c>
      <c r="F102" s="918">
        <f>'d3'!F102-'d3-07'!F95</f>
        <v>-100000</v>
      </c>
      <c r="G102" s="918">
        <f>'d3'!G102-'d3-07'!G95</f>
        <v>0</v>
      </c>
      <c r="H102" s="918">
        <f>'d3'!H102-'d3-07'!H95</f>
        <v>0</v>
      </c>
      <c r="I102" s="918">
        <f>'d3'!I102-'d3-07'!I95</f>
        <v>0</v>
      </c>
      <c r="J102" s="918">
        <f>'d3'!J102-'d3-07'!J95</f>
        <v>24000</v>
      </c>
      <c r="K102" s="918">
        <f>'d3'!K102-'d3-07'!K95</f>
        <v>24000</v>
      </c>
      <c r="L102" s="918">
        <f>'d3'!L102-'d3-07'!L95</f>
        <v>0</v>
      </c>
      <c r="M102" s="918">
        <f>'d3'!M102-'d3-07'!M95</f>
        <v>0</v>
      </c>
      <c r="N102" s="918">
        <f>'d3'!N102-'d3-07'!N95</f>
        <v>0</v>
      </c>
      <c r="O102" s="918">
        <f>'d3'!O102-'d3-07'!O95</f>
        <v>24000</v>
      </c>
      <c r="P102" s="918">
        <f>'d3'!P102-'d3-07'!P95</f>
        <v>-76000</v>
      </c>
      <c r="R102" s="196"/>
    </row>
    <row r="103" spans="1:18" s="39" customFormat="1" ht="138.75" thickTop="1" thickBot="1" x14ac:dyDescent="0.25">
      <c r="A103" s="921" t="s">
        <v>346</v>
      </c>
      <c r="B103" s="921" t="s">
        <v>348</v>
      </c>
      <c r="C103" s="921" t="s">
        <v>248</v>
      </c>
      <c r="D103" s="337" t="s">
        <v>344</v>
      </c>
      <c r="E103" s="918">
        <f>'d3'!E103-'d3-07'!E96</f>
        <v>0</v>
      </c>
      <c r="F103" s="918">
        <f>'d3'!F103-'d3-07'!F96</f>
        <v>0</v>
      </c>
      <c r="G103" s="918">
        <f>'d3'!G103-'d3-07'!G96</f>
        <v>0</v>
      </c>
      <c r="H103" s="918">
        <f>'d3'!H103-'d3-07'!H96</f>
        <v>0</v>
      </c>
      <c r="I103" s="918">
        <f>'d3'!I103-'d3-07'!I96</f>
        <v>0</v>
      </c>
      <c r="J103" s="918">
        <f>'d3'!J103-'d3-07'!J96</f>
        <v>24000</v>
      </c>
      <c r="K103" s="918">
        <f>'d3'!K103-'d3-07'!K96</f>
        <v>24000</v>
      </c>
      <c r="L103" s="918">
        <f>'d3'!L103-'d3-07'!L96</f>
        <v>0</v>
      </c>
      <c r="M103" s="918">
        <f>'d3'!M103-'d3-07'!M96</f>
        <v>0</v>
      </c>
      <c r="N103" s="918">
        <f>'d3'!N103-'d3-07'!N96</f>
        <v>0</v>
      </c>
      <c r="O103" s="918">
        <f>'d3'!O103-'d3-07'!O96</f>
        <v>24000</v>
      </c>
      <c r="P103" s="918">
        <f>'d3'!P103-'d3-07'!P96</f>
        <v>24000</v>
      </c>
      <c r="Q103" s="194"/>
      <c r="R103" s="124" t="b">
        <f>K103='d6'!J96</f>
        <v>1</v>
      </c>
    </row>
    <row r="104" spans="1:18" s="39" customFormat="1" ht="93" thickTop="1" thickBot="1" x14ac:dyDescent="0.25">
      <c r="A104" s="921" t="s">
        <v>347</v>
      </c>
      <c r="B104" s="921" t="s">
        <v>349</v>
      </c>
      <c r="C104" s="921" t="s">
        <v>248</v>
      </c>
      <c r="D104" s="337" t="s">
        <v>345</v>
      </c>
      <c r="E104" s="918">
        <f>'d3'!E104-'d3-07'!E97</f>
        <v>-100000</v>
      </c>
      <c r="F104" s="918">
        <f>'d3'!F104-'d3-07'!F97</f>
        <v>-100000</v>
      </c>
      <c r="G104" s="918">
        <f>'d3'!G104-'d3-07'!G97</f>
        <v>0</v>
      </c>
      <c r="H104" s="918">
        <f>'d3'!H104-'d3-07'!H97</f>
        <v>0</v>
      </c>
      <c r="I104" s="918">
        <f>'d3'!I104-'d3-07'!I97</f>
        <v>0</v>
      </c>
      <c r="J104" s="918">
        <f>'d3'!J104-'d3-07'!J97</f>
        <v>0</v>
      </c>
      <c r="K104" s="918">
        <f>'d3'!K104-'d3-07'!K97</f>
        <v>0</v>
      </c>
      <c r="L104" s="918">
        <f>'d3'!L104-'d3-07'!L97</f>
        <v>0</v>
      </c>
      <c r="M104" s="918">
        <f>'d3'!M104-'d3-07'!M97</f>
        <v>0</v>
      </c>
      <c r="N104" s="918">
        <f>'d3'!N104-'d3-07'!N97</f>
        <v>0</v>
      </c>
      <c r="O104" s="918">
        <f>'d3'!O104-'d3-07'!O97</f>
        <v>0</v>
      </c>
      <c r="P104" s="918">
        <f>'d3'!P104-'d3-07'!P97</f>
        <v>-100000</v>
      </c>
      <c r="Q104" s="194"/>
      <c r="R104" s="196"/>
    </row>
    <row r="105" spans="1:18" s="39" customFormat="1" ht="47.25" thickTop="1" thickBot="1" x14ac:dyDescent="0.25">
      <c r="A105" s="455" t="s">
        <v>910</v>
      </c>
      <c r="B105" s="454" t="s">
        <v>908</v>
      </c>
      <c r="C105" s="454"/>
      <c r="D105" s="454" t="s">
        <v>909</v>
      </c>
      <c r="E105" s="918">
        <f>'d3'!E105-'d3-07'!E98</f>
        <v>0</v>
      </c>
      <c r="F105" s="918">
        <f>'d3'!F105-'d3-07'!F98</f>
        <v>0</v>
      </c>
      <c r="G105" s="918">
        <f>'d3'!G105-'d3-07'!G98</f>
        <v>0</v>
      </c>
      <c r="H105" s="918">
        <f>'d3'!H105-'d3-07'!H98</f>
        <v>0</v>
      </c>
      <c r="I105" s="918">
        <f>'d3'!I105-'d3-07'!I98</f>
        <v>0</v>
      </c>
      <c r="J105" s="918">
        <f>'d3'!J105-'d3-07'!J98</f>
        <v>3429902</v>
      </c>
      <c r="K105" s="918">
        <f>'d3'!K105-'d3-07'!K98</f>
        <v>3429902</v>
      </c>
      <c r="L105" s="918">
        <f>'d3'!L105-'d3-07'!L98</f>
        <v>0</v>
      </c>
      <c r="M105" s="918">
        <f>'d3'!M105-'d3-07'!M98</f>
        <v>0</v>
      </c>
      <c r="N105" s="918">
        <f>'d3'!N105-'d3-07'!N98</f>
        <v>0</v>
      </c>
      <c r="O105" s="918">
        <f>'d3'!O105-'d3-07'!O98</f>
        <v>3429902</v>
      </c>
      <c r="P105" s="918">
        <f>'d3'!P105-'d3-07'!P98</f>
        <v>3429902</v>
      </c>
      <c r="Q105" s="194"/>
      <c r="R105" s="196"/>
    </row>
    <row r="106" spans="1:18" s="39" customFormat="1" ht="91.5" thickTop="1" thickBot="1" x14ac:dyDescent="0.25">
      <c r="A106" s="404" t="s">
        <v>1407</v>
      </c>
      <c r="B106" s="404" t="s">
        <v>964</v>
      </c>
      <c r="C106" s="404"/>
      <c r="D106" s="404" t="s">
        <v>965</v>
      </c>
      <c r="E106" s="918">
        <f>'d3'!E106-'d3-07'!E99</f>
        <v>0</v>
      </c>
      <c r="F106" s="918">
        <f>'d3'!F106-'d3-07'!F99</f>
        <v>0</v>
      </c>
      <c r="G106" s="918">
        <f>'d3'!G106-'d3-07'!G99</f>
        <v>0</v>
      </c>
      <c r="H106" s="918">
        <f>'d3'!H106-'d3-07'!H99</f>
        <v>0</v>
      </c>
      <c r="I106" s="918">
        <f>'d3'!I106-'d3-07'!I99</f>
        <v>0</v>
      </c>
      <c r="J106" s="918">
        <f>'d3'!J106-'d3-07'!J99</f>
        <v>-18638518</v>
      </c>
      <c r="K106" s="918">
        <f>'d3'!K106-'d3-07'!K99</f>
        <v>-18638518</v>
      </c>
      <c r="L106" s="918">
        <f>'d3'!L106-'d3-07'!L99</f>
        <v>0</v>
      </c>
      <c r="M106" s="918">
        <f>'d3'!M106-'d3-07'!M99</f>
        <v>0</v>
      </c>
      <c r="N106" s="918">
        <f>'d3'!N106-'d3-07'!N99</f>
        <v>0</v>
      </c>
      <c r="O106" s="918">
        <f>'d3'!O106-'d3-07'!O99</f>
        <v>-18638518</v>
      </c>
      <c r="P106" s="918">
        <f>'d3'!P106-'d3-07'!P99</f>
        <v>-18638518</v>
      </c>
      <c r="Q106" s="194"/>
      <c r="R106" s="196"/>
    </row>
    <row r="107" spans="1:18" s="39" customFormat="1" ht="93" thickTop="1" thickBot="1" x14ac:dyDescent="0.25">
      <c r="A107" s="365" t="s">
        <v>1408</v>
      </c>
      <c r="B107" s="365" t="s">
        <v>1406</v>
      </c>
      <c r="C107" s="365"/>
      <c r="D107" s="365" t="s">
        <v>1405</v>
      </c>
      <c r="E107" s="918">
        <f>'d3'!E107-'d3-07'!E100</f>
        <v>0</v>
      </c>
      <c r="F107" s="918">
        <f>'d3'!F107-'d3-07'!F100</f>
        <v>0</v>
      </c>
      <c r="G107" s="918">
        <f>'d3'!G107-'d3-07'!G100</f>
        <v>0</v>
      </c>
      <c r="H107" s="918">
        <f>'d3'!H107-'d3-07'!H100</f>
        <v>0</v>
      </c>
      <c r="I107" s="918">
        <f>'d3'!I107-'d3-07'!I100</f>
        <v>0</v>
      </c>
      <c r="J107" s="918">
        <f>'d3'!J107-'d3-07'!J100</f>
        <v>-18638518</v>
      </c>
      <c r="K107" s="918">
        <f>'d3'!K107-'d3-07'!K100</f>
        <v>-18638518</v>
      </c>
      <c r="L107" s="918">
        <f>'d3'!L107-'d3-07'!L100</f>
        <v>0</v>
      </c>
      <c r="M107" s="918">
        <f>'d3'!M107-'d3-07'!M100</f>
        <v>0</v>
      </c>
      <c r="N107" s="918">
        <f>'d3'!N107-'d3-07'!N100</f>
        <v>0</v>
      </c>
      <c r="O107" s="918">
        <f>'d3'!O107-'d3-07'!O100</f>
        <v>-18638518</v>
      </c>
      <c r="P107" s="918">
        <f>'d3'!P107-'d3-07'!P100</f>
        <v>-18638518</v>
      </c>
      <c r="Q107" s="194"/>
      <c r="R107" s="196"/>
    </row>
    <row r="108" spans="1:18" s="39" customFormat="1" ht="230.25" thickTop="1" thickBot="1" x14ac:dyDescent="0.25">
      <c r="A108" s="921" t="s">
        <v>1409</v>
      </c>
      <c r="B108" s="921" t="s">
        <v>1410</v>
      </c>
      <c r="C108" s="921" t="s">
        <v>184</v>
      </c>
      <c r="D108" s="921" t="s">
        <v>1411</v>
      </c>
      <c r="E108" s="918">
        <f>'d3'!E108-0</f>
        <v>0</v>
      </c>
      <c r="F108" s="918">
        <f>'d3'!F108-0</f>
        <v>0</v>
      </c>
      <c r="G108" s="918">
        <f>'d3'!G108-0</f>
        <v>0</v>
      </c>
      <c r="H108" s="918">
        <f>'d3'!H108-0</f>
        <v>0</v>
      </c>
      <c r="I108" s="918">
        <f>'d3'!I108-0</f>
        <v>0</v>
      </c>
      <c r="J108" s="918">
        <f>'d3'!J108-0</f>
        <v>2990000</v>
      </c>
      <c r="K108" s="918">
        <f>'d3'!K108-0</f>
        <v>2990000</v>
      </c>
      <c r="L108" s="918">
        <f>'d3'!L108-0</f>
        <v>0</v>
      </c>
      <c r="M108" s="918">
        <f>'d3'!M108-0</f>
        <v>0</v>
      </c>
      <c r="N108" s="918">
        <f>'d3'!N108-0</f>
        <v>0</v>
      </c>
      <c r="O108" s="918">
        <f>'d3'!O108-0</f>
        <v>2990000</v>
      </c>
      <c r="P108" s="918">
        <f>'d3'!P108-0</f>
        <v>2990000</v>
      </c>
      <c r="Q108" s="194"/>
      <c r="R108" s="124" t="b">
        <f>K108='d6'!J97+'d6'!J98+'d6'!J99</f>
        <v>1</v>
      </c>
    </row>
    <row r="109" spans="1:18" s="402" customFormat="1" ht="136.5" thickTop="1" thickBot="1" x14ac:dyDescent="0.25">
      <c r="A109" s="404" t="s">
        <v>885</v>
      </c>
      <c r="B109" s="404" t="s">
        <v>850</v>
      </c>
      <c r="C109" s="404"/>
      <c r="D109" s="404" t="s">
        <v>848</v>
      </c>
      <c r="E109" s="918">
        <f>'d3'!E109-'d3-07'!E99</f>
        <v>0</v>
      </c>
      <c r="F109" s="918">
        <f>'d3'!F109-'d3-07'!F99</f>
        <v>0</v>
      </c>
      <c r="G109" s="918">
        <f>'d3'!G109-'d3-07'!G99</f>
        <v>0</v>
      </c>
      <c r="H109" s="918">
        <f>'d3'!H109-'d3-07'!H99</f>
        <v>0</v>
      </c>
      <c r="I109" s="918">
        <f>'d3'!I109-'d3-07'!I99</f>
        <v>0</v>
      </c>
      <c r="J109" s="918">
        <f>'d3'!J109-'d3-07'!J99</f>
        <v>439902</v>
      </c>
      <c r="K109" s="918">
        <f>'d3'!K109-'d3-07'!K99</f>
        <v>439902</v>
      </c>
      <c r="L109" s="918">
        <f>'d3'!L109-'d3-07'!L99</f>
        <v>0</v>
      </c>
      <c r="M109" s="918">
        <f>'d3'!M109-'d3-07'!M99</f>
        <v>0</v>
      </c>
      <c r="N109" s="918">
        <f>'d3'!N109-'d3-07'!N99</f>
        <v>0</v>
      </c>
      <c r="O109" s="918">
        <f>'d3'!O109-'d3-07'!O99</f>
        <v>439902</v>
      </c>
      <c r="P109" s="918">
        <f>'d3'!P109-'d3-07'!P99</f>
        <v>439902</v>
      </c>
      <c r="Q109" s="407"/>
      <c r="R109" s="410"/>
    </row>
    <row r="110" spans="1:18" s="39" customFormat="1" ht="93" thickTop="1" thickBot="1" x14ac:dyDescent="0.25">
      <c r="A110" s="921" t="s">
        <v>466</v>
      </c>
      <c r="B110" s="921" t="s">
        <v>215</v>
      </c>
      <c r="C110" s="921" t="s">
        <v>184</v>
      </c>
      <c r="D110" s="921" t="s">
        <v>36</v>
      </c>
      <c r="E110" s="918">
        <f>'d3'!E110-'d3-07'!E100</f>
        <v>0</v>
      </c>
      <c r="F110" s="918">
        <f>'d3'!F110-'d3-07'!F100</f>
        <v>0</v>
      </c>
      <c r="G110" s="918">
        <f>'d3'!G110-'d3-07'!G100</f>
        <v>0</v>
      </c>
      <c r="H110" s="918">
        <f>'d3'!H110-'d3-07'!H100</f>
        <v>0</v>
      </c>
      <c r="I110" s="918">
        <f>'d3'!I110-'d3-07'!I100</f>
        <v>0</v>
      </c>
      <c r="J110" s="918">
        <f>'d3'!J110-'d3-07'!J100</f>
        <v>439902</v>
      </c>
      <c r="K110" s="918">
        <f>'d3'!K110-'d3-07'!K100</f>
        <v>439902</v>
      </c>
      <c r="L110" s="918">
        <f>'d3'!L110-'d3-07'!L100</f>
        <v>0</v>
      </c>
      <c r="M110" s="918">
        <f>'d3'!M110-'d3-07'!M100</f>
        <v>0</v>
      </c>
      <c r="N110" s="918">
        <f>'d3'!N110-'d3-07'!N100</f>
        <v>0</v>
      </c>
      <c r="O110" s="918">
        <f>'d3'!O110-'d3-07'!O100</f>
        <v>439902</v>
      </c>
      <c r="P110" s="918">
        <f>'d3'!P110-'d3-07'!P100</f>
        <v>439902</v>
      </c>
      <c r="Q110" s="194"/>
      <c r="R110" s="124" t="b">
        <f>K110='d6'!J100+'d6'!J101+'d6'!J102+'d6'!J103+'d6'!J104+'d6'!J105+'d6'!J106+'d6'!J107+'d6'!J108+'d6'!J109+'d6'!J110+'d6'!J111+'d6'!J112+'d6'!J113+'d6'!J114+'d6'!J115</f>
        <v>0</v>
      </c>
    </row>
    <row r="111" spans="1:18" s="39" customFormat="1" ht="93" hidden="1" thickTop="1" thickBot="1" x14ac:dyDescent="0.25">
      <c r="A111" s="156" t="s">
        <v>556</v>
      </c>
      <c r="B111" s="156" t="s">
        <v>389</v>
      </c>
      <c r="C111" s="156" t="s">
        <v>45</v>
      </c>
      <c r="D111" s="156" t="s">
        <v>390</v>
      </c>
      <c r="E111" s="155">
        <f t="shared" ref="E111" si="14">F111</f>
        <v>0</v>
      </c>
      <c r="F111" s="157"/>
      <c r="G111" s="157"/>
      <c r="H111" s="157"/>
      <c r="I111" s="157"/>
      <c r="J111" s="840">
        <f t="shared" ref="J111" si="15">L111+O111</f>
        <v>0</v>
      </c>
      <c r="K111" s="841"/>
      <c r="L111" s="841"/>
      <c r="M111" s="841"/>
      <c r="N111" s="841"/>
      <c r="O111" s="842">
        <f t="shared" ref="O111" si="16">K111</f>
        <v>0</v>
      </c>
      <c r="P111" s="840">
        <f t="shared" si="13"/>
        <v>0</v>
      </c>
      <c r="Q111" s="194"/>
      <c r="R111" s="191"/>
    </row>
    <row r="112" spans="1:18" ht="226.5" thickTop="1" thickBot="1" x14ac:dyDescent="0.25">
      <c r="A112" s="853" t="s">
        <v>170</v>
      </c>
      <c r="B112" s="853"/>
      <c r="C112" s="853"/>
      <c r="D112" s="854" t="s">
        <v>39</v>
      </c>
      <c r="E112" s="855">
        <f>E113</f>
        <v>-53735</v>
      </c>
      <c r="F112" s="856">
        <f t="shared" ref="F112:G112" si="17">F113</f>
        <v>-53735</v>
      </c>
      <c r="G112" s="856">
        <f t="shared" si="17"/>
        <v>-237000</v>
      </c>
      <c r="H112" s="856">
        <f>H113</f>
        <v>172915</v>
      </c>
      <c r="I112" s="856">
        <f t="shared" ref="I112" si="18">I113</f>
        <v>0</v>
      </c>
      <c r="J112" s="855">
        <f>J113</f>
        <v>20199641.309999999</v>
      </c>
      <c r="K112" s="856">
        <f>K113</f>
        <v>20199641.309999999</v>
      </c>
      <c r="L112" s="856">
        <f>L113</f>
        <v>0</v>
      </c>
      <c r="M112" s="856">
        <f t="shared" ref="M112" si="19">M113</f>
        <v>0</v>
      </c>
      <c r="N112" s="856">
        <f>N113</f>
        <v>0</v>
      </c>
      <c r="O112" s="855">
        <f>O113</f>
        <v>20199641.309999999</v>
      </c>
      <c r="P112" s="856">
        <f>P113</f>
        <v>20145906.309999999</v>
      </c>
    </row>
    <row r="113" spans="1:20" ht="226.5" thickTop="1" thickBot="1" x14ac:dyDescent="0.25">
      <c r="A113" s="857" t="s">
        <v>171</v>
      </c>
      <c r="B113" s="857"/>
      <c r="C113" s="857"/>
      <c r="D113" s="858" t="s">
        <v>40</v>
      </c>
      <c r="E113" s="859">
        <f>E114+E118+E157+E161</f>
        <v>-53735</v>
      </c>
      <c r="F113" s="859">
        <f>F114+F118+F157+F161</f>
        <v>-53735</v>
      </c>
      <c r="G113" s="859">
        <f>G114+G118+G157+G161</f>
        <v>-237000</v>
      </c>
      <c r="H113" s="859">
        <f>H114+H118+H157+H161</f>
        <v>172915</v>
      </c>
      <c r="I113" s="859">
        <f>I114+I118+I157+I161</f>
        <v>0</v>
      </c>
      <c r="J113" s="859">
        <f t="shared" ref="J113" si="20">L113+O113</f>
        <v>20199641.309999999</v>
      </c>
      <c r="K113" s="859">
        <f>K114+K118+K157+K161</f>
        <v>20199641.309999999</v>
      </c>
      <c r="L113" s="859">
        <f>L114+L118+L157+L161</f>
        <v>0</v>
      </c>
      <c r="M113" s="859">
        <f>M114+M118+M157+M161</f>
        <v>0</v>
      </c>
      <c r="N113" s="859">
        <f>N114+N118+N157+N161</f>
        <v>0</v>
      </c>
      <c r="O113" s="859">
        <f>O114+O118+O157+O161</f>
        <v>20199641.309999999</v>
      </c>
      <c r="P113" s="859">
        <f>E113+J113</f>
        <v>20145906.309999999</v>
      </c>
      <c r="Q113" s="125" t="b">
        <f>P113=P115+P116+P120+P121+P122+P123+P124+P129+P130+P133+P136+P138+P139+P155+P156+P159+P167+P125+P127+P135+P117+P126+P164+P132+P141+P144+P148+P151+P160</f>
        <v>1</v>
      </c>
      <c r="R113" s="930" t="b">
        <f>K113='d6'!J116</f>
        <v>0</v>
      </c>
      <c r="S113" s="930" t="b">
        <f>P113=P114+P118+P157+P161</f>
        <v>1</v>
      </c>
      <c r="T113" s="125"/>
    </row>
    <row r="114" spans="1:20" ht="47.25" thickTop="1" thickBot="1" x14ac:dyDescent="0.25">
      <c r="A114" s="455" t="s">
        <v>887</v>
      </c>
      <c r="B114" s="455" t="s">
        <v>843</v>
      </c>
      <c r="C114" s="455"/>
      <c r="D114" s="455" t="s">
        <v>844</v>
      </c>
      <c r="E114" s="918">
        <f>'d3'!E114-'d3-07'!E104</f>
        <v>-212250</v>
      </c>
      <c r="F114" s="918">
        <f>'d3'!F114-'d3-07'!F104</f>
        <v>-212250</v>
      </c>
      <c r="G114" s="918">
        <f>'d3'!G114-'d3-07'!G104</f>
        <v>-205000</v>
      </c>
      <c r="H114" s="918">
        <f>'d3'!H114-'d3-07'!H104</f>
        <v>141750</v>
      </c>
      <c r="I114" s="918">
        <f>'d3'!I114-'d3-07'!I104</f>
        <v>0</v>
      </c>
      <c r="J114" s="918">
        <f>'d3'!J114-'d3-07'!J104</f>
        <v>49000</v>
      </c>
      <c r="K114" s="918">
        <f>'d3'!K114-'d3-07'!K104</f>
        <v>49000</v>
      </c>
      <c r="L114" s="918">
        <f>'d3'!L114-'d3-07'!L104</f>
        <v>0</v>
      </c>
      <c r="M114" s="918">
        <f>'d3'!M114-'d3-07'!M104</f>
        <v>0</v>
      </c>
      <c r="N114" s="918">
        <f>'d3'!N114-'d3-07'!N104</f>
        <v>0</v>
      </c>
      <c r="O114" s="918">
        <f>'d3'!O114-'d3-07'!O104</f>
        <v>49000</v>
      </c>
      <c r="P114" s="918">
        <f>'d3'!P114-'d3-07'!P104</f>
        <v>-163250</v>
      </c>
      <c r="Q114" s="125"/>
      <c r="R114" s="930"/>
      <c r="T114" s="125"/>
    </row>
    <row r="115" spans="1:20" ht="230.25" thickTop="1" thickBot="1" x14ac:dyDescent="0.25">
      <c r="A115" s="927" t="s">
        <v>443</v>
      </c>
      <c r="B115" s="927" t="s">
        <v>254</v>
      </c>
      <c r="C115" s="927" t="s">
        <v>252</v>
      </c>
      <c r="D115" s="927" t="s">
        <v>253</v>
      </c>
      <c r="E115" s="918">
        <f>'d3'!E115-'d3-07'!E105</f>
        <v>-212250</v>
      </c>
      <c r="F115" s="918">
        <f>'d3'!F115-'d3-07'!F105</f>
        <v>-212250</v>
      </c>
      <c r="G115" s="918">
        <f>'d3'!G115-'d3-07'!G105</f>
        <v>-205000</v>
      </c>
      <c r="H115" s="918">
        <f>'d3'!H115-'d3-07'!H105</f>
        <v>141750</v>
      </c>
      <c r="I115" s="918">
        <f>'d3'!I115-'d3-07'!I105</f>
        <v>0</v>
      </c>
      <c r="J115" s="918">
        <f>'d3'!J115-'d3-07'!J105</f>
        <v>49000</v>
      </c>
      <c r="K115" s="918">
        <f>'d3'!K115-'d3-07'!K105</f>
        <v>49000</v>
      </c>
      <c r="L115" s="918">
        <f>'d3'!L115-'d3-07'!L105</f>
        <v>0</v>
      </c>
      <c r="M115" s="918">
        <f>'d3'!M115-'d3-07'!M105</f>
        <v>0</v>
      </c>
      <c r="N115" s="918">
        <f>'d3'!N115-'d3-07'!N105</f>
        <v>0</v>
      </c>
      <c r="O115" s="918">
        <f>'d3'!O115-'d3-07'!O105</f>
        <v>49000</v>
      </c>
      <c r="P115" s="918">
        <f>'d3'!P115-'d3-07'!P105</f>
        <v>-163250</v>
      </c>
      <c r="Q115" s="197"/>
      <c r="R115" s="930" t="b">
        <f>K115='d6'!J118+'d6'!J119</f>
        <v>0</v>
      </c>
      <c r="T115" s="125"/>
    </row>
    <row r="116" spans="1:20" ht="184.5" thickTop="1" thickBot="1" x14ac:dyDescent="0.25">
      <c r="A116" s="921" t="s">
        <v>786</v>
      </c>
      <c r="B116" s="921" t="s">
        <v>388</v>
      </c>
      <c r="C116" s="921" t="s">
        <v>778</v>
      </c>
      <c r="D116" s="921" t="s">
        <v>779</v>
      </c>
      <c r="E116" s="918">
        <f>'d3'!E116-'d3-07'!E106</f>
        <v>0</v>
      </c>
      <c r="F116" s="918">
        <f>'d3'!F116-'d3-07'!F106</f>
        <v>0</v>
      </c>
      <c r="G116" s="918">
        <f>'d3'!G116-'d3-07'!G106</f>
        <v>0</v>
      </c>
      <c r="H116" s="918">
        <f>'d3'!H116-'d3-07'!H106</f>
        <v>0</v>
      </c>
      <c r="I116" s="918">
        <f>'d3'!I116-'d3-07'!I106</f>
        <v>0</v>
      </c>
      <c r="J116" s="918">
        <f>'d3'!J116-'d3-07'!J106</f>
        <v>0</v>
      </c>
      <c r="K116" s="918">
        <f>'d3'!K116-'d3-07'!K106</f>
        <v>0</v>
      </c>
      <c r="L116" s="918">
        <f>'d3'!L116-'d3-07'!L106</f>
        <v>0</v>
      </c>
      <c r="M116" s="918">
        <f>'d3'!M116-'d3-07'!M106</f>
        <v>0</v>
      </c>
      <c r="N116" s="918">
        <f>'d3'!N116-'d3-07'!N106</f>
        <v>0</v>
      </c>
      <c r="O116" s="918">
        <f>'d3'!O116-'d3-07'!O106</f>
        <v>0</v>
      </c>
      <c r="P116" s="918">
        <f>'d3'!P116-'d3-07'!P106</f>
        <v>0</v>
      </c>
      <c r="Q116" s="197"/>
      <c r="R116" s="930"/>
      <c r="T116" s="125"/>
    </row>
    <row r="117" spans="1:20" ht="93" thickTop="1" thickBot="1" x14ac:dyDescent="0.25">
      <c r="A117" s="920" t="s">
        <v>1136</v>
      </c>
      <c r="B117" s="920" t="s">
        <v>45</v>
      </c>
      <c r="C117" s="920" t="s">
        <v>44</v>
      </c>
      <c r="D117" s="920" t="s">
        <v>266</v>
      </c>
      <c r="E117" s="918">
        <f>'d3'!E117-'d3-07'!E107</f>
        <v>0</v>
      </c>
      <c r="F117" s="918">
        <f>'d3'!F117-'d3-07'!F107</f>
        <v>0</v>
      </c>
      <c r="G117" s="918">
        <f>'d3'!G117-'d3-07'!G107</f>
        <v>0</v>
      </c>
      <c r="H117" s="918">
        <f>'d3'!H117-'d3-07'!H107</f>
        <v>0</v>
      </c>
      <c r="I117" s="918">
        <f>'d3'!I117-'d3-07'!I107</f>
        <v>0</v>
      </c>
      <c r="J117" s="918">
        <f>'d3'!J117-'d3-07'!J107</f>
        <v>0</v>
      </c>
      <c r="K117" s="918">
        <f>'d3'!K117-'d3-07'!K107</f>
        <v>0</v>
      </c>
      <c r="L117" s="918">
        <f>'d3'!L117-'d3-07'!L107</f>
        <v>0</v>
      </c>
      <c r="M117" s="918">
        <f>'d3'!M117-'d3-07'!M107</f>
        <v>0</v>
      </c>
      <c r="N117" s="918">
        <f>'d3'!N117-'d3-07'!N107</f>
        <v>0</v>
      </c>
      <c r="O117" s="918">
        <f>'d3'!O117-'d3-07'!O107</f>
        <v>0</v>
      </c>
      <c r="P117" s="918">
        <f>'d3'!P117-'d3-07'!P107</f>
        <v>0</v>
      </c>
      <c r="Q117" s="197"/>
      <c r="R117" s="930"/>
      <c r="T117" s="125"/>
    </row>
    <row r="118" spans="1:20" ht="91.5" thickTop="1" thickBot="1" x14ac:dyDescent="0.25">
      <c r="A118" s="455" t="s">
        <v>888</v>
      </c>
      <c r="B118" s="455" t="s">
        <v>870</v>
      </c>
      <c r="C118" s="455"/>
      <c r="D118" s="455" t="s">
        <v>871</v>
      </c>
      <c r="E118" s="918">
        <f>'d3'!E118-'d3-07'!E108</f>
        <v>158515</v>
      </c>
      <c r="F118" s="918">
        <f>'d3'!F118-'d3-07'!F108</f>
        <v>158515</v>
      </c>
      <c r="G118" s="918">
        <f>'d3'!G118-'d3-07'!G108</f>
        <v>-32000</v>
      </c>
      <c r="H118" s="918">
        <f>'d3'!H118-'d3-07'!H108</f>
        <v>31165</v>
      </c>
      <c r="I118" s="918">
        <f>'d3'!I118-'d3-07'!I108</f>
        <v>0</v>
      </c>
      <c r="J118" s="918">
        <f>'d3'!J118-'d3-07'!J108</f>
        <v>16573607.309999999</v>
      </c>
      <c r="K118" s="918">
        <f>'d3'!K118-'d3-07'!K108</f>
        <v>16573607.309999999</v>
      </c>
      <c r="L118" s="918">
        <f>'d3'!L118-'d3-07'!L108</f>
        <v>0</v>
      </c>
      <c r="M118" s="918">
        <f>'d3'!M118-'d3-07'!M108</f>
        <v>0</v>
      </c>
      <c r="N118" s="918">
        <f>'d3'!N118-'d3-07'!N108</f>
        <v>0</v>
      </c>
      <c r="O118" s="918">
        <f>'d3'!O118-'d3-07'!O108</f>
        <v>16573607.309999999</v>
      </c>
      <c r="P118" s="918">
        <f>'d3'!P118-'d3-07'!P108</f>
        <v>16732122.310000002</v>
      </c>
      <c r="Q118" s="197"/>
      <c r="R118" s="930"/>
      <c r="T118" s="125"/>
    </row>
    <row r="119" spans="1:20" s="79" customFormat="1" ht="276" thickTop="1" thickBot="1" x14ac:dyDescent="0.25">
      <c r="A119" s="445" t="s">
        <v>889</v>
      </c>
      <c r="B119" s="365" t="s">
        <v>890</v>
      </c>
      <c r="C119" s="365"/>
      <c r="D119" s="365" t="s">
        <v>891</v>
      </c>
      <c r="E119" s="918">
        <f>'d3'!E119-'d3-07'!E109</f>
        <v>-400000</v>
      </c>
      <c r="F119" s="918">
        <f>'d3'!F119-'d3-07'!F109</f>
        <v>-400000</v>
      </c>
      <c r="G119" s="918">
        <f>'d3'!G119-'d3-07'!G109</f>
        <v>0</v>
      </c>
      <c r="H119" s="918">
        <f>'d3'!H119-'d3-07'!H109</f>
        <v>0</v>
      </c>
      <c r="I119" s="918">
        <f>'d3'!I119-'d3-07'!I109</f>
        <v>0</v>
      </c>
      <c r="J119" s="918">
        <f>'d3'!J119-'d3-07'!J109</f>
        <v>-83910</v>
      </c>
      <c r="K119" s="918">
        <f>'d3'!K119-'d3-07'!K109</f>
        <v>-83910</v>
      </c>
      <c r="L119" s="918">
        <f>'d3'!L119-'d3-07'!L109</f>
        <v>0</v>
      </c>
      <c r="M119" s="918">
        <f>'d3'!M119-'d3-07'!M109</f>
        <v>0</v>
      </c>
      <c r="N119" s="918">
        <f>'d3'!N119-'d3-07'!N109</f>
        <v>0</v>
      </c>
      <c r="O119" s="918">
        <f>'d3'!O119-'d3-07'!O109</f>
        <v>-83910</v>
      </c>
      <c r="P119" s="918">
        <f>'d3'!P119-'d3-07'!P109</f>
        <v>-483910</v>
      </c>
      <c r="Q119" s="223"/>
      <c r="R119" s="443"/>
      <c r="T119" s="444"/>
    </row>
    <row r="120" spans="1:20" s="39" customFormat="1" ht="138.75" thickTop="1" thickBot="1" x14ac:dyDescent="0.25">
      <c r="A120" s="927" t="s">
        <v>287</v>
      </c>
      <c r="B120" s="927" t="s">
        <v>288</v>
      </c>
      <c r="C120" s="927" t="s">
        <v>223</v>
      </c>
      <c r="D120" s="280" t="s">
        <v>289</v>
      </c>
      <c r="E120" s="918">
        <f>'d3'!E120-'d3-07'!E110</f>
        <v>0</v>
      </c>
      <c r="F120" s="918">
        <f>'d3'!F120-'d3-07'!F110</f>
        <v>0</v>
      </c>
      <c r="G120" s="918">
        <f>'d3'!G120-'d3-07'!G110</f>
        <v>0</v>
      </c>
      <c r="H120" s="918">
        <f>'d3'!H120-'d3-07'!H110</f>
        <v>0</v>
      </c>
      <c r="I120" s="918">
        <f>'d3'!I120-'d3-07'!I110</f>
        <v>0</v>
      </c>
      <c r="J120" s="918">
        <f>'d3'!J120-'d3-07'!J110</f>
        <v>-83910</v>
      </c>
      <c r="K120" s="918">
        <f>'d3'!K120-'d3-07'!K110</f>
        <v>-83910</v>
      </c>
      <c r="L120" s="918">
        <f>'d3'!L120-'d3-07'!L110</f>
        <v>0</v>
      </c>
      <c r="M120" s="918">
        <f>'d3'!M120-'d3-07'!M110</f>
        <v>0</v>
      </c>
      <c r="N120" s="918">
        <f>'d3'!N120-'d3-07'!N110</f>
        <v>0</v>
      </c>
      <c r="O120" s="918">
        <f>'d3'!O120-'d3-07'!O110</f>
        <v>-83910</v>
      </c>
      <c r="P120" s="918">
        <f>'d3'!P120-'d3-07'!P110</f>
        <v>-83910</v>
      </c>
      <c r="Q120" s="194"/>
      <c r="R120" s="930" t="b">
        <f>K120='d6'!J120</f>
        <v>0</v>
      </c>
    </row>
    <row r="121" spans="1:20" s="39" customFormat="1" ht="138.75" thickTop="1" thickBot="1" x14ac:dyDescent="0.25">
      <c r="A121" s="927" t="s">
        <v>290</v>
      </c>
      <c r="B121" s="927" t="s">
        <v>291</v>
      </c>
      <c r="C121" s="927" t="s">
        <v>224</v>
      </c>
      <c r="D121" s="927" t="s">
        <v>6</v>
      </c>
      <c r="E121" s="918">
        <f>'d3'!E121-'d3-07'!E111</f>
        <v>-400000</v>
      </c>
      <c r="F121" s="918">
        <f>'d3'!F121-'d3-07'!F111</f>
        <v>-400000</v>
      </c>
      <c r="G121" s="918">
        <f>'d3'!G121-'d3-07'!G111</f>
        <v>0</v>
      </c>
      <c r="H121" s="918">
        <f>'d3'!H121-'d3-07'!H111</f>
        <v>0</v>
      </c>
      <c r="I121" s="918">
        <f>'d3'!I121-'d3-07'!I111</f>
        <v>0</v>
      </c>
      <c r="J121" s="918">
        <f>'d3'!J121-'d3-07'!J111</f>
        <v>0</v>
      </c>
      <c r="K121" s="918">
        <f>'d3'!K121-'d3-07'!K111</f>
        <v>0</v>
      </c>
      <c r="L121" s="918">
        <f>'d3'!L121-'d3-07'!L111</f>
        <v>0</v>
      </c>
      <c r="M121" s="918">
        <f>'d3'!M121-'d3-07'!M111</f>
        <v>0</v>
      </c>
      <c r="N121" s="918">
        <f>'d3'!N121-'d3-07'!N111</f>
        <v>0</v>
      </c>
      <c r="O121" s="918">
        <f>'d3'!O121-'d3-07'!O111</f>
        <v>0</v>
      </c>
      <c r="P121" s="918">
        <f>'d3'!P121-'d3-07'!P111</f>
        <v>-400000</v>
      </c>
      <c r="Q121" s="194"/>
      <c r="R121" s="198"/>
    </row>
    <row r="122" spans="1:20" s="39" customFormat="1" ht="184.5" thickTop="1" thickBot="1" x14ac:dyDescent="0.25">
      <c r="A122" s="927" t="s">
        <v>293</v>
      </c>
      <c r="B122" s="927" t="s">
        <v>294</v>
      </c>
      <c r="C122" s="927" t="s">
        <v>224</v>
      </c>
      <c r="D122" s="927" t="s">
        <v>7</v>
      </c>
      <c r="E122" s="918">
        <f>'d3'!E122-'d3-07'!E112</f>
        <v>0</v>
      </c>
      <c r="F122" s="918">
        <f>'d3'!F122-'d3-07'!F112</f>
        <v>0</v>
      </c>
      <c r="G122" s="918">
        <f>'d3'!G122-'d3-07'!G112</f>
        <v>0</v>
      </c>
      <c r="H122" s="918">
        <f>'d3'!H122-'d3-07'!H112</f>
        <v>0</v>
      </c>
      <c r="I122" s="918">
        <f>'d3'!I122-'d3-07'!I112</f>
        <v>0</v>
      </c>
      <c r="J122" s="918">
        <f>'d3'!J122-'d3-07'!J112</f>
        <v>0</v>
      </c>
      <c r="K122" s="918">
        <f>'d3'!K122-'d3-07'!K112</f>
        <v>0</v>
      </c>
      <c r="L122" s="918">
        <f>'d3'!L122-'d3-07'!L112</f>
        <v>0</v>
      </c>
      <c r="M122" s="918">
        <f>'d3'!M122-'d3-07'!M112</f>
        <v>0</v>
      </c>
      <c r="N122" s="918">
        <f>'d3'!N122-'d3-07'!N112</f>
        <v>0</v>
      </c>
      <c r="O122" s="918">
        <f>'d3'!O122-'d3-07'!O112</f>
        <v>0</v>
      </c>
      <c r="P122" s="918">
        <f>'d3'!P122-'d3-07'!P112</f>
        <v>0</v>
      </c>
      <c r="Q122" s="194"/>
      <c r="R122" s="198"/>
    </row>
    <row r="123" spans="1:20" s="39" customFormat="1" ht="184.5" thickTop="1" thickBot="1" x14ac:dyDescent="0.25">
      <c r="A123" s="927" t="s">
        <v>295</v>
      </c>
      <c r="B123" s="927" t="s">
        <v>292</v>
      </c>
      <c r="C123" s="927" t="s">
        <v>224</v>
      </c>
      <c r="D123" s="927" t="s">
        <v>8</v>
      </c>
      <c r="E123" s="918">
        <f>'d3'!E123-'d3-07'!E113</f>
        <v>0</v>
      </c>
      <c r="F123" s="918">
        <f>'d3'!F123-'d3-07'!F113</f>
        <v>0</v>
      </c>
      <c r="G123" s="918">
        <f>'d3'!G123-'d3-07'!G113</f>
        <v>0</v>
      </c>
      <c r="H123" s="918">
        <f>'d3'!H123-'d3-07'!H113</f>
        <v>0</v>
      </c>
      <c r="I123" s="918">
        <f>'d3'!I123-'d3-07'!I113</f>
        <v>0</v>
      </c>
      <c r="J123" s="918">
        <f>'d3'!J123-'d3-07'!J113</f>
        <v>0</v>
      </c>
      <c r="K123" s="918">
        <f>'d3'!K123-'d3-07'!K113</f>
        <v>0</v>
      </c>
      <c r="L123" s="918">
        <f>'d3'!L123-'d3-07'!L113</f>
        <v>0</v>
      </c>
      <c r="M123" s="918">
        <f>'d3'!M123-'d3-07'!M113</f>
        <v>0</v>
      </c>
      <c r="N123" s="918">
        <f>'d3'!N123-'d3-07'!N113</f>
        <v>0</v>
      </c>
      <c r="O123" s="918">
        <f>'d3'!O123-'d3-07'!O113</f>
        <v>0</v>
      </c>
      <c r="P123" s="918">
        <f>'d3'!P123-'d3-07'!P113</f>
        <v>0</v>
      </c>
      <c r="Q123" s="194"/>
      <c r="R123" s="198"/>
    </row>
    <row r="124" spans="1:20" s="39" customFormat="1" ht="184.5" thickTop="1" thickBot="1" x14ac:dyDescent="0.25">
      <c r="A124" s="927" t="s">
        <v>296</v>
      </c>
      <c r="B124" s="927" t="s">
        <v>297</v>
      </c>
      <c r="C124" s="927" t="s">
        <v>224</v>
      </c>
      <c r="D124" s="927" t="s">
        <v>9</v>
      </c>
      <c r="E124" s="918">
        <f>'d3'!E124-'d3-07'!E114</f>
        <v>0</v>
      </c>
      <c r="F124" s="918">
        <f>'d3'!F124-'d3-07'!F114</f>
        <v>0</v>
      </c>
      <c r="G124" s="918">
        <f>'d3'!G124-'d3-07'!G114</f>
        <v>0</v>
      </c>
      <c r="H124" s="918">
        <f>'d3'!H124-'d3-07'!H114</f>
        <v>0</v>
      </c>
      <c r="I124" s="918">
        <f>'d3'!I124-'d3-07'!I114</f>
        <v>0</v>
      </c>
      <c r="J124" s="918">
        <f>'d3'!J124-'d3-07'!J114</f>
        <v>0</v>
      </c>
      <c r="K124" s="918">
        <f>'d3'!K124-'d3-07'!K114</f>
        <v>0</v>
      </c>
      <c r="L124" s="918">
        <f>'d3'!L124-'d3-07'!L114</f>
        <v>0</v>
      </c>
      <c r="M124" s="918">
        <f>'d3'!M124-'d3-07'!M114</f>
        <v>0</v>
      </c>
      <c r="N124" s="918">
        <f>'d3'!N124-'d3-07'!N114</f>
        <v>0</v>
      </c>
      <c r="O124" s="918">
        <f>'d3'!O124-'d3-07'!O114</f>
        <v>0</v>
      </c>
      <c r="P124" s="918">
        <f>'d3'!P124-'d3-07'!P114</f>
        <v>0</v>
      </c>
      <c r="Q124" s="194"/>
      <c r="R124" s="198"/>
    </row>
    <row r="125" spans="1:20" s="39" customFormat="1" ht="184.5" thickTop="1" thickBot="1" x14ac:dyDescent="0.25">
      <c r="A125" s="927" t="s">
        <v>522</v>
      </c>
      <c r="B125" s="927" t="s">
        <v>523</v>
      </c>
      <c r="C125" s="927" t="s">
        <v>224</v>
      </c>
      <c r="D125" s="927" t="s">
        <v>524</v>
      </c>
      <c r="E125" s="918">
        <f>'d3'!E125-'d3-07'!E115</f>
        <v>0</v>
      </c>
      <c r="F125" s="918">
        <f>'d3'!F125-'d3-07'!F115</f>
        <v>0</v>
      </c>
      <c r="G125" s="918">
        <f>'d3'!G125-'d3-07'!G115</f>
        <v>0</v>
      </c>
      <c r="H125" s="918">
        <f>'d3'!H125-'d3-07'!H115</f>
        <v>0</v>
      </c>
      <c r="I125" s="918">
        <f>'d3'!I125-'d3-07'!I115</f>
        <v>0</v>
      </c>
      <c r="J125" s="918">
        <f>'d3'!J125-'d3-07'!J115</f>
        <v>0</v>
      </c>
      <c r="K125" s="918">
        <f>'d3'!K125-'d3-07'!K115</f>
        <v>0</v>
      </c>
      <c r="L125" s="918">
        <f>'d3'!L125-'d3-07'!L115</f>
        <v>0</v>
      </c>
      <c r="M125" s="918">
        <f>'d3'!M125-'d3-07'!M115</f>
        <v>0</v>
      </c>
      <c r="N125" s="918">
        <f>'d3'!N125-'d3-07'!N115</f>
        <v>0</v>
      </c>
      <c r="O125" s="918">
        <f>'d3'!O125-'d3-07'!O115</f>
        <v>0</v>
      </c>
      <c r="P125" s="918">
        <f>'d3'!P125-'d3-07'!P115</f>
        <v>0</v>
      </c>
      <c r="Q125" s="194"/>
      <c r="R125" s="198"/>
    </row>
    <row r="126" spans="1:20" s="39" customFormat="1" ht="138.75" thickTop="1" thickBot="1" x14ac:dyDescent="0.25">
      <c r="A126" s="927" t="s">
        <v>1137</v>
      </c>
      <c r="B126" s="927" t="s">
        <v>1138</v>
      </c>
      <c r="C126" s="927" t="s">
        <v>224</v>
      </c>
      <c r="D126" s="927" t="s">
        <v>1139</v>
      </c>
      <c r="E126" s="918">
        <f>'d3'!E126-'d3-07'!E116</f>
        <v>0</v>
      </c>
      <c r="F126" s="918">
        <f>'d3'!F126-'d3-07'!F116</f>
        <v>0</v>
      </c>
      <c r="G126" s="918">
        <f>'d3'!G126-'d3-07'!G116</f>
        <v>0</v>
      </c>
      <c r="H126" s="918">
        <f>'d3'!H126-'d3-07'!H116</f>
        <v>0</v>
      </c>
      <c r="I126" s="918">
        <f>'d3'!I126-'d3-07'!I116</f>
        <v>0</v>
      </c>
      <c r="J126" s="918">
        <f>'d3'!J126-'d3-07'!J116</f>
        <v>0</v>
      </c>
      <c r="K126" s="918">
        <f>'d3'!K126-'d3-07'!K116</f>
        <v>0</v>
      </c>
      <c r="L126" s="918">
        <f>'d3'!L126-'d3-07'!L116</f>
        <v>0</v>
      </c>
      <c r="M126" s="918">
        <f>'d3'!M126-'d3-07'!M116</f>
        <v>0</v>
      </c>
      <c r="N126" s="918">
        <f>'d3'!N126-'d3-07'!N116</f>
        <v>0</v>
      </c>
      <c r="O126" s="918">
        <f>'d3'!O126-'d3-07'!O116</f>
        <v>0</v>
      </c>
      <c r="P126" s="918">
        <f>'d3'!P126-'d3-07'!P116</f>
        <v>0</v>
      </c>
      <c r="Q126" s="194"/>
      <c r="R126" s="198"/>
    </row>
    <row r="127" spans="1:20" ht="138.75" thickTop="1" thickBot="1" x14ac:dyDescent="0.25">
      <c r="A127" s="927" t="s">
        <v>525</v>
      </c>
      <c r="B127" s="927" t="s">
        <v>526</v>
      </c>
      <c r="C127" s="927" t="s">
        <v>223</v>
      </c>
      <c r="D127" s="927" t="s">
        <v>527</v>
      </c>
      <c r="E127" s="918">
        <f>'d3'!E127-'d3-07'!E117</f>
        <v>0</v>
      </c>
      <c r="F127" s="918">
        <f>'d3'!F127-'d3-07'!F117</f>
        <v>0</v>
      </c>
      <c r="G127" s="918">
        <f>'d3'!G127-'d3-07'!G117</f>
        <v>0</v>
      </c>
      <c r="H127" s="918">
        <f>'d3'!H127-'d3-07'!H117</f>
        <v>0</v>
      </c>
      <c r="I127" s="918">
        <f>'d3'!I127-'d3-07'!I117</f>
        <v>0</v>
      </c>
      <c r="J127" s="918">
        <f>'d3'!J127-'d3-07'!J117</f>
        <v>0</v>
      </c>
      <c r="K127" s="918">
        <f>'d3'!K127-'d3-07'!K117</f>
        <v>0</v>
      </c>
      <c r="L127" s="918">
        <f>'d3'!L127-'d3-07'!L117</f>
        <v>0</v>
      </c>
      <c r="M127" s="918">
        <f>'d3'!M127-'d3-07'!M117</f>
        <v>0</v>
      </c>
      <c r="N127" s="918">
        <f>'d3'!N127-'d3-07'!N117</f>
        <v>0</v>
      </c>
      <c r="O127" s="918">
        <f>'d3'!O127-'d3-07'!O117</f>
        <v>0</v>
      </c>
      <c r="P127" s="918">
        <f>'d3'!P127-'d3-07'!P117</f>
        <v>0</v>
      </c>
      <c r="R127" s="198"/>
    </row>
    <row r="128" spans="1:20" s="39" customFormat="1" ht="276" thickTop="1" thickBot="1" x14ac:dyDescent="0.25">
      <c r="A128" s="445" t="s">
        <v>892</v>
      </c>
      <c r="B128" s="445" t="s">
        <v>893</v>
      </c>
      <c r="C128" s="445"/>
      <c r="D128" s="445" t="s">
        <v>894</v>
      </c>
      <c r="E128" s="918">
        <f>'d3'!E128-'d3-07'!E118</f>
        <v>62315</v>
      </c>
      <c r="F128" s="918">
        <f>'d3'!F128-'d3-07'!F118</f>
        <v>62315</v>
      </c>
      <c r="G128" s="918">
        <f>'d3'!G128-'d3-07'!G118</f>
        <v>0</v>
      </c>
      <c r="H128" s="918">
        <f>'d3'!H128-'d3-07'!H118</f>
        <v>94965</v>
      </c>
      <c r="I128" s="918">
        <f>'d3'!I128-'d3-07'!I118</f>
        <v>0</v>
      </c>
      <c r="J128" s="918">
        <f>'d3'!J128-'d3-07'!J118</f>
        <v>0</v>
      </c>
      <c r="K128" s="918">
        <f>'d3'!K128-'d3-07'!K118</f>
        <v>0</v>
      </c>
      <c r="L128" s="918">
        <f>'d3'!L128-'d3-07'!L118</f>
        <v>0</v>
      </c>
      <c r="M128" s="918">
        <f>'d3'!M128-'d3-07'!M118</f>
        <v>0</v>
      </c>
      <c r="N128" s="918">
        <f>'d3'!N128-'d3-07'!N118</f>
        <v>0</v>
      </c>
      <c r="O128" s="918">
        <f>'d3'!O128-'d3-07'!O118</f>
        <v>0</v>
      </c>
      <c r="P128" s="918">
        <f>'d3'!P128-'d3-07'!P118</f>
        <v>62315</v>
      </c>
      <c r="Q128" s="194"/>
      <c r="R128" s="447"/>
    </row>
    <row r="129" spans="1:18" ht="276" thickTop="1" thickBot="1" x14ac:dyDescent="0.25">
      <c r="A129" s="927" t="s">
        <v>285</v>
      </c>
      <c r="B129" s="927" t="s">
        <v>283</v>
      </c>
      <c r="C129" s="927" t="s">
        <v>218</v>
      </c>
      <c r="D129" s="927" t="s">
        <v>17</v>
      </c>
      <c r="E129" s="918">
        <f>'d3'!E129-'d3-07'!E119</f>
        <v>-1500</v>
      </c>
      <c r="F129" s="918">
        <f>'d3'!F129-'d3-07'!F119</f>
        <v>-1500</v>
      </c>
      <c r="G129" s="918">
        <f>'d3'!G129-'d3-07'!G119</f>
        <v>0</v>
      </c>
      <c r="H129" s="918">
        <f>'d3'!H129-'d3-07'!H119</f>
        <v>-1500</v>
      </c>
      <c r="I129" s="918">
        <f>'d3'!I129-'d3-07'!I119</f>
        <v>0</v>
      </c>
      <c r="J129" s="918">
        <f>'d3'!J129-'d3-07'!J119</f>
        <v>0</v>
      </c>
      <c r="K129" s="918">
        <f>'d3'!K129-'d3-07'!K119</f>
        <v>0</v>
      </c>
      <c r="L129" s="918">
        <f>'d3'!L129-'d3-07'!L119</f>
        <v>0</v>
      </c>
      <c r="M129" s="918">
        <f>'d3'!M129-'d3-07'!M119</f>
        <v>0</v>
      </c>
      <c r="N129" s="918">
        <f>'d3'!N129-'d3-07'!N119</f>
        <v>0</v>
      </c>
      <c r="O129" s="918">
        <f>'d3'!O129-'d3-07'!O119</f>
        <v>0</v>
      </c>
      <c r="P129" s="918">
        <f>'d3'!P129-'d3-07'!P119</f>
        <v>-1500</v>
      </c>
      <c r="R129" s="930" t="b">
        <f>K129='d6'!J121</f>
        <v>0</v>
      </c>
    </row>
    <row r="130" spans="1:18" ht="138.75" thickTop="1" thickBot="1" x14ac:dyDescent="0.25">
      <c r="A130" s="927" t="s">
        <v>286</v>
      </c>
      <c r="B130" s="927" t="s">
        <v>284</v>
      </c>
      <c r="C130" s="927" t="s">
        <v>217</v>
      </c>
      <c r="D130" s="927" t="s">
        <v>491</v>
      </c>
      <c r="E130" s="918">
        <f>'d3'!E130-'d3-07'!E120</f>
        <v>63815</v>
      </c>
      <c r="F130" s="918">
        <f>'d3'!F130-'d3-07'!F120</f>
        <v>63815</v>
      </c>
      <c r="G130" s="918">
        <f>'d3'!G130-'d3-07'!G120</f>
        <v>0</v>
      </c>
      <c r="H130" s="918">
        <f>'d3'!H130-'d3-07'!H120</f>
        <v>96465</v>
      </c>
      <c r="I130" s="918">
        <f>'d3'!I130-'d3-07'!I120</f>
        <v>0</v>
      </c>
      <c r="J130" s="918">
        <f>'d3'!J130-'d3-07'!J120</f>
        <v>0</v>
      </c>
      <c r="K130" s="918">
        <f>'d3'!K130-'d3-07'!K120</f>
        <v>0</v>
      </c>
      <c r="L130" s="918">
        <f>'d3'!L130-'d3-07'!L120</f>
        <v>0</v>
      </c>
      <c r="M130" s="918">
        <f>'d3'!M130-'d3-07'!M120</f>
        <v>0</v>
      </c>
      <c r="N130" s="918">
        <f>'d3'!N130-'d3-07'!N120</f>
        <v>0</v>
      </c>
      <c r="O130" s="918">
        <f>'d3'!O130-'d3-07'!O120</f>
        <v>0</v>
      </c>
      <c r="P130" s="918">
        <f>'d3'!P130-'d3-07'!P120</f>
        <v>63815</v>
      </c>
      <c r="R130" s="930" t="b">
        <f>K130='d6'!J122</f>
        <v>0</v>
      </c>
    </row>
    <row r="131" spans="1:18" ht="138.75" thickTop="1" thickBot="1" x14ac:dyDescent="0.25">
      <c r="A131" s="445" t="s">
        <v>1354</v>
      </c>
      <c r="B131" s="445" t="s">
        <v>925</v>
      </c>
      <c r="C131" s="445"/>
      <c r="D131" s="445" t="s">
        <v>926</v>
      </c>
      <c r="E131" s="918">
        <f>'d3'!E131-'d3-07'!E121</f>
        <v>0</v>
      </c>
      <c r="F131" s="918">
        <f>'d3'!F131-'d3-07'!F121</f>
        <v>0</v>
      </c>
      <c r="G131" s="918">
        <f>'d3'!G131-'d3-07'!G121</f>
        <v>0</v>
      </c>
      <c r="H131" s="918">
        <f>'d3'!H131-'d3-07'!H121</f>
        <v>0</v>
      </c>
      <c r="I131" s="918">
        <f>'d3'!I131-'d3-07'!I121</f>
        <v>0</v>
      </c>
      <c r="J131" s="918">
        <f>'d3'!J131-'d3-07'!J121</f>
        <v>0</v>
      </c>
      <c r="K131" s="918">
        <f>'d3'!K131-'d3-07'!K121</f>
        <v>0</v>
      </c>
      <c r="L131" s="918">
        <f>'d3'!L131-'d3-07'!L121</f>
        <v>0</v>
      </c>
      <c r="M131" s="918">
        <f>'d3'!M131-'d3-07'!M121</f>
        <v>0</v>
      </c>
      <c r="N131" s="918">
        <f>'d3'!N131-'d3-07'!N121</f>
        <v>0</v>
      </c>
      <c r="O131" s="918">
        <f>'d3'!O131-'d3-07'!O121</f>
        <v>0</v>
      </c>
      <c r="P131" s="918">
        <f>'d3'!P131-'d3-07'!P121</f>
        <v>0</v>
      </c>
      <c r="R131" s="930"/>
    </row>
    <row r="132" spans="1:18" ht="276" thickTop="1" thickBot="1" x14ac:dyDescent="0.25">
      <c r="A132" s="927" t="s">
        <v>1355</v>
      </c>
      <c r="B132" s="927" t="s">
        <v>1356</v>
      </c>
      <c r="C132" s="927" t="s">
        <v>203</v>
      </c>
      <c r="D132" s="927" t="s">
        <v>1357</v>
      </c>
      <c r="E132" s="918">
        <f>'d3'!E132-'d3-07'!E122</f>
        <v>0</v>
      </c>
      <c r="F132" s="918">
        <f>'d3'!F132-'d3-07'!F122</f>
        <v>0</v>
      </c>
      <c r="G132" s="918">
        <f>'d3'!G132-'d3-07'!G122</f>
        <v>0</v>
      </c>
      <c r="H132" s="918">
        <f>'d3'!H132-'d3-07'!H122</f>
        <v>0</v>
      </c>
      <c r="I132" s="918">
        <f>'d3'!I132-'d3-07'!I122</f>
        <v>0</v>
      </c>
      <c r="J132" s="918">
        <f>'d3'!J132-'d3-07'!J122</f>
        <v>0</v>
      </c>
      <c r="K132" s="918">
        <f>'d3'!K132-'d3-07'!K122</f>
        <v>0</v>
      </c>
      <c r="L132" s="918">
        <f>'d3'!L132-'d3-07'!L122</f>
        <v>0</v>
      </c>
      <c r="M132" s="918">
        <f>'d3'!M132-'d3-07'!M122</f>
        <v>0</v>
      </c>
      <c r="N132" s="918">
        <f>'d3'!N132-'d3-07'!N122</f>
        <v>0</v>
      </c>
      <c r="O132" s="918">
        <f>'d3'!O132-'d3-07'!O122</f>
        <v>0</v>
      </c>
      <c r="P132" s="918">
        <f>'d3'!P132-'d3-07'!P122</f>
        <v>0</v>
      </c>
      <c r="R132" s="930" t="b">
        <f>K132='d6'!J123+'d6'!J124</f>
        <v>0</v>
      </c>
    </row>
    <row r="133" spans="1:18" ht="409.6" thickTop="1" thickBot="1" x14ac:dyDescent="0.25">
      <c r="A133" s="927" t="s">
        <v>281</v>
      </c>
      <c r="B133" s="927" t="s">
        <v>282</v>
      </c>
      <c r="C133" s="927" t="s">
        <v>217</v>
      </c>
      <c r="D133" s="927" t="s">
        <v>489</v>
      </c>
      <c r="E133" s="918">
        <f>'d3'!E133-'d3-07'!E123</f>
        <v>0</v>
      </c>
      <c r="F133" s="918">
        <f>'d3'!F133-'d3-07'!F123</f>
        <v>0</v>
      </c>
      <c r="G133" s="918">
        <f>'d3'!G133-'d3-07'!G123</f>
        <v>0</v>
      </c>
      <c r="H133" s="918">
        <f>'d3'!H133-'d3-07'!H123</f>
        <v>0</v>
      </c>
      <c r="I133" s="918">
        <f>'d3'!I133-'d3-07'!I123</f>
        <v>0</v>
      </c>
      <c r="J133" s="918">
        <f>'d3'!J133-'d3-07'!J123</f>
        <v>0</v>
      </c>
      <c r="K133" s="918">
        <f>'d3'!K133-'d3-07'!K123</f>
        <v>0</v>
      </c>
      <c r="L133" s="918">
        <f>'d3'!L133-'d3-07'!L123</f>
        <v>0</v>
      </c>
      <c r="M133" s="918">
        <f>'d3'!M133-'d3-07'!M123</f>
        <v>0</v>
      </c>
      <c r="N133" s="918">
        <f>'d3'!N133-'d3-07'!N123</f>
        <v>0</v>
      </c>
      <c r="O133" s="918">
        <f>'d3'!O133-'d3-07'!O123</f>
        <v>0</v>
      </c>
      <c r="P133" s="918">
        <f>'d3'!P133-'d3-07'!P123</f>
        <v>0</v>
      </c>
      <c r="R133" s="198"/>
    </row>
    <row r="134" spans="1:18" ht="138.75" thickTop="1" thickBot="1" x14ac:dyDescent="0.25">
      <c r="A134" s="445" t="s">
        <v>1055</v>
      </c>
      <c r="B134" s="445" t="s">
        <v>1056</v>
      </c>
      <c r="C134" s="445"/>
      <c r="D134" s="445" t="s">
        <v>1057</v>
      </c>
      <c r="E134" s="918">
        <f>'d3'!E134-'d3-07'!E124</f>
        <v>0</v>
      </c>
      <c r="F134" s="918">
        <f>'d3'!F134-'d3-07'!F124</f>
        <v>0</v>
      </c>
      <c r="G134" s="918">
        <f>'d3'!G134-'d3-07'!G124</f>
        <v>0</v>
      </c>
      <c r="H134" s="918">
        <f>'d3'!H134-'d3-07'!H124</f>
        <v>0</v>
      </c>
      <c r="I134" s="918">
        <f>'d3'!I134-'d3-07'!I124</f>
        <v>0</v>
      </c>
      <c r="J134" s="918">
        <f>'d3'!J134-'d3-07'!J124</f>
        <v>0</v>
      </c>
      <c r="K134" s="918">
        <f>'d3'!K134-'d3-07'!K124</f>
        <v>0</v>
      </c>
      <c r="L134" s="918">
        <f>'d3'!L134-'d3-07'!L124</f>
        <v>0</v>
      </c>
      <c r="M134" s="918">
        <f>'d3'!M134-'d3-07'!M124</f>
        <v>0</v>
      </c>
      <c r="N134" s="918">
        <f>'d3'!N134-'d3-07'!N124</f>
        <v>0</v>
      </c>
      <c r="O134" s="918">
        <f>'d3'!O134-'d3-07'!O124</f>
        <v>0</v>
      </c>
      <c r="P134" s="918">
        <f>'d3'!P134-'d3-07'!P124</f>
        <v>0</v>
      </c>
      <c r="R134" s="198"/>
    </row>
    <row r="135" spans="1:18" ht="276" thickTop="1" thickBot="1" x14ac:dyDescent="0.25">
      <c r="A135" s="927" t="s">
        <v>528</v>
      </c>
      <c r="B135" s="927" t="s">
        <v>529</v>
      </c>
      <c r="C135" s="927" t="s">
        <v>217</v>
      </c>
      <c r="D135" s="927" t="s">
        <v>530</v>
      </c>
      <c r="E135" s="918">
        <f>'d3'!E135-'d3-07'!E125</f>
        <v>0</v>
      </c>
      <c r="F135" s="918">
        <f>'d3'!F135-'d3-07'!F125</f>
        <v>0</v>
      </c>
      <c r="G135" s="918">
        <f>'d3'!G135-'d3-07'!G125</f>
        <v>0</v>
      </c>
      <c r="H135" s="918">
        <f>'d3'!H135-'d3-07'!H125</f>
        <v>0</v>
      </c>
      <c r="I135" s="918">
        <f>'d3'!I135-'d3-07'!I125</f>
        <v>0</v>
      </c>
      <c r="J135" s="918">
        <f>'d3'!J135-'d3-07'!J125</f>
        <v>0</v>
      </c>
      <c r="K135" s="918">
        <f>'d3'!K135-'d3-07'!K125</f>
        <v>0</v>
      </c>
      <c r="L135" s="918">
        <f>'d3'!L135-'d3-07'!L125</f>
        <v>0</v>
      </c>
      <c r="M135" s="918">
        <f>'d3'!M135-'d3-07'!M125</f>
        <v>0</v>
      </c>
      <c r="N135" s="918">
        <f>'d3'!N135-'d3-07'!N125</f>
        <v>0</v>
      </c>
      <c r="O135" s="918">
        <f>'d3'!O135-'d3-07'!O125</f>
        <v>0</v>
      </c>
      <c r="P135" s="918">
        <f>'d3'!P135-'d3-07'!P125</f>
        <v>0</v>
      </c>
      <c r="R135" s="198"/>
    </row>
    <row r="136" spans="1:18" ht="367.5" thickTop="1" thickBot="1" x14ac:dyDescent="0.25">
      <c r="A136" s="927" t="s">
        <v>374</v>
      </c>
      <c r="B136" s="927" t="s">
        <v>373</v>
      </c>
      <c r="C136" s="927" t="s">
        <v>52</v>
      </c>
      <c r="D136" s="927" t="s">
        <v>490</v>
      </c>
      <c r="E136" s="918">
        <f>'d3'!E136-'d3-07'!E126</f>
        <v>0</v>
      </c>
      <c r="F136" s="918">
        <f>'d3'!F136-'d3-07'!F126</f>
        <v>0</v>
      </c>
      <c r="G136" s="918">
        <f>'d3'!G136-'d3-07'!G126</f>
        <v>0</v>
      </c>
      <c r="H136" s="918">
        <f>'d3'!H136-'d3-07'!H126</f>
        <v>0</v>
      </c>
      <c r="I136" s="918">
        <f>'d3'!I136-'d3-07'!I126</f>
        <v>0</v>
      </c>
      <c r="J136" s="918">
        <f>'d3'!J136-'d3-07'!J126</f>
        <v>0</v>
      </c>
      <c r="K136" s="918">
        <f>'d3'!K136-'d3-07'!K126</f>
        <v>0</v>
      </c>
      <c r="L136" s="918">
        <f>'d3'!L136-'d3-07'!L126</f>
        <v>0</v>
      </c>
      <c r="M136" s="918">
        <f>'d3'!M136-'d3-07'!M126</f>
        <v>0</v>
      </c>
      <c r="N136" s="918">
        <f>'d3'!N136-'d3-07'!N126</f>
        <v>0</v>
      </c>
      <c r="O136" s="918">
        <f>'d3'!O136-'d3-07'!O126</f>
        <v>0</v>
      </c>
      <c r="P136" s="918">
        <f>'d3'!P136-'d3-07'!P126</f>
        <v>0</v>
      </c>
      <c r="R136" s="198"/>
    </row>
    <row r="137" spans="1:18" s="39" customFormat="1" ht="93" thickTop="1" thickBot="1" x14ac:dyDescent="0.25">
      <c r="A137" s="445" t="s">
        <v>895</v>
      </c>
      <c r="B137" s="445" t="s">
        <v>896</v>
      </c>
      <c r="C137" s="445"/>
      <c r="D137" s="445" t="s">
        <v>897</v>
      </c>
      <c r="E137" s="918">
        <f>'d3'!E137-'d3-07'!E127</f>
        <v>30000</v>
      </c>
      <c r="F137" s="918">
        <f>'d3'!F137-'d3-07'!F127</f>
        <v>30000</v>
      </c>
      <c r="G137" s="918">
        <f>'d3'!G137-'d3-07'!G127</f>
        <v>0</v>
      </c>
      <c r="H137" s="918">
        <f>'d3'!H137-'d3-07'!H127</f>
        <v>0</v>
      </c>
      <c r="I137" s="918">
        <f>'d3'!I137-'d3-07'!I127</f>
        <v>0</v>
      </c>
      <c r="J137" s="918">
        <f>'d3'!J137-'d3-07'!J127</f>
        <v>0</v>
      </c>
      <c r="K137" s="918">
        <f>'d3'!K137-'d3-07'!K127</f>
        <v>0</v>
      </c>
      <c r="L137" s="918">
        <f>'d3'!L137-'d3-07'!L127</f>
        <v>0</v>
      </c>
      <c r="M137" s="918">
        <f>'d3'!M137-'d3-07'!M127</f>
        <v>0</v>
      </c>
      <c r="N137" s="918">
        <f>'d3'!N137-'d3-07'!N127</f>
        <v>0</v>
      </c>
      <c r="O137" s="918">
        <f>'d3'!O137-'d3-07'!O127</f>
        <v>0</v>
      </c>
      <c r="P137" s="918">
        <f>'d3'!P137-'d3-07'!P127</f>
        <v>30000</v>
      </c>
      <c r="Q137" s="194"/>
      <c r="R137" s="447"/>
    </row>
    <row r="138" spans="1:18" ht="230.25" thickTop="1" thickBot="1" x14ac:dyDescent="0.25">
      <c r="A138" s="927" t="s">
        <v>350</v>
      </c>
      <c r="B138" s="927" t="s">
        <v>351</v>
      </c>
      <c r="C138" s="927" t="s">
        <v>223</v>
      </c>
      <c r="D138" s="927" t="s">
        <v>793</v>
      </c>
      <c r="E138" s="918">
        <f>'d3'!E138-'d3-07'!E128</f>
        <v>30000</v>
      </c>
      <c r="F138" s="918">
        <f>'d3'!F138-'d3-07'!F128</f>
        <v>30000</v>
      </c>
      <c r="G138" s="918">
        <f>'d3'!G138-'d3-07'!G128</f>
        <v>0</v>
      </c>
      <c r="H138" s="918">
        <f>'d3'!H138-'d3-07'!H128</f>
        <v>0</v>
      </c>
      <c r="I138" s="918">
        <f>'d3'!I138-'d3-07'!I128</f>
        <v>0</v>
      </c>
      <c r="J138" s="918">
        <f>'d3'!J138-'d3-07'!J128</f>
        <v>0</v>
      </c>
      <c r="K138" s="918">
        <f>'d3'!K138-'d3-07'!K128</f>
        <v>0</v>
      </c>
      <c r="L138" s="918">
        <f>'d3'!L138-'d3-07'!L128</f>
        <v>0</v>
      </c>
      <c r="M138" s="918">
        <f>'d3'!M138-'d3-07'!M128</f>
        <v>0</v>
      </c>
      <c r="N138" s="918">
        <f>'d3'!N138-'d3-07'!N128</f>
        <v>0</v>
      </c>
      <c r="O138" s="918">
        <f>'d3'!O138-'d3-07'!O128</f>
        <v>0</v>
      </c>
      <c r="P138" s="918">
        <f>'d3'!P138-'d3-07'!P128</f>
        <v>30000</v>
      </c>
      <c r="R138" s="198"/>
    </row>
    <row r="139" spans="1:18" ht="93" thickTop="1" thickBot="1" x14ac:dyDescent="0.25">
      <c r="A139" s="927" t="s">
        <v>456</v>
      </c>
      <c r="B139" s="927" t="s">
        <v>398</v>
      </c>
      <c r="C139" s="927" t="s">
        <v>399</v>
      </c>
      <c r="D139" s="927" t="s">
        <v>397</v>
      </c>
      <c r="E139" s="918">
        <f>'d3'!E139-'d3-07'!E129</f>
        <v>0</v>
      </c>
      <c r="F139" s="918">
        <f>'d3'!F139-'d3-07'!F129</f>
        <v>0</v>
      </c>
      <c r="G139" s="918">
        <f>'d3'!G139-'d3-07'!G129</f>
        <v>0</v>
      </c>
      <c r="H139" s="918">
        <f>'d3'!H139-'d3-07'!H129</f>
        <v>0</v>
      </c>
      <c r="I139" s="918">
        <f>'d3'!I139-'d3-07'!I129</f>
        <v>0</v>
      </c>
      <c r="J139" s="918">
        <f>'d3'!J139-'d3-07'!J129</f>
        <v>0</v>
      </c>
      <c r="K139" s="918">
        <f>'d3'!K139-'d3-07'!K129</f>
        <v>0</v>
      </c>
      <c r="L139" s="918">
        <f>'d3'!L139-'d3-07'!L129</f>
        <v>0</v>
      </c>
      <c r="M139" s="918">
        <f>'d3'!M139-'d3-07'!M129</f>
        <v>0</v>
      </c>
      <c r="N139" s="918">
        <f>'d3'!N139-'d3-07'!N129</f>
        <v>0</v>
      </c>
      <c r="O139" s="918">
        <f>'d3'!O139-'d3-07'!O129</f>
        <v>0</v>
      </c>
      <c r="P139" s="918">
        <f>'d3'!P139-'d3-07'!P129</f>
        <v>0</v>
      </c>
      <c r="R139" s="198"/>
    </row>
    <row r="140" spans="1:18" ht="230.25" thickTop="1" thickBot="1" x14ac:dyDescent="0.25">
      <c r="A140" s="445" t="s">
        <v>1416</v>
      </c>
      <c r="B140" s="445" t="s">
        <v>1417</v>
      </c>
      <c r="C140" s="445"/>
      <c r="D140" s="445" t="s">
        <v>1415</v>
      </c>
      <c r="E140" s="918">
        <f>'d3'!E140-0</f>
        <v>0</v>
      </c>
      <c r="F140" s="918">
        <f>'d3'!F140-0</f>
        <v>0</v>
      </c>
      <c r="G140" s="918">
        <f>'d3'!G140-0</f>
        <v>0</v>
      </c>
      <c r="H140" s="918">
        <f>'d3'!H140-0</f>
        <v>0</v>
      </c>
      <c r="I140" s="918">
        <f>'d3'!I140-0</f>
        <v>0</v>
      </c>
      <c r="J140" s="918">
        <f>'d3'!J140-0</f>
        <v>16573607.309999999</v>
      </c>
      <c r="K140" s="918">
        <f>'d3'!K140-0</f>
        <v>16573607.309999999</v>
      </c>
      <c r="L140" s="918">
        <f>'d3'!L140-0</f>
        <v>0</v>
      </c>
      <c r="M140" s="918">
        <f>'d3'!M140-0</f>
        <v>0</v>
      </c>
      <c r="N140" s="918">
        <f>'d3'!N140-0</f>
        <v>0</v>
      </c>
      <c r="O140" s="918">
        <f>'d3'!O140-0</f>
        <v>16573607.309999999</v>
      </c>
      <c r="P140" s="918">
        <f>'d3'!P140-0</f>
        <v>16573607.309999999</v>
      </c>
      <c r="R140" s="198"/>
    </row>
    <row r="141" spans="1:18" ht="409.6" thickTop="1" x14ac:dyDescent="0.65">
      <c r="A141" s="1024" t="s">
        <v>1421</v>
      </c>
      <c r="B141" s="1024" t="s">
        <v>1422</v>
      </c>
      <c r="C141" s="1024" t="s">
        <v>52</v>
      </c>
      <c r="D141" s="862" t="s">
        <v>1418</v>
      </c>
      <c r="E141" s="1016">
        <f>'d3'!E141-0</f>
        <v>0</v>
      </c>
      <c r="F141" s="1016">
        <f>'d3'!F141-0</f>
        <v>0</v>
      </c>
      <c r="G141" s="1016">
        <f>'d3'!G141-0</f>
        <v>0</v>
      </c>
      <c r="H141" s="1016">
        <f>'d3'!H141-0</f>
        <v>0</v>
      </c>
      <c r="I141" s="1016">
        <f>'d3'!I141-0</f>
        <v>0</v>
      </c>
      <c r="J141" s="1016">
        <f>'d3'!J141-0</f>
        <v>11298891.529999999</v>
      </c>
      <c r="K141" s="1016">
        <f>'d3'!K141-0</f>
        <v>11298891.529999999</v>
      </c>
      <c r="L141" s="1016">
        <f>'d3'!L141-0</f>
        <v>0</v>
      </c>
      <c r="M141" s="1016">
        <f>'d3'!M141-0</f>
        <v>0</v>
      </c>
      <c r="N141" s="1016">
        <f>'d3'!N141-0</f>
        <v>0</v>
      </c>
      <c r="O141" s="1016">
        <f>'d3'!O141-0</f>
        <v>11298891.529999999</v>
      </c>
      <c r="P141" s="1016">
        <f>'d3'!P141-0</f>
        <v>11298891.529999999</v>
      </c>
      <c r="Q141" s="1030"/>
      <c r="R141" s="1022" t="b">
        <f>K141='d6'!J125</f>
        <v>1</v>
      </c>
    </row>
    <row r="142" spans="1:18" ht="409.5" x14ac:dyDescent="0.2">
      <c r="A142" s="1025"/>
      <c r="B142" s="1025"/>
      <c r="C142" s="1025"/>
      <c r="D142" s="861" t="s">
        <v>1419</v>
      </c>
      <c r="E142" s="1025"/>
      <c r="F142" s="1025"/>
      <c r="G142" s="1025"/>
      <c r="H142" s="1025"/>
      <c r="I142" s="1025"/>
      <c r="J142" s="1025"/>
      <c r="K142" s="1025"/>
      <c r="L142" s="1025"/>
      <c r="M142" s="1025"/>
      <c r="N142" s="1025"/>
      <c r="O142" s="1025"/>
      <c r="P142" s="1025"/>
      <c r="Q142" s="1031"/>
      <c r="R142" s="1023"/>
    </row>
    <row r="143" spans="1:18" ht="409.6" thickBot="1" x14ac:dyDescent="0.25">
      <c r="A143" s="1026"/>
      <c r="B143" s="1026"/>
      <c r="C143" s="1026"/>
      <c r="D143" s="863" t="s">
        <v>1420</v>
      </c>
      <c r="E143" s="1026"/>
      <c r="F143" s="1026"/>
      <c r="G143" s="1026"/>
      <c r="H143" s="1026"/>
      <c r="I143" s="1026"/>
      <c r="J143" s="1026"/>
      <c r="K143" s="1026"/>
      <c r="L143" s="1026"/>
      <c r="M143" s="1026"/>
      <c r="N143" s="1026"/>
      <c r="O143" s="1026"/>
      <c r="P143" s="1026"/>
      <c r="Q143" s="1031"/>
      <c r="R143" s="1023"/>
    </row>
    <row r="144" spans="1:18" ht="409.6" thickTop="1" x14ac:dyDescent="0.65">
      <c r="A144" s="1024" t="s">
        <v>1427</v>
      </c>
      <c r="B144" s="1024" t="s">
        <v>1428</v>
      </c>
      <c r="C144" s="1024" t="s">
        <v>52</v>
      </c>
      <c r="D144" s="862" t="s">
        <v>1423</v>
      </c>
      <c r="E144" s="1016">
        <f>'d3'!E144-0</f>
        <v>0</v>
      </c>
      <c r="F144" s="1016">
        <f>'d3'!F144-0</f>
        <v>0</v>
      </c>
      <c r="G144" s="1016">
        <f>'d3'!G144-0</f>
        <v>0</v>
      </c>
      <c r="H144" s="1016">
        <f>'d3'!H144-0</f>
        <v>0</v>
      </c>
      <c r="I144" s="1016">
        <f>'d3'!I144-0</f>
        <v>0</v>
      </c>
      <c r="J144" s="1016">
        <f>'d3'!J144-0</f>
        <v>1751965</v>
      </c>
      <c r="K144" s="1016">
        <f>'d3'!K144-0</f>
        <v>1751965</v>
      </c>
      <c r="L144" s="1016">
        <f>'d3'!L144-0</f>
        <v>0</v>
      </c>
      <c r="M144" s="1016">
        <f>'d3'!M144-0</f>
        <v>0</v>
      </c>
      <c r="N144" s="1016">
        <f>'d3'!N144-0</f>
        <v>0</v>
      </c>
      <c r="O144" s="1016">
        <f>'d3'!O144-0</f>
        <v>1751965</v>
      </c>
      <c r="P144" s="1016">
        <f>'d3'!P144-0</f>
        <v>1751965</v>
      </c>
      <c r="R144" s="1022" t="b">
        <f>K144='d6'!J128</f>
        <v>1</v>
      </c>
    </row>
    <row r="145" spans="1:18" ht="409.5" x14ac:dyDescent="0.2">
      <c r="A145" s="1025"/>
      <c r="B145" s="1025"/>
      <c r="C145" s="1025"/>
      <c r="D145" s="861" t="s">
        <v>1424</v>
      </c>
      <c r="E145" s="1025"/>
      <c r="F145" s="1025">
        <f>'d3'!F145-0</f>
        <v>0</v>
      </c>
      <c r="G145" s="1025">
        <f>'d3'!G145-0</f>
        <v>0</v>
      </c>
      <c r="H145" s="1025">
        <f>'d3'!H145-0</f>
        <v>0</v>
      </c>
      <c r="I145" s="1025">
        <f>'d3'!I145-0</f>
        <v>0</v>
      </c>
      <c r="J145" s="1025">
        <f>'d3'!J145-0</f>
        <v>0</v>
      </c>
      <c r="K145" s="1025">
        <f>'d3'!K145-0</f>
        <v>0</v>
      </c>
      <c r="L145" s="1025">
        <f>'d3'!L145-0</f>
        <v>0</v>
      </c>
      <c r="M145" s="1025">
        <f>'d3'!M145-0</f>
        <v>0</v>
      </c>
      <c r="N145" s="1025">
        <f>'d3'!N145-0</f>
        <v>0</v>
      </c>
      <c r="O145" s="1025">
        <f>'d3'!O145-0</f>
        <v>0</v>
      </c>
      <c r="P145" s="1025">
        <f>'d3'!P145-0</f>
        <v>0</v>
      </c>
      <c r="R145" s="1029"/>
    </row>
    <row r="146" spans="1:18" ht="409.5" x14ac:dyDescent="0.2">
      <c r="A146" s="1025"/>
      <c r="B146" s="1025"/>
      <c r="C146" s="1025"/>
      <c r="D146" s="861" t="s">
        <v>1425</v>
      </c>
      <c r="E146" s="1025"/>
      <c r="F146" s="1025">
        <f>'d3'!F146-0</f>
        <v>0</v>
      </c>
      <c r="G146" s="1025">
        <f>'d3'!G146-0</f>
        <v>0</v>
      </c>
      <c r="H146" s="1025">
        <f>'d3'!H146-0</f>
        <v>0</v>
      </c>
      <c r="I146" s="1025">
        <f>'d3'!I146-0</f>
        <v>0</v>
      </c>
      <c r="J146" s="1025">
        <f>'d3'!J146-0</f>
        <v>0</v>
      </c>
      <c r="K146" s="1025">
        <f>'d3'!K146-0</f>
        <v>0</v>
      </c>
      <c r="L146" s="1025">
        <f>'d3'!L146-0</f>
        <v>0</v>
      </c>
      <c r="M146" s="1025">
        <f>'d3'!M146-0</f>
        <v>0</v>
      </c>
      <c r="N146" s="1025">
        <f>'d3'!N146-0</f>
        <v>0</v>
      </c>
      <c r="O146" s="1025">
        <f>'d3'!O146-0</f>
        <v>0</v>
      </c>
      <c r="P146" s="1025">
        <f>'d3'!P146-0</f>
        <v>0</v>
      </c>
      <c r="R146" s="1029"/>
    </row>
    <row r="147" spans="1:18" ht="183.75" thickBot="1" x14ac:dyDescent="0.25">
      <c r="A147" s="1026"/>
      <c r="B147" s="1026"/>
      <c r="C147" s="1026"/>
      <c r="D147" s="863" t="s">
        <v>1426</v>
      </c>
      <c r="E147" s="1026"/>
      <c r="F147" s="1026">
        <f>'d3'!F147-0</f>
        <v>0</v>
      </c>
      <c r="G147" s="1026">
        <f>'d3'!G147-0</f>
        <v>0</v>
      </c>
      <c r="H147" s="1026">
        <f>'d3'!H147-0</f>
        <v>0</v>
      </c>
      <c r="I147" s="1026">
        <f>'d3'!I147-0</f>
        <v>0</v>
      </c>
      <c r="J147" s="1026">
        <f>'d3'!J147-0</f>
        <v>0</v>
      </c>
      <c r="K147" s="1026">
        <f>'d3'!K147-0</f>
        <v>0</v>
      </c>
      <c r="L147" s="1026">
        <f>'d3'!L147-0</f>
        <v>0</v>
      </c>
      <c r="M147" s="1026">
        <f>'d3'!M147-0</f>
        <v>0</v>
      </c>
      <c r="N147" s="1026">
        <f>'d3'!N147-0</f>
        <v>0</v>
      </c>
      <c r="O147" s="1026">
        <f>'d3'!O147-0</f>
        <v>0</v>
      </c>
      <c r="P147" s="1026">
        <f>'d3'!P147-0</f>
        <v>0</v>
      </c>
      <c r="R147" s="1029"/>
    </row>
    <row r="148" spans="1:18" ht="409.6" thickTop="1" x14ac:dyDescent="0.65">
      <c r="A148" s="1024" t="s">
        <v>1429</v>
      </c>
      <c r="B148" s="1024" t="s">
        <v>1430</v>
      </c>
      <c r="C148" s="1024" t="s">
        <v>52</v>
      </c>
      <c r="D148" s="862" t="s">
        <v>1431</v>
      </c>
      <c r="E148" s="1016">
        <f>'d3'!E148-0</f>
        <v>0</v>
      </c>
      <c r="F148" s="1016">
        <f>'d3'!F148-0</f>
        <v>0</v>
      </c>
      <c r="G148" s="1016">
        <f>'d3'!G148-0</f>
        <v>0</v>
      </c>
      <c r="H148" s="1016">
        <f>'d3'!H148-0</f>
        <v>0</v>
      </c>
      <c r="I148" s="1016">
        <f>'d3'!I148-0</f>
        <v>0</v>
      </c>
      <c r="J148" s="1016">
        <f>'d3'!J148-0</f>
        <v>1093438.78</v>
      </c>
      <c r="K148" s="1016">
        <f>'d3'!K148-0</f>
        <v>1093438.78</v>
      </c>
      <c r="L148" s="1016">
        <f>'d3'!L148-0</f>
        <v>0</v>
      </c>
      <c r="M148" s="1016">
        <f>'d3'!M148-0</f>
        <v>0</v>
      </c>
      <c r="N148" s="1016">
        <f>'d3'!N148-0</f>
        <v>0</v>
      </c>
      <c r="O148" s="1016">
        <f>'d3'!O148-0</f>
        <v>1093438.78</v>
      </c>
      <c r="P148" s="1016">
        <f>'d3'!P148-0</f>
        <v>1093438.78</v>
      </c>
      <c r="R148" s="1022" t="b">
        <f>K148='d6'!J132</f>
        <v>1</v>
      </c>
    </row>
    <row r="149" spans="1:18" ht="409.5" x14ac:dyDescent="0.2">
      <c r="A149" s="1025"/>
      <c r="B149" s="1025"/>
      <c r="C149" s="1025"/>
      <c r="D149" s="861" t="s">
        <v>1432</v>
      </c>
      <c r="E149" s="1025">
        <f>'d3'!E149-0</f>
        <v>0</v>
      </c>
      <c r="F149" s="1025">
        <f>'d3'!F149-0</f>
        <v>0</v>
      </c>
      <c r="G149" s="1025">
        <f>'d3'!G149-0</f>
        <v>0</v>
      </c>
      <c r="H149" s="1025">
        <f>'d3'!H149-0</f>
        <v>0</v>
      </c>
      <c r="I149" s="1025">
        <f>'d3'!I149-0</f>
        <v>0</v>
      </c>
      <c r="J149" s="1025">
        <f>'d3'!J149-0</f>
        <v>0</v>
      </c>
      <c r="K149" s="1025">
        <f>'d3'!K149-0</f>
        <v>0</v>
      </c>
      <c r="L149" s="1025">
        <f>'d3'!L149-0</f>
        <v>0</v>
      </c>
      <c r="M149" s="1025">
        <f>'d3'!M149-0</f>
        <v>0</v>
      </c>
      <c r="N149" s="1025">
        <f>'d3'!N149-0</f>
        <v>0</v>
      </c>
      <c r="O149" s="1025">
        <f>'d3'!O149-0</f>
        <v>0</v>
      </c>
      <c r="P149" s="1025">
        <f>'d3'!P149-0</f>
        <v>0</v>
      </c>
      <c r="R149" s="1023"/>
    </row>
    <row r="150" spans="1:18" ht="138" thickBot="1" x14ac:dyDescent="0.25">
      <c r="A150" s="1026"/>
      <c r="B150" s="1026"/>
      <c r="C150" s="1026"/>
      <c r="D150" s="863" t="s">
        <v>1433</v>
      </c>
      <c r="E150" s="1026">
        <f>'d3'!E150-0</f>
        <v>0</v>
      </c>
      <c r="F150" s="1026">
        <f>'d3'!F150-0</f>
        <v>0</v>
      </c>
      <c r="G150" s="1026">
        <f>'d3'!G150-0</f>
        <v>0</v>
      </c>
      <c r="H150" s="1026">
        <f>'d3'!H150-0</f>
        <v>0</v>
      </c>
      <c r="I150" s="1026">
        <f>'d3'!I150-0</f>
        <v>0</v>
      </c>
      <c r="J150" s="1026">
        <f>'d3'!J150-0</f>
        <v>0</v>
      </c>
      <c r="K150" s="1026">
        <f>'d3'!K150-0</f>
        <v>0</v>
      </c>
      <c r="L150" s="1026">
        <f>'d3'!L150-0</f>
        <v>0</v>
      </c>
      <c r="M150" s="1026">
        <f>'d3'!M150-0</f>
        <v>0</v>
      </c>
      <c r="N150" s="1026">
        <f>'d3'!N150-0</f>
        <v>0</v>
      </c>
      <c r="O150" s="1026">
        <f>'d3'!O150-0</f>
        <v>0</v>
      </c>
      <c r="P150" s="1026">
        <f>'d3'!P150-0</f>
        <v>0</v>
      </c>
      <c r="R150" s="1023"/>
    </row>
    <row r="151" spans="1:18" ht="409.6" thickTop="1" x14ac:dyDescent="0.65">
      <c r="A151" s="1024" t="s">
        <v>1437</v>
      </c>
      <c r="B151" s="1024" t="s">
        <v>1438</v>
      </c>
      <c r="C151" s="1024" t="s">
        <v>52</v>
      </c>
      <c r="D151" s="862" t="s">
        <v>1434</v>
      </c>
      <c r="E151" s="1016">
        <f>'d3'!E151-0</f>
        <v>0</v>
      </c>
      <c r="F151" s="1016">
        <f>'d3'!F151-0</f>
        <v>0</v>
      </c>
      <c r="G151" s="1016">
        <f>'d3'!G151-0</f>
        <v>0</v>
      </c>
      <c r="H151" s="1016">
        <f>'d3'!H151-0</f>
        <v>0</v>
      </c>
      <c r="I151" s="1016">
        <f>'d3'!I151-0</f>
        <v>0</v>
      </c>
      <c r="J151" s="1016">
        <f>'d3'!J151-0</f>
        <v>2429312</v>
      </c>
      <c r="K151" s="1016">
        <f>'d3'!K151-0</f>
        <v>2429312</v>
      </c>
      <c r="L151" s="1016">
        <f>'d3'!L151-0</f>
        <v>0</v>
      </c>
      <c r="M151" s="1016">
        <f>'d3'!M151-0</f>
        <v>0</v>
      </c>
      <c r="N151" s="1016">
        <f>'d3'!N151-0</f>
        <v>0</v>
      </c>
      <c r="O151" s="1016">
        <f>'d3'!O151-0</f>
        <v>2429312</v>
      </c>
      <c r="P151" s="1016">
        <f>'d3'!P151-0</f>
        <v>2429312</v>
      </c>
      <c r="R151" s="1022" t="b">
        <f>K151='d6'!J135</f>
        <v>1</v>
      </c>
    </row>
    <row r="152" spans="1:18" ht="352.5" customHeight="1" x14ac:dyDescent="0.2">
      <c r="A152" s="1025"/>
      <c r="B152" s="1025"/>
      <c r="C152" s="1025"/>
      <c r="D152" s="861" t="s">
        <v>1435</v>
      </c>
      <c r="E152" s="1025">
        <f>'d3'!E152-0</f>
        <v>0</v>
      </c>
      <c r="F152" s="1025">
        <f>'d3'!F152-0</f>
        <v>0</v>
      </c>
      <c r="G152" s="1025">
        <f>'d3'!G152-0</f>
        <v>0</v>
      </c>
      <c r="H152" s="1025">
        <f>'d3'!H152-0</f>
        <v>0</v>
      </c>
      <c r="I152" s="1025">
        <f>'d3'!I152-0</f>
        <v>0</v>
      </c>
      <c r="J152" s="1025">
        <f>'d3'!J152-0</f>
        <v>0</v>
      </c>
      <c r="K152" s="1025">
        <f>'d3'!K152-0</f>
        <v>0</v>
      </c>
      <c r="L152" s="1025">
        <f>'d3'!L152-0</f>
        <v>0</v>
      </c>
      <c r="M152" s="1025">
        <f>'d3'!M152-0</f>
        <v>0</v>
      </c>
      <c r="N152" s="1025">
        <f>'d3'!N152-0</f>
        <v>0</v>
      </c>
      <c r="O152" s="1025">
        <f>'d3'!O152-0</f>
        <v>0</v>
      </c>
      <c r="P152" s="1025">
        <f>'d3'!P152-0</f>
        <v>0</v>
      </c>
      <c r="R152" s="1023"/>
    </row>
    <row r="153" spans="1:18" ht="92.25" thickBot="1" x14ac:dyDescent="0.25">
      <c r="A153" s="1026"/>
      <c r="B153" s="1026"/>
      <c r="C153" s="1026"/>
      <c r="D153" s="863" t="s">
        <v>1436</v>
      </c>
      <c r="E153" s="1026">
        <f>'d3'!E153-0</f>
        <v>0</v>
      </c>
      <c r="F153" s="1026">
        <f>'d3'!F153-0</f>
        <v>0</v>
      </c>
      <c r="G153" s="1026">
        <f>'d3'!G153-0</f>
        <v>0</v>
      </c>
      <c r="H153" s="1026">
        <f>'d3'!H153-0</f>
        <v>0</v>
      </c>
      <c r="I153" s="1026">
        <f>'d3'!I153-0</f>
        <v>0</v>
      </c>
      <c r="J153" s="1026">
        <f>'d3'!J153-0</f>
        <v>0</v>
      </c>
      <c r="K153" s="1026">
        <f>'d3'!K153-0</f>
        <v>0</v>
      </c>
      <c r="L153" s="1026">
        <f>'d3'!L153-0</f>
        <v>0</v>
      </c>
      <c r="M153" s="1026">
        <f>'d3'!M153-0</f>
        <v>0</v>
      </c>
      <c r="N153" s="1026">
        <f>'d3'!N153-0</f>
        <v>0</v>
      </c>
      <c r="O153" s="1026">
        <f>'d3'!O153-0</f>
        <v>0</v>
      </c>
      <c r="P153" s="1026">
        <f>'d3'!P153-0</f>
        <v>0</v>
      </c>
      <c r="R153" s="1023"/>
    </row>
    <row r="154" spans="1:18" s="39" customFormat="1" ht="47.25" thickTop="1" thickBot="1" x14ac:dyDescent="0.25">
      <c r="A154" s="445" t="s">
        <v>898</v>
      </c>
      <c r="B154" s="445" t="s">
        <v>899</v>
      </c>
      <c r="C154" s="445"/>
      <c r="D154" s="445" t="s">
        <v>900</v>
      </c>
      <c r="E154" s="928">
        <f>'d3'!E154-'d3-07'!E131</f>
        <v>466200</v>
      </c>
      <c r="F154" s="928">
        <f>'d3'!F154-'d3-07'!F131</f>
        <v>466200</v>
      </c>
      <c r="G154" s="928">
        <f>'d3'!G154-'d3-07'!G131</f>
        <v>-32000</v>
      </c>
      <c r="H154" s="928">
        <f>'d3'!H154-'d3-07'!H131</f>
        <v>-63800</v>
      </c>
      <c r="I154" s="928">
        <f>'d3'!I154-'d3-07'!I131</f>
        <v>0</v>
      </c>
      <c r="J154" s="928">
        <f>'d3'!J154-'d3-07'!J131</f>
        <v>83910</v>
      </c>
      <c r="K154" s="928">
        <f>'d3'!K154-'d3-07'!K131</f>
        <v>83910</v>
      </c>
      <c r="L154" s="928">
        <f>'d3'!L154-'d3-07'!L131</f>
        <v>0</v>
      </c>
      <c r="M154" s="928">
        <f>'d3'!M154-'d3-07'!M131</f>
        <v>0</v>
      </c>
      <c r="N154" s="928">
        <f>'d3'!N154-'d3-07'!N131</f>
        <v>0</v>
      </c>
      <c r="O154" s="928">
        <f>'d3'!O154-'d3-07'!O131</f>
        <v>83910</v>
      </c>
      <c r="P154" s="928">
        <f>'d3'!P154-'d3-07'!P131</f>
        <v>550110</v>
      </c>
      <c r="Q154" s="194"/>
      <c r="R154" s="447"/>
    </row>
    <row r="155" spans="1:18" ht="184.5" thickTop="1" thickBot="1" x14ac:dyDescent="0.25">
      <c r="A155" s="927" t="s">
        <v>352</v>
      </c>
      <c r="B155" s="927" t="s">
        <v>354</v>
      </c>
      <c r="C155" s="927" t="s">
        <v>209</v>
      </c>
      <c r="D155" s="337" t="s">
        <v>356</v>
      </c>
      <c r="E155" s="928">
        <f>'d3'!E155-'d3-07'!E132</f>
        <v>-533800</v>
      </c>
      <c r="F155" s="928">
        <f>'d3'!F155-'d3-07'!F132</f>
        <v>-533800</v>
      </c>
      <c r="G155" s="928">
        <f>'d3'!G155-'d3-07'!G132</f>
        <v>-32000</v>
      </c>
      <c r="H155" s="928">
        <f>'d3'!H155-'d3-07'!H132</f>
        <v>-63800</v>
      </c>
      <c r="I155" s="928">
        <f>'d3'!I155-'d3-07'!I132</f>
        <v>0</v>
      </c>
      <c r="J155" s="928">
        <f>'d3'!J155-'d3-07'!J132</f>
        <v>0</v>
      </c>
      <c r="K155" s="928">
        <f>'d3'!K155-'d3-07'!K132</f>
        <v>0</v>
      </c>
      <c r="L155" s="928">
        <f>'d3'!L155-'d3-07'!L132</f>
        <v>0</v>
      </c>
      <c r="M155" s="928">
        <f>'d3'!M155-'d3-07'!M132</f>
        <v>0</v>
      </c>
      <c r="N155" s="928">
        <f>'d3'!N155-'d3-07'!N132</f>
        <v>0</v>
      </c>
      <c r="O155" s="928">
        <f>'d3'!O155-'d3-07'!O132</f>
        <v>0</v>
      </c>
      <c r="P155" s="928">
        <f>'d3'!P155-'d3-07'!P132</f>
        <v>-533800</v>
      </c>
      <c r="R155" s="930" t="b">
        <f>K155='d6'!J138+'d6'!J139</f>
        <v>0</v>
      </c>
    </row>
    <row r="156" spans="1:18" ht="138.75" thickTop="1" thickBot="1" x14ac:dyDescent="0.25">
      <c r="A156" s="927" t="s">
        <v>353</v>
      </c>
      <c r="B156" s="927" t="s">
        <v>355</v>
      </c>
      <c r="C156" s="927" t="s">
        <v>209</v>
      </c>
      <c r="D156" s="337" t="s">
        <v>357</v>
      </c>
      <c r="E156" s="928">
        <f>'d3'!E156-'d3-07'!E133</f>
        <v>1000000</v>
      </c>
      <c r="F156" s="928">
        <f>'d3'!F156-'d3-07'!F133</f>
        <v>1000000</v>
      </c>
      <c r="G156" s="928">
        <f>'d3'!G156-'d3-07'!G133</f>
        <v>0</v>
      </c>
      <c r="H156" s="928">
        <f>'d3'!H156-'d3-07'!H133</f>
        <v>0</v>
      </c>
      <c r="I156" s="928">
        <f>'d3'!I156-'d3-07'!I133</f>
        <v>0</v>
      </c>
      <c r="J156" s="928">
        <f>'d3'!J156-'d3-07'!J133</f>
        <v>83910</v>
      </c>
      <c r="K156" s="928">
        <f>'d3'!K156-'d3-07'!K133</f>
        <v>83910</v>
      </c>
      <c r="L156" s="928">
        <f>'d3'!L156-'d3-07'!L133</f>
        <v>0</v>
      </c>
      <c r="M156" s="928">
        <f>'d3'!M156-'d3-07'!M133</f>
        <v>0</v>
      </c>
      <c r="N156" s="928">
        <f>'d3'!N156-'d3-07'!N133</f>
        <v>0</v>
      </c>
      <c r="O156" s="928">
        <f>'d3'!O156-'d3-07'!O133</f>
        <v>83910</v>
      </c>
      <c r="P156" s="928">
        <f>'d3'!P156-'d3-07'!P133</f>
        <v>1083910</v>
      </c>
      <c r="R156" s="930" t="b">
        <f>K156='d6'!J140+'d6'!J141</f>
        <v>0</v>
      </c>
    </row>
    <row r="157" spans="1:18" ht="91.5" thickTop="1" thickBot="1" x14ac:dyDescent="0.25">
      <c r="A157" s="173" t="s">
        <v>901</v>
      </c>
      <c r="B157" s="173" t="s">
        <v>902</v>
      </c>
      <c r="C157" s="173"/>
      <c r="D157" s="449" t="s">
        <v>903</v>
      </c>
      <c r="E157" s="928">
        <f>'d3'!E157-'d3-07'!E134</f>
        <v>0</v>
      </c>
      <c r="F157" s="928">
        <f>'d3'!F157-'d3-07'!F134</f>
        <v>0</v>
      </c>
      <c r="G157" s="928">
        <f>'d3'!G157-'d3-07'!G134</f>
        <v>0</v>
      </c>
      <c r="H157" s="928">
        <f>'d3'!H157-'d3-07'!H134</f>
        <v>0</v>
      </c>
      <c r="I157" s="928">
        <f>'d3'!I157-'d3-07'!I134</f>
        <v>0</v>
      </c>
      <c r="J157" s="928">
        <f>'d3'!J157-'d3-07'!J134</f>
        <v>3577034</v>
      </c>
      <c r="K157" s="928">
        <f>'d3'!K157-'d3-07'!K134</f>
        <v>3577034</v>
      </c>
      <c r="L157" s="928">
        <f>'d3'!L157-'d3-07'!L134</f>
        <v>0</v>
      </c>
      <c r="M157" s="928">
        <f>'d3'!M157-'d3-07'!M134</f>
        <v>0</v>
      </c>
      <c r="N157" s="928">
        <f>'d3'!N157-'d3-07'!N134</f>
        <v>0</v>
      </c>
      <c r="O157" s="928">
        <f>'d3'!O157-'d3-07'!O134</f>
        <v>3577034</v>
      </c>
      <c r="P157" s="928">
        <f>'d3'!P157-'d3-07'!P134</f>
        <v>3577034</v>
      </c>
      <c r="R157" s="930"/>
    </row>
    <row r="158" spans="1:18" s="39" customFormat="1" ht="93" thickTop="1" thickBot="1" x14ac:dyDescent="0.25">
      <c r="A158" s="445" t="s">
        <v>904</v>
      </c>
      <c r="B158" s="445" t="s">
        <v>905</v>
      </c>
      <c r="C158" s="445"/>
      <c r="D158" s="451" t="s">
        <v>906</v>
      </c>
      <c r="E158" s="928">
        <f>'d3'!E158-'d3-07'!E135</f>
        <v>0</v>
      </c>
      <c r="F158" s="928">
        <f>'d3'!F158-'d3-07'!F135</f>
        <v>0</v>
      </c>
      <c r="G158" s="928">
        <f>'d3'!G158-'d3-07'!G135</f>
        <v>0</v>
      </c>
      <c r="H158" s="928">
        <f>'d3'!H158-'d3-07'!H135</f>
        <v>0</v>
      </c>
      <c r="I158" s="928">
        <f>'d3'!I158-'d3-07'!I135</f>
        <v>0</v>
      </c>
      <c r="J158" s="928">
        <f>'d3'!J158-'d3-07'!J135</f>
        <v>3577034</v>
      </c>
      <c r="K158" s="928">
        <f>'d3'!K158-'d3-07'!K135</f>
        <v>3577034</v>
      </c>
      <c r="L158" s="928">
        <f>'d3'!L158-'d3-07'!L135</f>
        <v>0</v>
      </c>
      <c r="M158" s="928">
        <f>'d3'!M158-'d3-07'!M135</f>
        <v>0</v>
      </c>
      <c r="N158" s="928">
        <f>'d3'!N158-'d3-07'!N135</f>
        <v>0</v>
      </c>
      <c r="O158" s="928">
        <f>'d3'!O158-'d3-07'!O135</f>
        <v>3577034</v>
      </c>
      <c r="P158" s="928">
        <f>'d3'!P158-'d3-07'!P135</f>
        <v>3577034</v>
      </c>
      <c r="Q158" s="194"/>
      <c r="R158" s="453"/>
    </row>
    <row r="159" spans="1:18" ht="138.75" thickTop="1" thickBot="1" x14ac:dyDescent="0.25">
      <c r="A159" s="927" t="s">
        <v>393</v>
      </c>
      <c r="B159" s="927" t="s">
        <v>391</v>
      </c>
      <c r="C159" s="927" t="s">
        <v>365</v>
      </c>
      <c r="D159" s="337" t="s">
        <v>392</v>
      </c>
      <c r="E159" s="928">
        <f>'d3'!E159-'d3-07'!E136</f>
        <v>0</v>
      </c>
      <c r="F159" s="928">
        <f>'d3'!F159-'d3-07'!F136</f>
        <v>0</v>
      </c>
      <c r="G159" s="928">
        <f>'d3'!G159-'d3-07'!G136</f>
        <v>0</v>
      </c>
      <c r="H159" s="928">
        <f>'d3'!H159-'d3-07'!H136</f>
        <v>0</v>
      </c>
      <c r="I159" s="928">
        <f>'d3'!I159-'d3-07'!I136</f>
        <v>0</v>
      </c>
      <c r="J159" s="928">
        <f>'d3'!J159-'d3-07'!J136</f>
        <v>0</v>
      </c>
      <c r="K159" s="928">
        <f>'d3'!K159-'d3-07'!K136</f>
        <v>0</v>
      </c>
      <c r="L159" s="928">
        <f>'d3'!L159-'d3-07'!L136</f>
        <v>0</v>
      </c>
      <c r="M159" s="928">
        <f>'d3'!M159-'d3-07'!M136</f>
        <v>0</v>
      </c>
      <c r="N159" s="928">
        <f>'d3'!N159-'d3-07'!N136</f>
        <v>0</v>
      </c>
      <c r="O159" s="928">
        <f>'d3'!O159-'d3-07'!O136</f>
        <v>0</v>
      </c>
      <c r="P159" s="928">
        <f>'d3'!P159-'d3-07'!P136</f>
        <v>0</v>
      </c>
      <c r="R159" s="930" t="b">
        <f>K159='d6'!J142</f>
        <v>0</v>
      </c>
    </row>
    <row r="160" spans="1:18" ht="409.6" thickTop="1" thickBot="1" x14ac:dyDescent="0.25">
      <c r="A160" s="927" t="s">
        <v>1439</v>
      </c>
      <c r="B160" s="927" t="s">
        <v>1440</v>
      </c>
      <c r="C160" s="927" t="s">
        <v>365</v>
      </c>
      <c r="D160" s="337" t="s">
        <v>1441</v>
      </c>
      <c r="E160" s="928">
        <f>'d3'!E160-0</f>
        <v>0</v>
      </c>
      <c r="F160" s="928">
        <f>'d3'!F160-0</f>
        <v>0</v>
      </c>
      <c r="G160" s="928">
        <f>'d3'!G160-0</f>
        <v>0</v>
      </c>
      <c r="H160" s="928">
        <f>'d3'!H160-0</f>
        <v>0</v>
      </c>
      <c r="I160" s="928">
        <f>'d3'!I160-0</f>
        <v>0</v>
      </c>
      <c r="J160" s="928">
        <f>'d3'!J160-0</f>
        <v>3577034</v>
      </c>
      <c r="K160" s="928">
        <f>'d3'!K160-0</f>
        <v>3577034</v>
      </c>
      <c r="L160" s="928">
        <f>'d3'!L160-0</f>
        <v>0</v>
      </c>
      <c r="M160" s="928">
        <f>'d3'!M160-0</f>
        <v>0</v>
      </c>
      <c r="N160" s="928">
        <f>'d3'!N160-0</f>
        <v>0</v>
      </c>
      <c r="O160" s="928">
        <f>'d3'!O160-0</f>
        <v>3577034</v>
      </c>
      <c r="P160" s="928">
        <f>'d3'!P160-0</f>
        <v>3577034</v>
      </c>
      <c r="R160" s="930" t="b">
        <f>K160='d6'!J143</f>
        <v>1</v>
      </c>
    </row>
    <row r="161" spans="1:18" ht="47.25" thickTop="1" thickBot="1" x14ac:dyDescent="0.25">
      <c r="A161" s="455" t="s">
        <v>911</v>
      </c>
      <c r="B161" s="454" t="s">
        <v>908</v>
      </c>
      <c r="C161" s="454"/>
      <c r="D161" s="454" t="s">
        <v>909</v>
      </c>
      <c r="E161" s="928">
        <f>'d3'!E161-'d3-07'!E137</f>
        <v>0</v>
      </c>
      <c r="F161" s="928">
        <f>'d3'!F161-'d3-07'!F137</f>
        <v>0</v>
      </c>
      <c r="G161" s="928">
        <f>'d3'!G161-'d3-07'!G137</f>
        <v>0</v>
      </c>
      <c r="H161" s="928">
        <f>'d3'!H161-'d3-07'!H137</f>
        <v>0</v>
      </c>
      <c r="I161" s="928">
        <f>'d3'!I161-'d3-07'!I137</f>
        <v>0</v>
      </c>
      <c r="J161" s="928">
        <f>'d3'!J161-'d3-07'!J137</f>
        <v>0</v>
      </c>
      <c r="K161" s="928">
        <f>'d3'!K161-'d3-07'!K137</f>
        <v>0</v>
      </c>
      <c r="L161" s="928">
        <f>'d3'!L161-'d3-07'!L137</f>
        <v>0</v>
      </c>
      <c r="M161" s="928">
        <f>'d3'!M161-'d3-07'!M137</f>
        <v>0</v>
      </c>
      <c r="N161" s="928">
        <f>'d3'!N161-'d3-07'!N137</f>
        <v>0</v>
      </c>
      <c r="O161" s="928">
        <f>'d3'!O161-'d3-07'!O137</f>
        <v>0</v>
      </c>
      <c r="P161" s="928">
        <f>'d3'!P161-'d3-07'!P137</f>
        <v>0</v>
      </c>
      <c r="R161" s="930"/>
    </row>
    <row r="162" spans="1:18" ht="91.5" thickTop="1" thickBot="1" x14ac:dyDescent="0.25">
      <c r="A162" s="404" t="s">
        <v>1146</v>
      </c>
      <c r="B162" s="405" t="s">
        <v>964</v>
      </c>
      <c r="C162" s="405"/>
      <c r="D162" s="405" t="s">
        <v>965</v>
      </c>
      <c r="E162" s="928">
        <f>'d3'!E162-'d3-07'!E138</f>
        <v>0</v>
      </c>
      <c r="F162" s="928">
        <f>'d3'!F162-'d3-07'!F138</f>
        <v>0</v>
      </c>
      <c r="G162" s="928">
        <f>'d3'!G162-'d3-07'!G138</f>
        <v>0</v>
      </c>
      <c r="H162" s="928">
        <f>'d3'!H162-'d3-07'!H138</f>
        <v>0</v>
      </c>
      <c r="I162" s="928">
        <f>'d3'!I162-'d3-07'!I138</f>
        <v>0</v>
      </c>
      <c r="J162" s="928">
        <f>'d3'!J162-'d3-07'!J138</f>
        <v>0</v>
      </c>
      <c r="K162" s="928">
        <f>'d3'!K162-'d3-07'!K138</f>
        <v>0</v>
      </c>
      <c r="L162" s="928">
        <f>'d3'!L162-'d3-07'!L138</f>
        <v>0</v>
      </c>
      <c r="M162" s="928">
        <f>'d3'!M162-'d3-07'!M138</f>
        <v>0</v>
      </c>
      <c r="N162" s="928">
        <f>'d3'!N162-'d3-07'!N138</f>
        <v>0</v>
      </c>
      <c r="O162" s="928">
        <f>'d3'!O162-'d3-07'!O138</f>
        <v>0</v>
      </c>
      <c r="P162" s="928">
        <f>'d3'!P162-'d3-07'!P138</f>
        <v>0</v>
      </c>
      <c r="R162" s="930"/>
    </row>
    <row r="163" spans="1:18" ht="146.25" thickTop="1" thickBot="1" x14ac:dyDescent="0.25">
      <c r="A163" s="365" t="s">
        <v>1142</v>
      </c>
      <c r="B163" s="365" t="s">
        <v>983</v>
      </c>
      <c r="C163" s="365"/>
      <c r="D163" s="365" t="s">
        <v>984</v>
      </c>
      <c r="E163" s="928">
        <f>'d3'!E163-'d3-07'!E139</f>
        <v>0</v>
      </c>
      <c r="F163" s="928">
        <f>'d3'!F163-'d3-07'!F139</f>
        <v>0</v>
      </c>
      <c r="G163" s="928">
        <f>'d3'!G163-'d3-07'!G139</f>
        <v>0</v>
      </c>
      <c r="H163" s="928">
        <f>'d3'!H163-'d3-07'!H139</f>
        <v>0</v>
      </c>
      <c r="I163" s="928">
        <f>'d3'!I163-'d3-07'!I139</f>
        <v>0</v>
      </c>
      <c r="J163" s="928">
        <f>'d3'!J163-'d3-07'!J139</f>
        <v>0</v>
      </c>
      <c r="K163" s="928">
        <f>'d3'!K163-'d3-07'!K139</f>
        <v>0</v>
      </c>
      <c r="L163" s="928">
        <f>'d3'!L163-'d3-07'!L139</f>
        <v>0</v>
      </c>
      <c r="M163" s="928">
        <f>'d3'!M163-'d3-07'!M139</f>
        <v>0</v>
      </c>
      <c r="N163" s="928">
        <f>'d3'!N163-'d3-07'!N139</f>
        <v>0</v>
      </c>
      <c r="O163" s="928">
        <f>'d3'!O163-'d3-07'!O139</f>
        <v>0</v>
      </c>
      <c r="P163" s="928">
        <f>'d3'!P163-'d3-07'!P139</f>
        <v>0</v>
      </c>
      <c r="R163" s="930"/>
    </row>
    <row r="164" spans="1:18" ht="99.75" thickTop="1" thickBot="1" x14ac:dyDescent="0.25">
      <c r="A164" s="921" t="s">
        <v>1143</v>
      </c>
      <c r="B164" s="921" t="s">
        <v>1144</v>
      </c>
      <c r="C164" s="921" t="s">
        <v>323</v>
      </c>
      <c r="D164" s="921" t="s">
        <v>1145</v>
      </c>
      <c r="E164" s="928">
        <f>'d3'!E164-'d3-07'!E140</f>
        <v>0</v>
      </c>
      <c r="F164" s="928">
        <f>'d3'!F164-'d3-07'!F140</f>
        <v>0</v>
      </c>
      <c r="G164" s="928">
        <f>'d3'!G164-'d3-07'!G140</f>
        <v>0</v>
      </c>
      <c r="H164" s="928">
        <f>'d3'!H164-'d3-07'!H140</f>
        <v>0</v>
      </c>
      <c r="I164" s="928">
        <f>'d3'!I164-'d3-07'!I140</f>
        <v>0</v>
      </c>
      <c r="J164" s="928">
        <f>'d3'!J164-'d3-07'!J140</f>
        <v>0</v>
      </c>
      <c r="K164" s="928">
        <f>'d3'!K164-'d3-07'!K140</f>
        <v>0</v>
      </c>
      <c r="L164" s="928">
        <f>'d3'!L164-'d3-07'!L140</f>
        <v>0</v>
      </c>
      <c r="M164" s="928">
        <f>'d3'!M164-'d3-07'!M140</f>
        <v>0</v>
      </c>
      <c r="N164" s="928">
        <f>'d3'!N164-'d3-07'!N140</f>
        <v>0</v>
      </c>
      <c r="O164" s="928">
        <f>'d3'!O164-'d3-07'!O140</f>
        <v>0</v>
      </c>
      <c r="P164" s="928">
        <f>'d3'!P164-'d3-07'!P140</f>
        <v>0</v>
      </c>
      <c r="R164" s="930" t="b">
        <f>K164='d6'!J144</f>
        <v>0</v>
      </c>
    </row>
    <row r="165" spans="1:18" ht="136.5" thickTop="1" thickBot="1" x14ac:dyDescent="0.25">
      <c r="A165" s="404" t="s">
        <v>913</v>
      </c>
      <c r="B165" s="405" t="s">
        <v>850</v>
      </c>
      <c r="C165" s="405"/>
      <c r="D165" s="405" t="s">
        <v>848</v>
      </c>
      <c r="E165" s="928">
        <f>'d3'!E165-'d3-07'!E141</f>
        <v>0</v>
      </c>
      <c r="F165" s="928">
        <f>'d3'!F165-'d3-07'!F141</f>
        <v>0</v>
      </c>
      <c r="G165" s="928">
        <f>'d3'!G165-'d3-07'!G141</f>
        <v>0</v>
      </c>
      <c r="H165" s="928">
        <f>'d3'!H165-'d3-07'!H141</f>
        <v>0</v>
      </c>
      <c r="I165" s="928">
        <f>'d3'!I165-'d3-07'!I141</f>
        <v>0</v>
      </c>
      <c r="J165" s="928">
        <f>'d3'!J165-'d3-07'!J141</f>
        <v>0</v>
      </c>
      <c r="K165" s="928">
        <f>'d3'!K165-'d3-07'!K141</f>
        <v>0</v>
      </c>
      <c r="L165" s="928">
        <f>'d3'!L165-'d3-07'!L141</f>
        <v>0</v>
      </c>
      <c r="M165" s="928">
        <f>'d3'!M165-'d3-07'!M141</f>
        <v>0</v>
      </c>
      <c r="N165" s="928">
        <f>'d3'!N165-'d3-07'!N141</f>
        <v>0</v>
      </c>
      <c r="O165" s="928">
        <f>'d3'!O165-'d3-07'!O141</f>
        <v>0</v>
      </c>
      <c r="P165" s="928">
        <f>'d3'!P165-'d3-07'!P141</f>
        <v>0</v>
      </c>
      <c r="R165" s="930"/>
    </row>
    <row r="166" spans="1:18" ht="47.25" thickTop="1" thickBot="1" x14ac:dyDescent="0.25">
      <c r="A166" s="403" t="s">
        <v>912</v>
      </c>
      <c r="B166" s="403" t="s">
        <v>853</v>
      </c>
      <c r="C166" s="403"/>
      <c r="D166" s="451" t="s">
        <v>851</v>
      </c>
      <c r="E166" s="928">
        <f>'d3'!E166-'d3-07'!E142</f>
        <v>0</v>
      </c>
      <c r="F166" s="928">
        <f>'d3'!F166-'d3-07'!F142</f>
        <v>0</v>
      </c>
      <c r="G166" s="928">
        <f>'d3'!G166-'d3-07'!G142</f>
        <v>0</v>
      </c>
      <c r="H166" s="928">
        <f>'d3'!H166-'d3-07'!H142</f>
        <v>0</v>
      </c>
      <c r="I166" s="928">
        <f>'d3'!I166-'d3-07'!I142</f>
        <v>0</v>
      </c>
      <c r="J166" s="928">
        <f>'d3'!J166-'d3-07'!J142</f>
        <v>0</v>
      </c>
      <c r="K166" s="928">
        <f>'d3'!K166-'d3-07'!K142</f>
        <v>0</v>
      </c>
      <c r="L166" s="928">
        <f>'d3'!L166-'d3-07'!L142</f>
        <v>0</v>
      </c>
      <c r="M166" s="928">
        <f>'d3'!M166-'d3-07'!M142</f>
        <v>0</v>
      </c>
      <c r="N166" s="928">
        <f>'d3'!N166-'d3-07'!N142</f>
        <v>0</v>
      </c>
      <c r="O166" s="928">
        <f>'d3'!O166-'d3-07'!O142</f>
        <v>0</v>
      </c>
      <c r="P166" s="928">
        <f>'d3'!P166-'d3-07'!P142</f>
        <v>0</v>
      </c>
      <c r="R166" s="930"/>
    </row>
    <row r="167" spans="1:18" ht="409.6" thickTop="1" thickBot="1" x14ac:dyDescent="0.7">
      <c r="A167" s="1048" t="s">
        <v>451</v>
      </c>
      <c r="B167" s="1048" t="s">
        <v>363</v>
      </c>
      <c r="C167" s="1048" t="s">
        <v>184</v>
      </c>
      <c r="D167" s="326" t="s">
        <v>473</v>
      </c>
      <c r="E167" s="1215">
        <f>'d3'!E167-'d3-07'!E143</f>
        <v>0</v>
      </c>
      <c r="F167" s="1215">
        <f>'d3'!F167-'d3-07'!F143</f>
        <v>0</v>
      </c>
      <c r="G167" s="1215">
        <f>'d3'!G167-'d3-07'!G143</f>
        <v>0</v>
      </c>
      <c r="H167" s="1215">
        <f>'d3'!H167-'d3-07'!H143</f>
        <v>0</v>
      </c>
      <c r="I167" s="1215">
        <f>'d3'!I167-'d3-07'!I143</f>
        <v>0</v>
      </c>
      <c r="J167" s="1215">
        <f>'d3'!J167-'d3-07'!J143</f>
        <v>0</v>
      </c>
      <c r="K167" s="1215">
        <f>'d3'!K167-'d3-07'!K143</f>
        <v>0</v>
      </c>
      <c r="L167" s="1215">
        <f>'d3'!L167-'d3-07'!L143</f>
        <v>0</v>
      </c>
      <c r="M167" s="1215">
        <f>'d3'!M167-'d3-07'!M143</f>
        <v>0</v>
      </c>
      <c r="N167" s="1215">
        <f>'d3'!N167-'d3-07'!N143</f>
        <v>0</v>
      </c>
      <c r="O167" s="1215">
        <f>'d3'!O167-'d3-07'!O143</f>
        <v>0</v>
      </c>
      <c r="P167" s="1215">
        <f>'d3'!P167-'d3-07'!P143</f>
        <v>0</v>
      </c>
      <c r="R167" s="198"/>
    </row>
    <row r="168" spans="1:18" ht="184.5" thickTop="1" thickBot="1" x14ac:dyDescent="0.25">
      <c r="A168" s="1049"/>
      <c r="B168" s="1050"/>
      <c r="C168" s="1049"/>
      <c r="D168" s="329" t="s">
        <v>474</v>
      </c>
      <c r="E168" s="1026"/>
      <c r="F168" s="1026"/>
      <c r="G168" s="1026"/>
      <c r="H168" s="1026"/>
      <c r="I168" s="1026"/>
      <c r="J168" s="1026"/>
      <c r="K168" s="1026"/>
      <c r="L168" s="1026"/>
      <c r="M168" s="1026"/>
      <c r="N168" s="1026"/>
      <c r="O168" s="1026"/>
      <c r="P168" s="1026"/>
      <c r="R168" s="198"/>
    </row>
    <row r="169" spans="1:18" ht="181.5" thickTop="1" thickBot="1" x14ac:dyDescent="0.25">
      <c r="A169" s="853">
        <v>1000000</v>
      </c>
      <c r="B169" s="853"/>
      <c r="C169" s="853"/>
      <c r="D169" s="854" t="s">
        <v>24</v>
      </c>
      <c r="E169" s="855">
        <f>E170</f>
        <v>1314630</v>
      </c>
      <c r="F169" s="856">
        <f t="shared" ref="F169:G169" si="21">F170</f>
        <v>1314630</v>
      </c>
      <c r="G169" s="856">
        <f t="shared" si="21"/>
        <v>0</v>
      </c>
      <c r="H169" s="856">
        <f>H170</f>
        <v>1170490</v>
      </c>
      <c r="I169" s="856">
        <f>I170</f>
        <v>0</v>
      </c>
      <c r="J169" s="855">
        <f>J170</f>
        <v>-230000</v>
      </c>
      <c r="K169" s="856">
        <f>K170</f>
        <v>-230000</v>
      </c>
      <c r="L169" s="856">
        <f>L170</f>
        <v>0</v>
      </c>
      <c r="M169" s="856">
        <f t="shared" ref="M169" si="22">M170</f>
        <v>0</v>
      </c>
      <c r="N169" s="856">
        <f>N170</f>
        <v>0</v>
      </c>
      <c r="O169" s="855">
        <f>O170</f>
        <v>-230000</v>
      </c>
      <c r="P169" s="856">
        <f t="shared" ref="P169" si="23">P170</f>
        <v>1084630</v>
      </c>
    </row>
    <row r="170" spans="1:18" ht="181.5" thickTop="1" thickBot="1" x14ac:dyDescent="0.25">
      <c r="A170" s="857">
        <v>1010000</v>
      </c>
      <c r="B170" s="857"/>
      <c r="C170" s="857"/>
      <c r="D170" s="858" t="s">
        <v>41</v>
      </c>
      <c r="E170" s="859">
        <f>E171+E173+E186+E181</f>
        <v>1314630</v>
      </c>
      <c r="F170" s="859">
        <f>F171+F173+F186+F181</f>
        <v>1314630</v>
      </c>
      <c r="G170" s="859">
        <f>G171+G173+G186+G181</f>
        <v>0</v>
      </c>
      <c r="H170" s="859">
        <f>H171+H173+H186+H181</f>
        <v>1170490</v>
      </c>
      <c r="I170" s="859">
        <f>I171+I173+I186+I181</f>
        <v>0</v>
      </c>
      <c r="J170" s="859">
        <f t="shared" ref="J170" si="24">L170+O170</f>
        <v>-230000</v>
      </c>
      <c r="K170" s="859">
        <f>K171+K173+K186+K181</f>
        <v>-230000</v>
      </c>
      <c r="L170" s="859">
        <f>L171+L173+L186+L181</f>
        <v>0</v>
      </c>
      <c r="M170" s="859">
        <f>M171+M173+M186+M181</f>
        <v>0</v>
      </c>
      <c r="N170" s="859">
        <f>N171+N173+N186+N181</f>
        <v>0</v>
      </c>
      <c r="O170" s="859">
        <f>O171+O173+O186+O181</f>
        <v>-230000</v>
      </c>
      <c r="P170" s="859">
        <f t="shared" ref="P170" si="25">E170+J170</f>
        <v>1084630</v>
      </c>
      <c r="Q170" s="125" t="b">
        <f>P170=P172+P174+P175+P176+P177+P179+P180+P188+P185+P184</f>
        <v>1</v>
      </c>
      <c r="R170" s="930" t="b">
        <f>K170='d6'!J145</f>
        <v>0</v>
      </c>
    </row>
    <row r="171" spans="1:18" ht="47.25" thickTop="1" thickBot="1" x14ac:dyDescent="0.25">
      <c r="A171" s="455" t="s">
        <v>914</v>
      </c>
      <c r="B171" s="455" t="s">
        <v>867</v>
      </c>
      <c r="C171" s="455"/>
      <c r="D171" s="455" t="s">
        <v>868</v>
      </c>
      <c r="E171" s="928">
        <f>'d3'!E171-'d3-07'!E147</f>
        <v>719330</v>
      </c>
      <c r="F171" s="928">
        <f>'d3'!F171-'d3-07'!F147</f>
        <v>719330</v>
      </c>
      <c r="G171" s="928">
        <f>'d3'!G171-'d3-07'!G147</f>
        <v>0</v>
      </c>
      <c r="H171" s="928">
        <f>'d3'!H171-'d3-07'!H147</f>
        <v>719330</v>
      </c>
      <c r="I171" s="928">
        <f>'d3'!I171-'d3-07'!I147</f>
        <v>0</v>
      </c>
      <c r="J171" s="928">
        <f>'d3'!J171-'d3-07'!J147</f>
        <v>0</v>
      </c>
      <c r="K171" s="928">
        <f>'d3'!K171-'d3-07'!K147</f>
        <v>0</v>
      </c>
      <c r="L171" s="928">
        <f>'d3'!L171-'d3-07'!L147</f>
        <v>0</v>
      </c>
      <c r="M171" s="928">
        <f>'d3'!M171-'d3-07'!M147</f>
        <v>0</v>
      </c>
      <c r="N171" s="928">
        <f>'d3'!N171-'d3-07'!N147</f>
        <v>0</v>
      </c>
      <c r="O171" s="928">
        <f>'d3'!O171-'d3-07'!O147</f>
        <v>0</v>
      </c>
      <c r="P171" s="928">
        <f>'d3'!P171-'d3-07'!P147</f>
        <v>719330</v>
      </c>
      <c r="Q171" s="125"/>
      <c r="R171" s="930"/>
    </row>
    <row r="172" spans="1:18" ht="93" thickTop="1" thickBot="1" x14ac:dyDescent="0.25">
      <c r="A172" s="921" t="s">
        <v>794</v>
      </c>
      <c r="B172" s="921" t="s">
        <v>795</v>
      </c>
      <c r="C172" s="921" t="s">
        <v>199</v>
      </c>
      <c r="D172" s="921" t="s">
        <v>546</v>
      </c>
      <c r="E172" s="928">
        <f>'d3'!E172-'d3-07'!E148</f>
        <v>719330</v>
      </c>
      <c r="F172" s="928">
        <f>'d3'!F172-'d3-07'!F148</f>
        <v>719330</v>
      </c>
      <c r="G172" s="928">
        <f>'d3'!G172-'d3-07'!G148</f>
        <v>0</v>
      </c>
      <c r="H172" s="928">
        <f>'d3'!H172-'d3-07'!H148</f>
        <v>719330</v>
      </c>
      <c r="I172" s="928">
        <f>'d3'!I172-'d3-07'!I148</f>
        <v>0</v>
      </c>
      <c r="J172" s="928">
        <f>'d3'!J172-'d3-07'!J148</f>
        <v>0</v>
      </c>
      <c r="K172" s="928">
        <f>'d3'!K172-'d3-07'!K148</f>
        <v>0</v>
      </c>
      <c r="L172" s="928">
        <f>'d3'!L172-'d3-07'!L148</f>
        <v>0</v>
      </c>
      <c r="M172" s="928">
        <f>'d3'!M172-'d3-07'!M148</f>
        <v>0</v>
      </c>
      <c r="N172" s="928">
        <f>'d3'!N172-'d3-07'!N148</f>
        <v>0</v>
      </c>
      <c r="O172" s="928">
        <f>'d3'!O172-'d3-07'!O148</f>
        <v>0</v>
      </c>
      <c r="P172" s="928">
        <f>'d3'!P172-'d3-07'!P148</f>
        <v>719330</v>
      </c>
      <c r="R172" s="930" t="b">
        <f>K172='d6'!J148+'d6'!J147</f>
        <v>0</v>
      </c>
    </row>
    <row r="173" spans="1:18" s="2" customFormat="1" ht="47.25" thickTop="1" thickBot="1" x14ac:dyDescent="0.25">
      <c r="A173" s="455" t="s">
        <v>915</v>
      </c>
      <c r="B173" s="455" t="s">
        <v>916</v>
      </c>
      <c r="C173" s="455"/>
      <c r="D173" s="455" t="s">
        <v>917</v>
      </c>
      <c r="E173" s="928">
        <f>'d3'!E173-'d3-07'!E149</f>
        <v>501160</v>
      </c>
      <c r="F173" s="928">
        <f>'d3'!F173-'d3-07'!F149</f>
        <v>501160</v>
      </c>
      <c r="G173" s="928">
        <f>'d3'!G173-'d3-07'!G149</f>
        <v>0</v>
      </c>
      <c r="H173" s="928">
        <f>'d3'!H173-'d3-07'!H149</f>
        <v>451160</v>
      </c>
      <c r="I173" s="928">
        <f>'d3'!I173-'d3-07'!I149</f>
        <v>0</v>
      </c>
      <c r="J173" s="928">
        <f>'d3'!J173-'d3-07'!J149</f>
        <v>0</v>
      </c>
      <c r="K173" s="928">
        <f>'d3'!K173-'d3-07'!K149</f>
        <v>0</v>
      </c>
      <c r="L173" s="928">
        <f>'d3'!L173-'d3-07'!L149</f>
        <v>0</v>
      </c>
      <c r="M173" s="928">
        <f>'d3'!M173-'d3-07'!M149</f>
        <v>0</v>
      </c>
      <c r="N173" s="928">
        <f>'d3'!N173-'d3-07'!N149</f>
        <v>0</v>
      </c>
      <c r="O173" s="928">
        <f>'d3'!O173-'d3-07'!O149</f>
        <v>0</v>
      </c>
      <c r="P173" s="928">
        <f>'d3'!P173-'d3-07'!P149</f>
        <v>501160</v>
      </c>
      <c r="Q173" s="190"/>
      <c r="R173" s="198"/>
    </row>
    <row r="174" spans="1:18" ht="47.25" thickTop="1" thickBot="1" x14ac:dyDescent="0.25">
      <c r="A174" s="921" t="s">
        <v>185</v>
      </c>
      <c r="B174" s="921" t="s">
        <v>186</v>
      </c>
      <c r="C174" s="921" t="s">
        <v>188</v>
      </c>
      <c r="D174" s="921" t="s">
        <v>189</v>
      </c>
      <c r="E174" s="928">
        <f>'d3'!E174-'d3-07'!E150</f>
        <v>0</v>
      </c>
      <c r="F174" s="928">
        <f>'d3'!F174-'d3-07'!F150</f>
        <v>0</v>
      </c>
      <c r="G174" s="928">
        <f>'d3'!G174-'d3-07'!G150</f>
        <v>0</v>
      </c>
      <c r="H174" s="928">
        <f>'d3'!H174-'d3-07'!H150</f>
        <v>0</v>
      </c>
      <c r="I174" s="928">
        <f>'d3'!I174-'d3-07'!I150</f>
        <v>0</v>
      </c>
      <c r="J174" s="928">
        <f>'d3'!J174-'d3-07'!J150</f>
        <v>0</v>
      </c>
      <c r="K174" s="928">
        <f>'d3'!K174-'d3-07'!K150</f>
        <v>0</v>
      </c>
      <c r="L174" s="928">
        <f>'d3'!L174-'d3-07'!L150</f>
        <v>0</v>
      </c>
      <c r="M174" s="928">
        <f>'d3'!M174-'d3-07'!M150</f>
        <v>0</v>
      </c>
      <c r="N174" s="928">
        <f>'d3'!N174-'d3-07'!N150</f>
        <v>0</v>
      </c>
      <c r="O174" s="928">
        <f>'d3'!O174-'d3-07'!O150</f>
        <v>0</v>
      </c>
      <c r="P174" s="928">
        <f>'d3'!P174-'d3-07'!P150</f>
        <v>0</v>
      </c>
      <c r="R174" s="198"/>
    </row>
    <row r="175" spans="1:18" ht="93" thickTop="1" thickBot="1" x14ac:dyDescent="0.25">
      <c r="A175" s="921" t="s">
        <v>190</v>
      </c>
      <c r="B175" s="921" t="s">
        <v>191</v>
      </c>
      <c r="C175" s="921" t="s">
        <v>192</v>
      </c>
      <c r="D175" s="921" t="s">
        <v>193</v>
      </c>
      <c r="E175" s="928">
        <f>'d3'!E175-'d3-07'!E151</f>
        <v>176130</v>
      </c>
      <c r="F175" s="928">
        <f>'d3'!F175-'d3-07'!F151</f>
        <v>176130</v>
      </c>
      <c r="G175" s="928">
        <f>'d3'!G175-'d3-07'!G151</f>
        <v>0</v>
      </c>
      <c r="H175" s="928">
        <f>'d3'!H175-'d3-07'!H151</f>
        <v>176130</v>
      </c>
      <c r="I175" s="928">
        <f>'d3'!I175-'d3-07'!I151</f>
        <v>0</v>
      </c>
      <c r="J175" s="928">
        <f>'d3'!J175-'d3-07'!J151</f>
        <v>0</v>
      </c>
      <c r="K175" s="928">
        <f>'d3'!K175-'d3-07'!K151</f>
        <v>0</v>
      </c>
      <c r="L175" s="928">
        <f>'d3'!L175-'d3-07'!L151</f>
        <v>0</v>
      </c>
      <c r="M175" s="928">
        <f>'d3'!M175-'d3-07'!M151</f>
        <v>0</v>
      </c>
      <c r="N175" s="928">
        <f>'d3'!N175-'d3-07'!N151</f>
        <v>0</v>
      </c>
      <c r="O175" s="928">
        <f>'d3'!O175-'d3-07'!O151</f>
        <v>0</v>
      </c>
      <c r="P175" s="928">
        <f>'d3'!P175-'d3-07'!P151</f>
        <v>176130</v>
      </c>
      <c r="R175" s="930" t="b">
        <f>K175='d6'!J149+'d6'!J150+'d6'!J151</f>
        <v>0</v>
      </c>
    </row>
    <row r="176" spans="1:18" ht="93" thickTop="1" thickBot="1" x14ac:dyDescent="0.25">
      <c r="A176" s="921" t="s">
        <v>194</v>
      </c>
      <c r="B176" s="921" t="s">
        <v>195</v>
      </c>
      <c r="C176" s="921" t="s">
        <v>192</v>
      </c>
      <c r="D176" s="921" t="s">
        <v>500</v>
      </c>
      <c r="E176" s="928">
        <f>'d3'!E176-'d3-07'!E152</f>
        <v>91480</v>
      </c>
      <c r="F176" s="928">
        <f>'d3'!F176-'d3-07'!F152</f>
        <v>91480</v>
      </c>
      <c r="G176" s="928">
        <f>'d3'!G176-'d3-07'!G152</f>
        <v>0</v>
      </c>
      <c r="H176" s="928">
        <f>'d3'!H176-'d3-07'!H152</f>
        <v>91480</v>
      </c>
      <c r="I176" s="928">
        <f>'d3'!I176-'d3-07'!I152</f>
        <v>0</v>
      </c>
      <c r="J176" s="928">
        <f>'d3'!J176-'d3-07'!J152</f>
        <v>0</v>
      </c>
      <c r="K176" s="928">
        <f>'d3'!K176-'d3-07'!K152</f>
        <v>0</v>
      </c>
      <c r="L176" s="928">
        <f>'d3'!L176-'d3-07'!L152</f>
        <v>0</v>
      </c>
      <c r="M176" s="928">
        <f>'d3'!M176-'d3-07'!M152</f>
        <v>0</v>
      </c>
      <c r="N176" s="928">
        <f>'d3'!N176-'d3-07'!N152</f>
        <v>0</v>
      </c>
      <c r="O176" s="928">
        <f>'d3'!O176-'d3-07'!O152</f>
        <v>0</v>
      </c>
      <c r="P176" s="928">
        <f>'d3'!P176-'d3-07'!P152</f>
        <v>91480</v>
      </c>
      <c r="R176" s="930" t="b">
        <f>K176='d6'!J152+'d6'!J153</f>
        <v>0</v>
      </c>
    </row>
    <row r="177" spans="1:18" ht="184.5" thickTop="1" thickBot="1" x14ac:dyDescent="0.25">
      <c r="A177" s="921" t="s">
        <v>196</v>
      </c>
      <c r="B177" s="921" t="s">
        <v>187</v>
      </c>
      <c r="C177" s="921" t="s">
        <v>197</v>
      </c>
      <c r="D177" s="921" t="s">
        <v>198</v>
      </c>
      <c r="E177" s="928">
        <f>'d3'!E177-'d3-07'!E153</f>
        <v>173650</v>
      </c>
      <c r="F177" s="928">
        <f>'d3'!F177-'d3-07'!F153</f>
        <v>173650</v>
      </c>
      <c r="G177" s="928">
        <f>'d3'!G177-'d3-07'!G153</f>
        <v>0</v>
      </c>
      <c r="H177" s="928">
        <f>'d3'!H177-'d3-07'!H153</f>
        <v>173650</v>
      </c>
      <c r="I177" s="928">
        <f>'d3'!I177-'d3-07'!I153</f>
        <v>0</v>
      </c>
      <c r="J177" s="928">
        <f>'d3'!J177-'d3-07'!J153</f>
        <v>0</v>
      </c>
      <c r="K177" s="928">
        <f>'d3'!K177-'d3-07'!K153</f>
        <v>0</v>
      </c>
      <c r="L177" s="928">
        <f>'d3'!L177-'d3-07'!L153</f>
        <v>0</v>
      </c>
      <c r="M177" s="928">
        <f>'d3'!M177-'d3-07'!M153</f>
        <v>0</v>
      </c>
      <c r="N177" s="928">
        <f>'d3'!N177-'d3-07'!N153</f>
        <v>0</v>
      </c>
      <c r="O177" s="928">
        <f>'d3'!O177-'d3-07'!O153</f>
        <v>0</v>
      </c>
      <c r="P177" s="928">
        <f>'d3'!P177-'d3-07'!P153</f>
        <v>173650</v>
      </c>
      <c r="R177" s="930" t="b">
        <f>K177='d6'!J154</f>
        <v>0</v>
      </c>
    </row>
    <row r="178" spans="1:18" ht="93" thickTop="1" thickBot="1" x14ac:dyDescent="0.25">
      <c r="A178" s="365" t="s">
        <v>918</v>
      </c>
      <c r="B178" s="365" t="s">
        <v>919</v>
      </c>
      <c r="C178" s="365"/>
      <c r="D178" s="365" t="s">
        <v>920</v>
      </c>
      <c r="E178" s="928">
        <f>'d3'!E178-'d3-07'!E154</f>
        <v>59900</v>
      </c>
      <c r="F178" s="928">
        <f>'d3'!F178-'d3-07'!F154</f>
        <v>59900</v>
      </c>
      <c r="G178" s="928">
        <f>'d3'!G178-'d3-07'!G154</f>
        <v>0</v>
      </c>
      <c r="H178" s="928">
        <f>'d3'!H178-'d3-07'!H154</f>
        <v>9900</v>
      </c>
      <c r="I178" s="928">
        <f>'d3'!I178-'d3-07'!I154</f>
        <v>0</v>
      </c>
      <c r="J178" s="928">
        <f>'d3'!J178-'d3-07'!J154</f>
        <v>0</v>
      </c>
      <c r="K178" s="928">
        <f>'d3'!K178-'d3-07'!K154</f>
        <v>0</v>
      </c>
      <c r="L178" s="928">
        <f>'d3'!L178-'d3-07'!L154</f>
        <v>0</v>
      </c>
      <c r="M178" s="928">
        <f>'d3'!M178-'d3-07'!M154</f>
        <v>0</v>
      </c>
      <c r="N178" s="928">
        <f>'d3'!N178-'d3-07'!N154</f>
        <v>0</v>
      </c>
      <c r="O178" s="928">
        <f>'d3'!O178-'d3-07'!O154</f>
        <v>0</v>
      </c>
      <c r="P178" s="928">
        <f>'d3'!P178-'d3-07'!P154</f>
        <v>59900</v>
      </c>
      <c r="R178" s="930"/>
    </row>
    <row r="179" spans="1:18" ht="138.75" thickTop="1" thickBot="1" x14ac:dyDescent="0.25">
      <c r="A179" s="921" t="s">
        <v>358</v>
      </c>
      <c r="B179" s="921" t="s">
        <v>359</v>
      </c>
      <c r="C179" s="921" t="s">
        <v>200</v>
      </c>
      <c r="D179" s="921" t="s">
        <v>501</v>
      </c>
      <c r="E179" s="928">
        <f>'d3'!E179-'d3-07'!E155</f>
        <v>9900</v>
      </c>
      <c r="F179" s="928">
        <f>'d3'!F179-'d3-07'!F155</f>
        <v>9900</v>
      </c>
      <c r="G179" s="928">
        <f>'d3'!G179-'d3-07'!G155</f>
        <v>0</v>
      </c>
      <c r="H179" s="928">
        <f>'d3'!H179-'d3-07'!H155</f>
        <v>9900</v>
      </c>
      <c r="I179" s="928">
        <f>'d3'!I179-'d3-07'!I155</f>
        <v>0</v>
      </c>
      <c r="J179" s="928">
        <f>'d3'!J179-'d3-07'!J155</f>
        <v>0</v>
      </c>
      <c r="K179" s="928">
        <f>'d3'!K179-'d3-07'!K155</f>
        <v>0</v>
      </c>
      <c r="L179" s="928">
        <f>'d3'!L179-'d3-07'!L155</f>
        <v>0</v>
      </c>
      <c r="M179" s="928">
        <f>'d3'!M179-'d3-07'!M155</f>
        <v>0</v>
      </c>
      <c r="N179" s="928">
        <f>'d3'!N179-'d3-07'!N155</f>
        <v>0</v>
      </c>
      <c r="O179" s="928">
        <f>'d3'!O179-'d3-07'!O155</f>
        <v>0</v>
      </c>
      <c r="P179" s="928">
        <f>'d3'!P179-'d3-07'!P155</f>
        <v>9900</v>
      </c>
      <c r="R179" s="930" t="b">
        <f>K179='d6'!J155</f>
        <v>0</v>
      </c>
    </row>
    <row r="180" spans="1:18" ht="93" thickTop="1" thickBot="1" x14ac:dyDescent="0.25">
      <c r="A180" s="921" t="s">
        <v>360</v>
      </c>
      <c r="B180" s="921" t="s">
        <v>361</v>
      </c>
      <c r="C180" s="921" t="s">
        <v>200</v>
      </c>
      <c r="D180" s="921" t="s">
        <v>502</v>
      </c>
      <c r="E180" s="928">
        <f>'d3'!E180-'d3-07'!E156</f>
        <v>50000</v>
      </c>
      <c r="F180" s="928">
        <f>'d3'!F180-'d3-07'!F156</f>
        <v>50000</v>
      </c>
      <c r="G180" s="928">
        <f>'d3'!G180-'d3-07'!G156</f>
        <v>0</v>
      </c>
      <c r="H180" s="928">
        <f>'d3'!H180-'d3-07'!H156</f>
        <v>0</v>
      </c>
      <c r="I180" s="928">
        <f>'d3'!I180-'d3-07'!I156</f>
        <v>0</v>
      </c>
      <c r="J180" s="928">
        <f>'d3'!J180-'d3-07'!J156</f>
        <v>0</v>
      </c>
      <c r="K180" s="928">
        <f>'d3'!K180-'d3-07'!K156</f>
        <v>0</v>
      </c>
      <c r="L180" s="928">
        <f>'d3'!L180-'d3-07'!L156</f>
        <v>0</v>
      </c>
      <c r="M180" s="928">
        <f>'d3'!M180-'d3-07'!M156</f>
        <v>0</v>
      </c>
      <c r="N180" s="928">
        <f>'d3'!N180-'d3-07'!N156</f>
        <v>0</v>
      </c>
      <c r="O180" s="928">
        <f>'d3'!O180-'d3-07'!O156</f>
        <v>0</v>
      </c>
      <c r="P180" s="928">
        <f>'d3'!P180-'d3-07'!P156</f>
        <v>50000</v>
      </c>
      <c r="R180" s="198"/>
    </row>
    <row r="181" spans="1:18" ht="47.25" thickTop="1" thickBot="1" x14ac:dyDescent="0.25">
      <c r="A181" s="455" t="s">
        <v>1124</v>
      </c>
      <c r="B181" s="454" t="s">
        <v>908</v>
      </c>
      <c r="C181" s="454"/>
      <c r="D181" s="454" t="s">
        <v>909</v>
      </c>
      <c r="E181" s="928">
        <f>'d3'!E181-'d3-07'!E157</f>
        <v>94140</v>
      </c>
      <c r="F181" s="928">
        <f>'d3'!F181-'d3-07'!F157</f>
        <v>94140</v>
      </c>
      <c r="G181" s="928">
        <f>'d3'!G181-'d3-07'!G157</f>
        <v>0</v>
      </c>
      <c r="H181" s="928">
        <f>'d3'!H181-'d3-07'!H157</f>
        <v>0</v>
      </c>
      <c r="I181" s="928">
        <f>'d3'!I181-'d3-07'!I157</f>
        <v>0</v>
      </c>
      <c r="J181" s="928">
        <f>'d3'!J181-'d3-07'!J157</f>
        <v>-230000</v>
      </c>
      <c r="K181" s="928">
        <f>'d3'!K181-'d3-07'!K157</f>
        <v>-230000</v>
      </c>
      <c r="L181" s="928">
        <f>'d3'!L181-'d3-07'!L157</f>
        <v>0</v>
      </c>
      <c r="M181" s="928">
        <f>'d3'!M181-'d3-07'!M157</f>
        <v>0</v>
      </c>
      <c r="N181" s="928">
        <f>'d3'!N181-'d3-07'!N157</f>
        <v>0</v>
      </c>
      <c r="O181" s="928">
        <f>'d3'!O181-'d3-07'!O157</f>
        <v>-230000</v>
      </c>
      <c r="P181" s="928">
        <f>'d3'!P181-'d3-07'!P157</f>
        <v>-135860</v>
      </c>
      <c r="R181" s="198"/>
    </row>
    <row r="182" spans="1:18" ht="136.5" thickTop="1" thickBot="1" x14ac:dyDescent="0.25">
      <c r="A182" s="404" t="s">
        <v>1125</v>
      </c>
      <c r="B182" s="404" t="s">
        <v>850</v>
      </c>
      <c r="C182" s="404"/>
      <c r="D182" s="404" t="s">
        <v>848</v>
      </c>
      <c r="E182" s="928">
        <f>'d3'!E182-'d3-07'!E158</f>
        <v>94140</v>
      </c>
      <c r="F182" s="928">
        <f>'d3'!F182-'d3-07'!F158</f>
        <v>94140</v>
      </c>
      <c r="G182" s="928">
        <f>'d3'!G182-'d3-07'!G158</f>
        <v>0</v>
      </c>
      <c r="H182" s="928">
        <f>'d3'!H182-'d3-07'!H158</f>
        <v>0</v>
      </c>
      <c r="I182" s="928">
        <f>'d3'!I182-'d3-07'!I158</f>
        <v>0</v>
      </c>
      <c r="J182" s="928">
        <f>'d3'!J182-'d3-07'!J158</f>
        <v>-230000</v>
      </c>
      <c r="K182" s="928">
        <f>'d3'!K182-'d3-07'!K158</f>
        <v>-230000</v>
      </c>
      <c r="L182" s="928">
        <f>'d3'!L182-'d3-07'!L158</f>
        <v>0</v>
      </c>
      <c r="M182" s="928">
        <f>'d3'!M182-'d3-07'!M158</f>
        <v>0</v>
      </c>
      <c r="N182" s="928">
        <f>'d3'!N182-'d3-07'!N158</f>
        <v>0</v>
      </c>
      <c r="O182" s="928">
        <f>'d3'!O182-'d3-07'!O158</f>
        <v>-230000</v>
      </c>
      <c r="P182" s="928">
        <f>'d3'!P182-'d3-07'!P158</f>
        <v>-135860</v>
      </c>
      <c r="R182" s="198"/>
    </row>
    <row r="183" spans="1:18" ht="93" thickTop="1" thickBot="1" x14ac:dyDescent="0.25">
      <c r="A183" s="365" t="s">
        <v>1378</v>
      </c>
      <c r="B183" s="365" t="s">
        <v>1379</v>
      </c>
      <c r="C183" s="365"/>
      <c r="D183" s="365" t="s">
        <v>1377</v>
      </c>
      <c r="E183" s="928">
        <f>'d3'!E183-'d3-07'!E159</f>
        <v>94140</v>
      </c>
      <c r="F183" s="928">
        <f>'d3'!F183-'d3-07'!F159</f>
        <v>94140</v>
      </c>
      <c r="G183" s="928">
        <f>'d3'!G183-'d3-07'!G159</f>
        <v>0</v>
      </c>
      <c r="H183" s="928">
        <f>'d3'!H183-'d3-07'!H159</f>
        <v>0</v>
      </c>
      <c r="I183" s="928">
        <f>'d3'!I183-'d3-07'!I159</f>
        <v>0</v>
      </c>
      <c r="J183" s="928">
        <f>'d3'!J183-'d3-07'!J159</f>
        <v>0</v>
      </c>
      <c r="K183" s="928">
        <f>'d3'!K183-'d3-07'!K159</f>
        <v>0</v>
      </c>
      <c r="L183" s="928">
        <f>'d3'!L183-'d3-07'!L159</f>
        <v>0</v>
      </c>
      <c r="M183" s="928">
        <f>'d3'!M183-'d3-07'!M159</f>
        <v>0</v>
      </c>
      <c r="N183" s="928">
        <f>'d3'!N183-'d3-07'!N159</f>
        <v>0</v>
      </c>
      <c r="O183" s="928">
        <f>'d3'!O183-'d3-07'!O159</f>
        <v>0</v>
      </c>
      <c r="P183" s="928">
        <f>'d3'!P183-'d3-07'!P159</f>
        <v>94140</v>
      </c>
      <c r="R183" s="198"/>
    </row>
    <row r="184" spans="1:18" ht="153" customHeight="1" thickTop="1" thickBot="1" x14ac:dyDescent="0.25">
      <c r="A184" s="921" t="s">
        <v>1381</v>
      </c>
      <c r="B184" s="921" t="s">
        <v>1382</v>
      </c>
      <c r="C184" s="921" t="s">
        <v>231</v>
      </c>
      <c r="D184" s="921" t="s">
        <v>1380</v>
      </c>
      <c r="E184" s="928">
        <f>'d3'!E184-'d3-07'!E160</f>
        <v>94140</v>
      </c>
      <c r="F184" s="928">
        <f>'d3'!F184-'d3-07'!F160</f>
        <v>94140</v>
      </c>
      <c r="G184" s="928">
        <f>'d3'!G184-'d3-07'!G160</f>
        <v>0</v>
      </c>
      <c r="H184" s="928">
        <f>'d3'!H184-'d3-07'!H160</f>
        <v>0</v>
      </c>
      <c r="I184" s="928">
        <f>'d3'!I184-'d3-07'!I160</f>
        <v>0</v>
      </c>
      <c r="J184" s="928">
        <f>'d3'!J184-'d3-07'!J160</f>
        <v>0</v>
      </c>
      <c r="K184" s="928">
        <f>'d3'!K184-'d3-07'!K160</f>
        <v>0</v>
      </c>
      <c r="L184" s="928">
        <f>'d3'!L184-'d3-07'!L160</f>
        <v>0</v>
      </c>
      <c r="M184" s="928">
        <f>'d3'!M184-'d3-07'!M160</f>
        <v>0</v>
      </c>
      <c r="N184" s="928">
        <f>'d3'!N184-'d3-07'!N160</f>
        <v>0</v>
      </c>
      <c r="O184" s="928">
        <f>'d3'!O184-'d3-07'!O160</f>
        <v>0</v>
      </c>
      <c r="P184" s="928">
        <f>'d3'!P184-'d3-07'!P160</f>
        <v>94140</v>
      </c>
      <c r="R184" s="198"/>
    </row>
    <row r="185" spans="1:18" ht="93" thickTop="1" thickBot="1" x14ac:dyDescent="0.25">
      <c r="A185" s="921" t="s">
        <v>1126</v>
      </c>
      <c r="B185" s="921" t="s">
        <v>215</v>
      </c>
      <c r="C185" s="921" t="s">
        <v>184</v>
      </c>
      <c r="D185" s="921" t="s">
        <v>36</v>
      </c>
      <c r="E185" s="928">
        <f>'d3'!E185-'d3-07'!E161</f>
        <v>0</v>
      </c>
      <c r="F185" s="928">
        <f>'d3'!F185-'d3-07'!F161</f>
        <v>0</v>
      </c>
      <c r="G185" s="928">
        <f>'d3'!G185-'d3-07'!G161</f>
        <v>0</v>
      </c>
      <c r="H185" s="928">
        <f>'d3'!H185-'d3-07'!H161</f>
        <v>0</v>
      </c>
      <c r="I185" s="928">
        <f>'d3'!I185-'d3-07'!I161</f>
        <v>0</v>
      </c>
      <c r="J185" s="928">
        <f>'d3'!J185-'d3-07'!J161</f>
        <v>-230000</v>
      </c>
      <c r="K185" s="928">
        <f>'d3'!K185-'d3-07'!K161</f>
        <v>-230000</v>
      </c>
      <c r="L185" s="928">
        <f>'d3'!L185-'d3-07'!L161</f>
        <v>0</v>
      </c>
      <c r="M185" s="928">
        <f>'d3'!M185-'d3-07'!M161</f>
        <v>0</v>
      </c>
      <c r="N185" s="928">
        <f>'d3'!N185-'d3-07'!N161</f>
        <v>0</v>
      </c>
      <c r="O185" s="928">
        <f>'d3'!O185-'d3-07'!O161</f>
        <v>-230000</v>
      </c>
      <c r="P185" s="928">
        <f>'d3'!P185-'d3-07'!P161</f>
        <v>-230000</v>
      </c>
      <c r="R185" s="930" t="b">
        <f>K185='d6'!J156+'d6'!J157</f>
        <v>0</v>
      </c>
    </row>
    <row r="186" spans="1:18" ht="47.25" thickTop="1" thickBot="1" x14ac:dyDescent="0.25">
      <c r="A186" s="455" t="s">
        <v>921</v>
      </c>
      <c r="B186" s="455" t="s">
        <v>861</v>
      </c>
      <c r="C186" s="455"/>
      <c r="D186" s="455" t="s">
        <v>862</v>
      </c>
      <c r="E186" s="928">
        <f>'d3'!E186-'d3-07'!E162</f>
        <v>0</v>
      </c>
      <c r="F186" s="928">
        <f>'d3'!F186-'d3-07'!F162</f>
        <v>0</v>
      </c>
      <c r="G186" s="928">
        <f>'d3'!G186-'d3-07'!G162</f>
        <v>0</v>
      </c>
      <c r="H186" s="928">
        <f>'d3'!H186-'d3-07'!H162</f>
        <v>0</v>
      </c>
      <c r="I186" s="928">
        <f>'d3'!I186-'d3-07'!I162</f>
        <v>0</v>
      </c>
      <c r="J186" s="928">
        <f>'d3'!J186-'d3-07'!J162</f>
        <v>0</v>
      </c>
      <c r="K186" s="928">
        <f>'d3'!K186-'d3-07'!K162</f>
        <v>0</v>
      </c>
      <c r="L186" s="928">
        <f>'d3'!L186-'d3-07'!L162</f>
        <v>0</v>
      </c>
      <c r="M186" s="928">
        <f>'d3'!M186-'d3-07'!M162</f>
        <v>0</v>
      </c>
      <c r="N186" s="928">
        <f>'d3'!N186-'d3-07'!N162</f>
        <v>0</v>
      </c>
      <c r="O186" s="928">
        <f>'d3'!O186-'d3-07'!O162</f>
        <v>0</v>
      </c>
      <c r="P186" s="928">
        <f>'d3'!P186-'d3-07'!P162</f>
        <v>0</v>
      </c>
      <c r="R186" s="198"/>
    </row>
    <row r="187" spans="1:18" ht="271.5" thickTop="1" thickBot="1" x14ac:dyDescent="0.25">
      <c r="A187" s="404" t="s">
        <v>922</v>
      </c>
      <c r="B187" s="404" t="s">
        <v>864</v>
      </c>
      <c r="C187" s="404"/>
      <c r="D187" s="404" t="s">
        <v>865</v>
      </c>
      <c r="E187" s="928">
        <f>'d3'!E187-'d3-07'!E163</f>
        <v>0</v>
      </c>
      <c r="F187" s="928">
        <f>'d3'!F187-'d3-07'!F163</f>
        <v>0</v>
      </c>
      <c r="G187" s="928">
        <f>'d3'!G187-'d3-07'!G163</f>
        <v>0</v>
      </c>
      <c r="H187" s="928">
        <f>'d3'!H187-'d3-07'!H163</f>
        <v>0</v>
      </c>
      <c r="I187" s="928">
        <f>'d3'!I187-'d3-07'!I163</f>
        <v>0</v>
      </c>
      <c r="J187" s="928">
        <f>'d3'!J187-'d3-07'!J163</f>
        <v>0</v>
      </c>
      <c r="K187" s="928">
        <f>'d3'!K187-'d3-07'!K163</f>
        <v>0</v>
      </c>
      <c r="L187" s="928">
        <f>'d3'!L187-'d3-07'!L163</f>
        <v>0</v>
      </c>
      <c r="M187" s="928">
        <f>'d3'!M187-'d3-07'!M163</f>
        <v>0</v>
      </c>
      <c r="N187" s="928">
        <f>'d3'!N187-'d3-07'!N163</f>
        <v>0</v>
      </c>
      <c r="O187" s="928">
        <f>'d3'!O187-'d3-07'!O163</f>
        <v>0</v>
      </c>
      <c r="P187" s="928">
        <f>'d3'!P187-'d3-07'!P163</f>
        <v>0</v>
      </c>
      <c r="R187" s="198"/>
    </row>
    <row r="188" spans="1:18" ht="93" thickTop="1" thickBot="1" x14ac:dyDescent="0.25">
      <c r="A188" s="921" t="s">
        <v>715</v>
      </c>
      <c r="B188" s="921" t="s">
        <v>389</v>
      </c>
      <c r="C188" s="921" t="s">
        <v>45</v>
      </c>
      <c r="D188" s="921" t="s">
        <v>390</v>
      </c>
      <c r="E188" s="928">
        <f>'d3'!E188-'d3-07'!E164</f>
        <v>0</v>
      </c>
      <c r="F188" s="928">
        <f>'d3'!F188-'d3-07'!F164</f>
        <v>0</v>
      </c>
      <c r="G188" s="928">
        <f>'d3'!G188-'d3-07'!G164</f>
        <v>0</v>
      </c>
      <c r="H188" s="928">
        <f>'d3'!H188-'d3-07'!H164</f>
        <v>0</v>
      </c>
      <c r="I188" s="928">
        <f>'d3'!I188-'d3-07'!I164</f>
        <v>0</v>
      </c>
      <c r="J188" s="928">
        <f>'d3'!J188-'d3-07'!J164</f>
        <v>0</v>
      </c>
      <c r="K188" s="928">
        <f>'d3'!K188-'d3-07'!K164</f>
        <v>0</v>
      </c>
      <c r="L188" s="928">
        <f>'d3'!L188-'d3-07'!L164</f>
        <v>0</v>
      </c>
      <c r="M188" s="928">
        <f>'d3'!M188-'d3-07'!M164</f>
        <v>0</v>
      </c>
      <c r="N188" s="928">
        <f>'d3'!N188-'d3-07'!N164</f>
        <v>0</v>
      </c>
      <c r="O188" s="928">
        <f>'d3'!O188-'d3-07'!O164</f>
        <v>0</v>
      </c>
      <c r="P188" s="928">
        <f>'d3'!P188-'d3-07'!P164</f>
        <v>0</v>
      </c>
      <c r="R188" s="198"/>
    </row>
    <row r="189" spans="1:18" ht="136.5" thickTop="1" thickBot="1" x14ac:dyDescent="0.25">
      <c r="A189" s="853" t="s">
        <v>22</v>
      </c>
      <c r="B189" s="853"/>
      <c r="C189" s="853"/>
      <c r="D189" s="854" t="s">
        <v>23</v>
      </c>
      <c r="E189" s="855">
        <f>E190</f>
        <v>3880533</v>
      </c>
      <c r="F189" s="856">
        <f t="shared" ref="F189:G189" si="26">F190</f>
        <v>3880533</v>
      </c>
      <c r="G189" s="856">
        <f t="shared" si="26"/>
        <v>-1655</v>
      </c>
      <c r="H189" s="856">
        <f>H190</f>
        <v>357860</v>
      </c>
      <c r="I189" s="856">
        <f t="shared" ref="I189" si="27">I190</f>
        <v>0</v>
      </c>
      <c r="J189" s="855">
        <f>J190</f>
        <v>3517420</v>
      </c>
      <c r="K189" s="856">
        <f>K190</f>
        <v>3517420</v>
      </c>
      <c r="L189" s="856">
        <f>L190</f>
        <v>-34800</v>
      </c>
      <c r="M189" s="856">
        <f t="shared" ref="M189" si="28">M190</f>
        <v>0</v>
      </c>
      <c r="N189" s="856">
        <f>N190</f>
        <v>0</v>
      </c>
      <c r="O189" s="855">
        <f>O190</f>
        <v>3552220</v>
      </c>
      <c r="P189" s="856">
        <f t="shared" ref="P189" si="29">P190</f>
        <v>7397953</v>
      </c>
    </row>
    <row r="190" spans="1:18" ht="136.5" thickTop="1" thickBot="1" x14ac:dyDescent="0.25">
      <c r="A190" s="857" t="s">
        <v>21</v>
      </c>
      <c r="B190" s="857"/>
      <c r="C190" s="857"/>
      <c r="D190" s="858" t="s">
        <v>37</v>
      </c>
      <c r="E190" s="859">
        <f>E191+E197+E210+E213</f>
        <v>3880533</v>
      </c>
      <c r="F190" s="859">
        <f t="shared" ref="F190:I190" si="30">F191+F197+F210+F213</f>
        <v>3880533</v>
      </c>
      <c r="G190" s="859">
        <f t="shared" si="30"/>
        <v>-1655</v>
      </c>
      <c r="H190" s="859">
        <f t="shared" si="30"/>
        <v>357860</v>
      </c>
      <c r="I190" s="859">
        <f t="shared" si="30"/>
        <v>0</v>
      </c>
      <c r="J190" s="859">
        <f>L190+O190</f>
        <v>3517420</v>
      </c>
      <c r="K190" s="859">
        <f t="shared" ref="K190:N190" si="31">K191+K197+K210+K213</f>
        <v>3517420</v>
      </c>
      <c r="L190" s="859">
        <f t="shared" si="31"/>
        <v>-34800</v>
      </c>
      <c r="M190" s="859">
        <f t="shared" si="31"/>
        <v>0</v>
      </c>
      <c r="N190" s="859">
        <f t="shared" si="31"/>
        <v>0</v>
      </c>
      <c r="O190" s="859">
        <f>O191+O197+O210+O213</f>
        <v>3552220</v>
      </c>
      <c r="P190" s="859">
        <f>E190+J190</f>
        <v>7397953</v>
      </c>
      <c r="Q190" s="125" t="b">
        <f>P190=P193+P195+P196+P199+P200+P202+P204+P205+P207+P208+P209+P212+P218+P216</f>
        <v>1</v>
      </c>
      <c r="R190" s="930" t="b">
        <f>K190='d6'!J159</f>
        <v>0</v>
      </c>
    </row>
    <row r="191" spans="1:18" ht="91.5" thickTop="1" thickBot="1" x14ac:dyDescent="0.25">
      <c r="A191" s="455" t="s">
        <v>923</v>
      </c>
      <c r="B191" s="455" t="s">
        <v>870</v>
      </c>
      <c r="C191" s="455"/>
      <c r="D191" s="455" t="s">
        <v>871</v>
      </c>
      <c r="E191" s="928">
        <f>'d3'!E191-'d3-07'!E167</f>
        <v>223685</v>
      </c>
      <c r="F191" s="928">
        <f>'d3'!F191-'d3-07'!F167</f>
        <v>223685</v>
      </c>
      <c r="G191" s="928">
        <f>'d3'!G191-'d3-07'!G167</f>
        <v>10000</v>
      </c>
      <c r="H191" s="928">
        <f>'d3'!H191-'d3-07'!H167</f>
        <v>18550</v>
      </c>
      <c r="I191" s="928">
        <f>'d3'!I191-'d3-07'!I167</f>
        <v>0</v>
      </c>
      <c r="J191" s="928">
        <f>'d3'!J191-'d3-07'!J167</f>
        <v>0</v>
      </c>
      <c r="K191" s="928">
        <f>'d3'!K191-'d3-07'!K167</f>
        <v>0</v>
      </c>
      <c r="L191" s="928">
        <f>'d3'!L191-'d3-07'!L167</f>
        <v>0</v>
      </c>
      <c r="M191" s="928">
        <f>'d3'!M191-'d3-07'!M167</f>
        <v>0</v>
      </c>
      <c r="N191" s="928">
        <f>'d3'!N191-'d3-07'!N167</f>
        <v>0</v>
      </c>
      <c r="O191" s="928">
        <f>'d3'!O191-'d3-07'!O167</f>
        <v>0</v>
      </c>
      <c r="P191" s="928">
        <f>'d3'!P191-'d3-07'!P167</f>
        <v>223685</v>
      </c>
      <c r="Q191" s="125"/>
      <c r="R191" s="930"/>
    </row>
    <row r="192" spans="1:18" s="39" customFormat="1" ht="138.75" thickTop="1" thickBot="1" x14ac:dyDescent="0.25">
      <c r="A192" s="365" t="s">
        <v>924</v>
      </c>
      <c r="B192" s="365" t="s">
        <v>925</v>
      </c>
      <c r="C192" s="365"/>
      <c r="D192" s="365" t="s">
        <v>926</v>
      </c>
      <c r="E192" s="928">
        <f>'d3'!E192-'d3-07'!E168</f>
        <v>42435</v>
      </c>
      <c r="F192" s="928">
        <f>'d3'!F192-'d3-07'!F168</f>
        <v>42435</v>
      </c>
      <c r="G192" s="928">
        <f>'d3'!G192-'d3-07'!G168</f>
        <v>0</v>
      </c>
      <c r="H192" s="928">
        <f>'d3'!H192-'d3-07'!H168</f>
        <v>-12700</v>
      </c>
      <c r="I192" s="928">
        <f>'d3'!I192-'d3-07'!I168</f>
        <v>0</v>
      </c>
      <c r="J192" s="928">
        <f>'d3'!J192-'d3-07'!J168</f>
        <v>0</v>
      </c>
      <c r="K192" s="928">
        <f>'d3'!K192-'d3-07'!K168</f>
        <v>0</v>
      </c>
      <c r="L192" s="928">
        <f>'d3'!L192-'d3-07'!L168</f>
        <v>0</v>
      </c>
      <c r="M192" s="928">
        <f>'d3'!M192-'d3-07'!M168</f>
        <v>0</v>
      </c>
      <c r="N192" s="928">
        <f>'d3'!N192-'d3-07'!N168</f>
        <v>0</v>
      </c>
      <c r="O192" s="928">
        <f>'d3'!O192-'d3-07'!O168</f>
        <v>0</v>
      </c>
      <c r="P192" s="928">
        <f>'d3'!P192-'d3-07'!P168</f>
        <v>42435</v>
      </c>
      <c r="Q192" s="461"/>
      <c r="R192" s="453"/>
    </row>
    <row r="193" spans="1:18" ht="138.75" thickTop="1" thickBot="1" x14ac:dyDescent="0.25">
      <c r="A193" s="921" t="s">
        <v>201</v>
      </c>
      <c r="B193" s="921" t="s">
        <v>202</v>
      </c>
      <c r="C193" s="921" t="s">
        <v>203</v>
      </c>
      <c r="D193" s="921" t="s">
        <v>796</v>
      </c>
      <c r="E193" s="928">
        <f>'d3'!E193-'d3-07'!E169</f>
        <v>42435</v>
      </c>
      <c r="F193" s="928">
        <f>'d3'!F193-'d3-07'!F169</f>
        <v>42435</v>
      </c>
      <c r="G193" s="928">
        <f>'d3'!G193-'d3-07'!G169</f>
        <v>0</v>
      </c>
      <c r="H193" s="928">
        <f>'d3'!H193-'d3-07'!H169</f>
        <v>-12700</v>
      </c>
      <c r="I193" s="928">
        <f>'d3'!I193-'d3-07'!I169</f>
        <v>0</v>
      </c>
      <c r="J193" s="928">
        <f>'d3'!J193-'d3-07'!J169</f>
        <v>0</v>
      </c>
      <c r="K193" s="928">
        <f>'d3'!K193-'d3-07'!K169</f>
        <v>0</v>
      </c>
      <c r="L193" s="928">
        <f>'d3'!L193-'d3-07'!L169</f>
        <v>0</v>
      </c>
      <c r="M193" s="928">
        <f>'d3'!M193-'d3-07'!M169</f>
        <v>0</v>
      </c>
      <c r="N193" s="928">
        <f>'d3'!N193-'d3-07'!N169</f>
        <v>0</v>
      </c>
      <c r="O193" s="928">
        <f>'d3'!O193-'d3-07'!O169</f>
        <v>0</v>
      </c>
      <c r="P193" s="928">
        <f>'d3'!P193-'d3-07'!P169</f>
        <v>42435</v>
      </c>
      <c r="Q193" s="198"/>
      <c r="R193" s="198"/>
    </row>
    <row r="194" spans="1:18" s="39" customFormat="1" ht="93" thickTop="1" thickBot="1" x14ac:dyDescent="0.25">
      <c r="A194" s="365" t="s">
        <v>927</v>
      </c>
      <c r="B194" s="365" t="s">
        <v>928</v>
      </c>
      <c r="C194" s="365"/>
      <c r="D194" s="365" t="s">
        <v>929</v>
      </c>
      <c r="E194" s="928">
        <f>'d3'!E194-'d3-07'!E170</f>
        <v>181250</v>
      </c>
      <c r="F194" s="928">
        <f>'d3'!F194-'d3-07'!F170</f>
        <v>181250</v>
      </c>
      <c r="G194" s="928">
        <f>'d3'!G194-'d3-07'!G170</f>
        <v>10000</v>
      </c>
      <c r="H194" s="928">
        <f>'d3'!H194-'d3-07'!H170</f>
        <v>31250</v>
      </c>
      <c r="I194" s="928">
        <f>'d3'!I194-'d3-07'!I170</f>
        <v>0</v>
      </c>
      <c r="J194" s="928">
        <f>'d3'!J194-'d3-07'!J170</f>
        <v>0</v>
      </c>
      <c r="K194" s="928">
        <f>'d3'!K194-'d3-07'!K170</f>
        <v>0</v>
      </c>
      <c r="L194" s="928">
        <f>'d3'!L194-'d3-07'!L170</f>
        <v>0</v>
      </c>
      <c r="M194" s="928">
        <f>'d3'!M194-'d3-07'!M170</f>
        <v>0</v>
      </c>
      <c r="N194" s="928">
        <f>'d3'!N194-'d3-07'!N170</f>
        <v>0</v>
      </c>
      <c r="O194" s="928">
        <f>'d3'!O194-'d3-07'!O170</f>
        <v>0</v>
      </c>
      <c r="P194" s="928">
        <f>'d3'!P194-'d3-07'!P170</f>
        <v>181250</v>
      </c>
      <c r="Q194" s="447"/>
      <c r="R194" s="447"/>
    </row>
    <row r="195" spans="1:18" s="501" customFormat="1" ht="93" thickTop="1" thickBot="1" x14ac:dyDescent="0.25">
      <c r="A195" s="921" t="s">
        <v>207</v>
      </c>
      <c r="B195" s="921" t="s">
        <v>208</v>
      </c>
      <c r="C195" s="921" t="s">
        <v>203</v>
      </c>
      <c r="D195" s="921" t="s">
        <v>10</v>
      </c>
      <c r="E195" s="928">
        <f>'d3'!E195-'d3-07'!E171</f>
        <v>29165</v>
      </c>
      <c r="F195" s="928">
        <f>'d3'!F195-'d3-07'!F171</f>
        <v>29165</v>
      </c>
      <c r="G195" s="928">
        <f>'d3'!G195-'d3-07'!G171</f>
        <v>0</v>
      </c>
      <c r="H195" s="928">
        <f>'d3'!H195-'d3-07'!H171</f>
        <v>29165</v>
      </c>
      <c r="I195" s="928">
        <f>'d3'!I195-'d3-07'!I171</f>
        <v>0</v>
      </c>
      <c r="J195" s="928">
        <f>'d3'!J195-'d3-07'!J171</f>
        <v>0</v>
      </c>
      <c r="K195" s="928">
        <f>'d3'!K195-'d3-07'!K171</f>
        <v>0</v>
      </c>
      <c r="L195" s="928">
        <f>'d3'!L195-'d3-07'!L171</f>
        <v>0</v>
      </c>
      <c r="M195" s="928">
        <f>'d3'!M195-'d3-07'!M171</f>
        <v>0</v>
      </c>
      <c r="N195" s="928">
        <f>'d3'!N195-'d3-07'!N171</f>
        <v>0</v>
      </c>
      <c r="O195" s="928">
        <f>'d3'!O195-'d3-07'!O171</f>
        <v>0</v>
      </c>
      <c r="P195" s="928">
        <f>'d3'!P195-'d3-07'!P171</f>
        <v>29165</v>
      </c>
      <c r="Q195" s="499"/>
      <c r="R195" s="502" t="b">
        <f>K195='d6'!J161+'d6'!J160</f>
        <v>0</v>
      </c>
    </row>
    <row r="196" spans="1:18" s="505" customFormat="1" ht="93" thickTop="1" thickBot="1" x14ac:dyDescent="0.25">
      <c r="A196" s="921" t="s">
        <v>377</v>
      </c>
      <c r="B196" s="921" t="s">
        <v>378</v>
      </c>
      <c r="C196" s="921" t="s">
        <v>203</v>
      </c>
      <c r="D196" s="921" t="s">
        <v>379</v>
      </c>
      <c r="E196" s="928">
        <f>'d3'!E196-'d3-07'!E172</f>
        <v>152085</v>
      </c>
      <c r="F196" s="928">
        <f>'d3'!F196-'d3-07'!F172</f>
        <v>152085</v>
      </c>
      <c r="G196" s="928">
        <f>'d3'!G196-'d3-07'!G172</f>
        <v>10000</v>
      </c>
      <c r="H196" s="928">
        <f>'d3'!H196-'d3-07'!H172</f>
        <v>2085</v>
      </c>
      <c r="I196" s="928">
        <f>'d3'!I196-'d3-07'!I172</f>
        <v>0</v>
      </c>
      <c r="J196" s="928">
        <f>'d3'!J196-'d3-07'!J172</f>
        <v>0</v>
      </c>
      <c r="K196" s="928">
        <f>'d3'!K196-'d3-07'!K172</f>
        <v>0</v>
      </c>
      <c r="L196" s="928">
        <f>'d3'!L196-'d3-07'!L172</f>
        <v>0</v>
      </c>
      <c r="M196" s="928">
        <f>'d3'!M196-'d3-07'!M172</f>
        <v>0</v>
      </c>
      <c r="N196" s="928">
        <f>'d3'!N196-'d3-07'!N172</f>
        <v>0</v>
      </c>
      <c r="O196" s="928">
        <f>'d3'!O196-'d3-07'!O172</f>
        <v>0</v>
      </c>
      <c r="P196" s="928">
        <f>'d3'!P196-'d3-07'!P172</f>
        <v>152085</v>
      </c>
      <c r="Q196" s="503"/>
      <c r="R196" s="504"/>
    </row>
    <row r="197" spans="1:18" ht="47.25" thickTop="1" thickBot="1" x14ac:dyDescent="0.25">
      <c r="A197" s="455" t="s">
        <v>930</v>
      </c>
      <c r="B197" s="455" t="s">
        <v>931</v>
      </c>
      <c r="C197" s="921"/>
      <c r="D197" s="455" t="s">
        <v>932</v>
      </c>
      <c r="E197" s="928">
        <f>'d3'!E197-'d3-07'!E173</f>
        <v>3656848</v>
      </c>
      <c r="F197" s="928">
        <f>'d3'!F197-'d3-07'!F173</f>
        <v>3656848</v>
      </c>
      <c r="G197" s="928">
        <f>'d3'!G197-'d3-07'!G173</f>
        <v>-11655</v>
      </c>
      <c r="H197" s="928">
        <f>'d3'!H197-'d3-07'!H173</f>
        <v>339310</v>
      </c>
      <c r="I197" s="928">
        <f>'d3'!I197-'d3-07'!I173</f>
        <v>0</v>
      </c>
      <c r="J197" s="928">
        <f>'d3'!J197-'d3-07'!J173</f>
        <v>3317420</v>
      </c>
      <c r="K197" s="928">
        <f>'d3'!K197-'d3-07'!K173</f>
        <v>3317420</v>
      </c>
      <c r="L197" s="928">
        <f>'d3'!L197-'d3-07'!L173</f>
        <v>-34800</v>
      </c>
      <c r="M197" s="928">
        <f>'d3'!M197-'d3-07'!M173</f>
        <v>0</v>
      </c>
      <c r="N197" s="928">
        <f>'d3'!N197-'d3-07'!N173</f>
        <v>0</v>
      </c>
      <c r="O197" s="928">
        <f>'d3'!O197-'d3-07'!O173</f>
        <v>3352220</v>
      </c>
      <c r="P197" s="928">
        <f>'d3'!P197-'d3-07'!P173</f>
        <v>6974268</v>
      </c>
      <c r="R197" s="930"/>
    </row>
    <row r="198" spans="1:18" s="39" customFormat="1" ht="93" thickTop="1" thickBot="1" x14ac:dyDescent="0.25">
      <c r="A198" s="365" t="s">
        <v>933</v>
      </c>
      <c r="B198" s="365" t="s">
        <v>934</v>
      </c>
      <c r="C198" s="365"/>
      <c r="D198" s="365" t="s">
        <v>935</v>
      </c>
      <c r="E198" s="928">
        <f>'d3'!E198-'d3-07'!E174</f>
        <v>2900000</v>
      </c>
      <c r="F198" s="928">
        <f>'d3'!F198-'d3-07'!F174</f>
        <v>2900000</v>
      </c>
      <c r="G198" s="928">
        <f>'d3'!G198-'d3-07'!G174</f>
        <v>0</v>
      </c>
      <c r="H198" s="928">
        <f>'d3'!H198-'d3-07'!H174</f>
        <v>0</v>
      </c>
      <c r="I198" s="928">
        <f>'d3'!I198-'d3-07'!I174</f>
        <v>0</v>
      </c>
      <c r="J198" s="928">
        <f>'d3'!J198-'d3-07'!J174</f>
        <v>0</v>
      </c>
      <c r="K198" s="928">
        <f>'d3'!K198-'d3-07'!K174</f>
        <v>0</v>
      </c>
      <c r="L198" s="928">
        <f>'d3'!L198-'d3-07'!L174</f>
        <v>0</v>
      </c>
      <c r="M198" s="928">
        <f>'d3'!M198-'d3-07'!M174</f>
        <v>0</v>
      </c>
      <c r="N198" s="928">
        <f>'d3'!N198-'d3-07'!N174</f>
        <v>0</v>
      </c>
      <c r="O198" s="928">
        <f>'d3'!O198-'d3-07'!O174</f>
        <v>0</v>
      </c>
      <c r="P198" s="928">
        <f>'d3'!P198-'d3-07'!P174</f>
        <v>2900000</v>
      </c>
      <c r="Q198" s="194"/>
      <c r="R198" s="453"/>
    </row>
    <row r="199" spans="1:18" s="501" customFormat="1" ht="138.75" thickTop="1" thickBot="1" x14ac:dyDescent="0.25">
      <c r="A199" s="921" t="s">
        <v>46</v>
      </c>
      <c r="B199" s="921" t="s">
        <v>204</v>
      </c>
      <c r="C199" s="921" t="s">
        <v>213</v>
      </c>
      <c r="D199" s="921" t="s">
        <v>47</v>
      </c>
      <c r="E199" s="928">
        <f>'d3'!E199-'d3-07'!E175</f>
        <v>2400000</v>
      </c>
      <c r="F199" s="928">
        <f>'d3'!F199-'d3-07'!F175</f>
        <v>2400000</v>
      </c>
      <c r="G199" s="928">
        <f>'d3'!G199-'d3-07'!G175</f>
        <v>0</v>
      </c>
      <c r="H199" s="928">
        <f>'d3'!H199-'d3-07'!H175</f>
        <v>0</v>
      </c>
      <c r="I199" s="928">
        <f>'d3'!I199-'d3-07'!I175</f>
        <v>0</v>
      </c>
      <c r="J199" s="928">
        <f>'d3'!J199-'d3-07'!J175</f>
        <v>0</v>
      </c>
      <c r="K199" s="928">
        <f>'d3'!K199-'d3-07'!K175</f>
        <v>0</v>
      </c>
      <c r="L199" s="928">
        <f>'d3'!L199-'d3-07'!L175</f>
        <v>0</v>
      </c>
      <c r="M199" s="928">
        <f>'d3'!M199-'d3-07'!M175</f>
        <v>0</v>
      </c>
      <c r="N199" s="928">
        <f>'d3'!N199-'d3-07'!N175</f>
        <v>0</v>
      </c>
      <c r="O199" s="928">
        <f>'d3'!O199-'d3-07'!O175</f>
        <v>0</v>
      </c>
      <c r="P199" s="928">
        <f>'d3'!P199-'d3-07'!P175</f>
        <v>2400000</v>
      </c>
      <c r="Q199" s="499"/>
      <c r="R199" s="502"/>
    </row>
    <row r="200" spans="1:18" s="501" customFormat="1" ht="138.75" thickTop="1" thickBot="1" x14ac:dyDescent="0.25">
      <c r="A200" s="921" t="s">
        <v>48</v>
      </c>
      <c r="B200" s="921" t="s">
        <v>205</v>
      </c>
      <c r="C200" s="921" t="s">
        <v>213</v>
      </c>
      <c r="D200" s="921" t="s">
        <v>4</v>
      </c>
      <c r="E200" s="928">
        <f>'d3'!E200-'d3-07'!E176</f>
        <v>500000</v>
      </c>
      <c r="F200" s="928">
        <f>'d3'!F200-'d3-07'!F176</f>
        <v>500000</v>
      </c>
      <c r="G200" s="928">
        <f>'d3'!G200-'d3-07'!G176</f>
        <v>0</v>
      </c>
      <c r="H200" s="928">
        <f>'d3'!H200-'d3-07'!H176</f>
        <v>0</v>
      </c>
      <c r="I200" s="928">
        <f>'d3'!I200-'d3-07'!I176</f>
        <v>0</v>
      </c>
      <c r="J200" s="928">
        <f>'d3'!J200-'d3-07'!J176</f>
        <v>0</v>
      </c>
      <c r="K200" s="928">
        <f>'d3'!K200-'d3-07'!K176</f>
        <v>0</v>
      </c>
      <c r="L200" s="928">
        <f>'d3'!L200-'d3-07'!L176</f>
        <v>0</v>
      </c>
      <c r="M200" s="928">
        <f>'d3'!M200-'d3-07'!M176</f>
        <v>0</v>
      </c>
      <c r="N200" s="928">
        <f>'d3'!N200-'d3-07'!N176</f>
        <v>0</v>
      </c>
      <c r="O200" s="928">
        <f>'d3'!O200-'d3-07'!O176</f>
        <v>0</v>
      </c>
      <c r="P200" s="928">
        <f>'d3'!P200-'d3-07'!P176</f>
        <v>500000</v>
      </c>
      <c r="Q200" s="499"/>
      <c r="R200" s="502"/>
    </row>
    <row r="201" spans="1:18" s="39" customFormat="1" ht="184.5" thickTop="1" thickBot="1" x14ac:dyDescent="0.25">
      <c r="A201" s="365" t="s">
        <v>936</v>
      </c>
      <c r="B201" s="365" t="s">
        <v>937</v>
      </c>
      <c r="C201" s="365"/>
      <c r="D201" s="365" t="s">
        <v>938</v>
      </c>
      <c r="E201" s="928">
        <f>'d3'!E201-'d3-07'!E177</f>
        <v>0</v>
      </c>
      <c r="F201" s="928">
        <f>'d3'!F201-'d3-07'!F177</f>
        <v>0</v>
      </c>
      <c r="G201" s="928">
        <f>'d3'!G201-'d3-07'!G177</f>
        <v>0</v>
      </c>
      <c r="H201" s="928">
        <f>'d3'!H201-'d3-07'!H177</f>
        <v>0</v>
      </c>
      <c r="I201" s="928">
        <f>'d3'!I201-'d3-07'!I177</f>
        <v>0</v>
      </c>
      <c r="J201" s="928">
        <f>'d3'!J201-'d3-07'!J177</f>
        <v>0</v>
      </c>
      <c r="K201" s="928">
        <f>'d3'!K201-'d3-07'!K177</f>
        <v>0</v>
      </c>
      <c r="L201" s="928">
        <f>'d3'!L201-'d3-07'!L177</f>
        <v>0</v>
      </c>
      <c r="M201" s="928">
        <f>'d3'!M201-'d3-07'!M177</f>
        <v>0</v>
      </c>
      <c r="N201" s="928">
        <f>'d3'!N201-'d3-07'!N177</f>
        <v>0</v>
      </c>
      <c r="O201" s="928">
        <f>'d3'!O201-'d3-07'!O177</f>
        <v>0</v>
      </c>
      <c r="P201" s="928">
        <f>'d3'!P201-'d3-07'!P177</f>
        <v>0</v>
      </c>
      <c r="Q201" s="194"/>
      <c r="R201" s="452"/>
    </row>
    <row r="202" spans="1:18" s="501" customFormat="1" ht="184.5" thickTop="1" thickBot="1" x14ac:dyDescent="0.25">
      <c r="A202" s="921" t="s">
        <v>49</v>
      </c>
      <c r="B202" s="921" t="s">
        <v>206</v>
      </c>
      <c r="C202" s="921" t="s">
        <v>213</v>
      </c>
      <c r="D202" s="921" t="s">
        <v>375</v>
      </c>
      <c r="E202" s="928">
        <f>'d3'!E202-'d3-07'!E178</f>
        <v>0</v>
      </c>
      <c r="F202" s="928">
        <f>'d3'!F202-'d3-07'!F178</f>
        <v>0</v>
      </c>
      <c r="G202" s="928">
        <f>'d3'!G202-'d3-07'!G178</f>
        <v>0</v>
      </c>
      <c r="H202" s="928">
        <f>'d3'!H202-'d3-07'!H178</f>
        <v>0</v>
      </c>
      <c r="I202" s="928">
        <f>'d3'!I202-'d3-07'!I178</f>
        <v>0</v>
      </c>
      <c r="J202" s="928">
        <f>'d3'!J202-'d3-07'!J178</f>
        <v>0</v>
      </c>
      <c r="K202" s="928">
        <f>'d3'!K202-'d3-07'!K178</f>
        <v>0</v>
      </c>
      <c r="L202" s="928">
        <f>'d3'!L202-'d3-07'!L178</f>
        <v>0</v>
      </c>
      <c r="M202" s="928">
        <f>'d3'!M202-'d3-07'!M178</f>
        <v>0</v>
      </c>
      <c r="N202" s="928">
        <f>'d3'!N202-'d3-07'!N178</f>
        <v>0</v>
      </c>
      <c r="O202" s="928">
        <f>'d3'!O202-'d3-07'!O178</f>
        <v>0</v>
      </c>
      <c r="P202" s="928">
        <f>'d3'!P202-'d3-07'!P178</f>
        <v>0</v>
      </c>
      <c r="Q202" s="499"/>
      <c r="R202" s="502"/>
    </row>
    <row r="203" spans="1:18" ht="93" thickTop="1" thickBot="1" x14ac:dyDescent="0.25">
      <c r="A203" s="365" t="s">
        <v>939</v>
      </c>
      <c r="B203" s="365" t="s">
        <v>940</v>
      </c>
      <c r="C203" s="365"/>
      <c r="D203" s="365" t="s">
        <v>941</v>
      </c>
      <c r="E203" s="928">
        <f>'d3'!E203-'d3-07'!E179</f>
        <v>756848</v>
      </c>
      <c r="F203" s="928">
        <f>'d3'!F203-'d3-07'!F179</f>
        <v>756848</v>
      </c>
      <c r="G203" s="928">
        <f>'d3'!G203-'d3-07'!G179</f>
        <v>0</v>
      </c>
      <c r="H203" s="928">
        <f>'d3'!H203-'d3-07'!H179</f>
        <v>339310</v>
      </c>
      <c r="I203" s="928">
        <f>'d3'!I203-'d3-07'!I179</f>
        <v>0</v>
      </c>
      <c r="J203" s="928">
        <f>'d3'!J203-'d3-07'!J179</f>
        <v>3317420</v>
      </c>
      <c r="K203" s="928">
        <f>'d3'!K203-'d3-07'!K179</f>
        <v>3317420</v>
      </c>
      <c r="L203" s="928">
        <f>'d3'!L203-'d3-07'!L179</f>
        <v>-34800</v>
      </c>
      <c r="M203" s="928">
        <f>'d3'!M203-'d3-07'!M179</f>
        <v>0</v>
      </c>
      <c r="N203" s="928">
        <f>'d3'!N203-'d3-07'!N179</f>
        <v>0</v>
      </c>
      <c r="O203" s="928">
        <f>'d3'!O203-'d3-07'!O179</f>
        <v>3352220</v>
      </c>
      <c r="P203" s="928">
        <f>'d3'!P203-'d3-07'!P179</f>
        <v>4074268</v>
      </c>
      <c r="R203" s="930"/>
    </row>
    <row r="204" spans="1:18" s="501" customFormat="1" ht="184.5" thickTop="1" thickBot="1" x14ac:dyDescent="0.25">
      <c r="A204" s="921" t="s">
        <v>28</v>
      </c>
      <c r="B204" s="921" t="s">
        <v>210</v>
      </c>
      <c r="C204" s="921" t="s">
        <v>213</v>
      </c>
      <c r="D204" s="921" t="s">
        <v>50</v>
      </c>
      <c r="E204" s="928">
        <f>'d3'!E204-'d3-07'!E180</f>
        <v>339310</v>
      </c>
      <c r="F204" s="928">
        <f>'d3'!F204-'d3-07'!F180</f>
        <v>339310</v>
      </c>
      <c r="G204" s="928">
        <f>'d3'!G204-'d3-07'!G180</f>
        <v>0</v>
      </c>
      <c r="H204" s="928">
        <f>'d3'!H204-'d3-07'!H180</f>
        <v>339310</v>
      </c>
      <c r="I204" s="928">
        <f>'d3'!I204-'d3-07'!I180</f>
        <v>0</v>
      </c>
      <c r="J204" s="928">
        <f>'d3'!J204-'d3-07'!J180</f>
        <v>2987420</v>
      </c>
      <c r="K204" s="928">
        <f>'d3'!K204-'d3-07'!K180</f>
        <v>2987420</v>
      </c>
      <c r="L204" s="928">
        <f>'d3'!L204-'d3-07'!L180</f>
        <v>-34800</v>
      </c>
      <c r="M204" s="928">
        <f>'d3'!M204-'d3-07'!M180</f>
        <v>0</v>
      </c>
      <c r="N204" s="928">
        <f>'d3'!N204-'d3-07'!N180</f>
        <v>0</v>
      </c>
      <c r="O204" s="928">
        <f>'d3'!O204-'d3-07'!O180</f>
        <v>3022220</v>
      </c>
      <c r="P204" s="928">
        <f>'d3'!P204-'d3-07'!P180</f>
        <v>3326730</v>
      </c>
      <c r="Q204" s="499"/>
      <c r="R204" s="502" t="b">
        <f>K204='d6'!J162+'d6'!J164+'d6'!J165+'d6'!J166+'d6'!J167+'d6'!J168</f>
        <v>0</v>
      </c>
    </row>
    <row r="205" spans="1:18" s="501" customFormat="1" ht="184.5" thickTop="1" thickBot="1" x14ac:dyDescent="0.25">
      <c r="A205" s="921" t="s">
        <v>29</v>
      </c>
      <c r="B205" s="921" t="s">
        <v>211</v>
      </c>
      <c r="C205" s="921" t="s">
        <v>213</v>
      </c>
      <c r="D205" s="921" t="s">
        <v>51</v>
      </c>
      <c r="E205" s="928">
        <f>'d3'!E205-'d3-07'!E181</f>
        <v>417538</v>
      </c>
      <c r="F205" s="928">
        <f>'d3'!F205-'d3-07'!F181</f>
        <v>417538</v>
      </c>
      <c r="G205" s="928">
        <f>'d3'!G205-'d3-07'!G181</f>
        <v>0</v>
      </c>
      <c r="H205" s="928">
        <f>'d3'!H205-'d3-07'!H181</f>
        <v>0</v>
      </c>
      <c r="I205" s="928">
        <f>'d3'!I205-'d3-07'!I181</f>
        <v>0</v>
      </c>
      <c r="J205" s="928">
        <f>'d3'!J205-'d3-07'!J181</f>
        <v>330000</v>
      </c>
      <c r="K205" s="928">
        <f>'d3'!K205-'d3-07'!K181</f>
        <v>330000</v>
      </c>
      <c r="L205" s="928">
        <f>'d3'!L205-'d3-07'!L181</f>
        <v>0</v>
      </c>
      <c r="M205" s="928">
        <f>'d3'!M205-'d3-07'!M181</f>
        <v>0</v>
      </c>
      <c r="N205" s="928">
        <f>'d3'!N205-'d3-07'!N181</f>
        <v>0</v>
      </c>
      <c r="O205" s="928">
        <f>'d3'!O205-'d3-07'!O181</f>
        <v>330000</v>
      </c>
      <c r="P205" s="928">
        <f>'d3'!P205-'d3-07'!P181</f>
        <v>747538</v>
      </c>
      <c r="Q205" s="499"/>
      <c r="R205" s="502" t="b">
        <f>K205='d6'!J170</f>
        <v>0</v>
      </c>
    </row>
    <row r="206" spans="1:18" ht="93" thickTop="1" thickBot="1" x14ac:dyDescent="0.25">
      <c r="A206" s="466" t="s">
        <v>942</v>
      </c>
      <c r="B206" s="365" t="s">
        <v>943</v>
      </c>
      <c r="C206" s="365"/>
      <c r="D206" s="365" t="s">
        <v>944</v>
      </c>
      <c r="E206" s="928">
        <f>'d3'!E206-'d3-07'!E182</f>
        <v>0</v>
      </c>
      <c r="F206" s="928">
        <f>'d3'!F206-'d3-07'!F182</f>
        <v>0</v>
      </c>
      <c r="G206" s="928">
        <f>'d3'!G206-'d3-07'!G182</f>
        <v>-11655</v>
      </c>
      <c r="H206" s="928">
        <f>'d3'!H206-'d3-07'!H182</f>
        <v>0</v>
      </c>
      <c r="I206" s="928">
        <f>'d3'!I206-'d3-07'!I182</f>
        <v>0</v>
      </c>
      <c r="J206" s="928">
        <f>'d3'!J206-'d3-07'!J182</f>
        <v>0</v>
      </c>
      <c r="K206" s="928">
        <f>'d3'!K206-'d3-07'!K182</f>
        <v>0</v>
      </c>
      <c r="L206" s="928">
        <f>'d3'!L206-'d3-07'!L182</f>
        <v>0</v>
      </c>
      <c r="M206" s="928">
        <f>'d3'!M206-'d3-07'!M182</f>
        <v>0</v>
      </c>
      <c r="N206" s="928">
        <f>'d3'!N206-'d3-07'!N182</f>
        <v>0</v>
      </c>
      <c r="O206" s="928">
        <f>'d3'!O206-'d3-07'!O182</f>
        <v>0</v>
      </c>
      <c r="P206" s="928">
        <f>'d3'!P206-'d3-07'!P182</f>
        <v>0</v>
      </c>
      <c r="R206" s="930"/>
    </row>
    <row r="207" spans="1:18" s="501" customFormat="1" ht="276" thickTop="1" thickBot="1" x14ac:dyDescent="0.25">
      <c r="A207" s="516" t="s">
        <v>30</v>
      </c>
      <c r="B207" s="516" t="s">
        <v>212</v>
      </c>
      <c r="C207" s="516" t="s">
        <v>213</v>
      </c>
      <c r="D207" s="921" t="s">
        <v>31</v>
      </c>
      <c r="E207" s="928">
        <f>'d3'!E207-'d3-07'!E183</f>
        <v>0</v>
      </c>
      <c r="F207" s="928">
        <f>'d3'!F207-'d3-07'!F183</f>
        <v>0</v>
      </c>
      <c r="G207" s="928">
        <f>'d3'!G207-'d3-07'!G183</f>
        <v>0</v>
      </c>
      <c r="H207" s="928">
        <f>'d3'!H207-'d3-07'!H183</f>
        <v>0</v>
      </c>
      <c r="I207" s="928">
        <f>'d3'!I207-'d3-07'!I183</f>
        <v>0</v>
      </c>
      <c r="J207" s="928">
        <f>'d3'!J207-'d3-07'!J183</f>
        <v>0</v>
      </c>
      <c r="K207" s="928">
        <f>'d3'!K207-'d3-07'!K183</f>
        <v>0</v>
      </c>
      <c r="L207" s="928">
        <f>'d3'!L207-'d3-07'!L183</f>
        <v>0</v>
      </c>
      <c r="M207" s="928">
        <f>'d3'!M207-'d3-07'!M183</f>
        <v>0</v>
      </c>
      <c r="N207" s="928">
        <f>'d3'!N207-'d3-07'!N183</f>
        <v>0</v>
      </c>
      <c r="O207" s="928">
        <f>'d3'!O207-'d3-07'!O183</f>
        <v>0</v>
      </c>
      <c r="P207" s="928">
        <f>'d3'!P207-'d3-07'!P183</f>
        <v>0</v>
      </c>
      <c r="Q207" s="499"/>
      <c r="R207" s="502"/>
    </row>
    <row r="208" spans="1:18" s="501" customFormat="1" ht="184.5" thickTop="1" thickBot="1" x14ac:dyDescent="0.25">
      <c r="A208" s="516" t="s">
        <v>559</v>
      </c>
      <c r="B208" s="516" t="s">
        <v>557</v>
      </c>
      <c r="C208" s="516" t="s">
        <v>213</v>
      </c>
      <c r="D208" s="921" t="s">
        <v>558</v>
      </c>
      <c r="E208" s="928">
        <f>'d3'!E208-'d3-07'!E184</f>
        <v>0</v>
      </c>
      <c r="F208" s="928">
        <f>'d3'!F208-'d3-07'!F184</f>
        <v>0</v>
      </c>
      <c r="G208" s="928">
        <f>'d3'!G208-'d3-07'!G184</f>
        <v>0</v>
      </c>
      <c r="H208" s="928">
        <f>'d3'!H208-'d3-07'!H184</f>
        <v>0</v>
      </c>
      <c r="I208" s="928">
        <f>'d3'!I208-'d3-07'!I184</f>
        <v>0</v>
      </c>
      <c r="J208" s="928">
        <f>'d3'!J208-'d3-07'!J184</f>
        <v>0</v>
      </c>
      <c r="K208" s="928">
        <f>'d3'!K208-'d3-07'!K184</f>
        <v>0</v>
      </c>
      <c r="L208" s="928">
        <f>'d3'!L208-'d3-07'!L184</f>
        <v>0</v>
      </c>
      <c r="M208" s="928">
        <f>'d3'!M208-'d3-07'!M184</f>
        <v>0</v>
      </c>
      <c r="N208" s="928">
        <f>'d3'!N208-'d3-07'!N184</f>
        <v>0</v>
      </c>
      <c r="O208" s="928">
        <f>'d3'!O208-'d3-07'!O184</f>
        <v>0</v>
      </c>
      <c r="P208" s="928">
        <f>'d3'!P208-'d3-07'!P184</f>
        <v>0</v>
      </c>
      <c r="Q208" s="499"/>
      <c r="R208" s="502"/>
    </row>
    <row r="209" spans="1:18" s="501" customFormat="1" ht="93" thickTop="1" thickBot="1" x14ac:dyDescent="0.25">
      <c r="A209" s="516" t="s">
        <v>32</v>
      </c>
      <c r="B209" s="516" t="s">
        <v>214</v>
      </c>
      <c r="C209" s="516" t="s">
        <v>213</v>
      </c>
      <c r="D209" s="921" t="s">
        <v>33</v>
      </c>
      <c r="E209" s="928">
        <f>'d3'!E209-'d3-07'!E185</f>
        <v>0</v>
      </c>
      <c r="F209" s="928">
        <f>'d3'!F209-'d3-07'!F185</f>
        <v>0</v>
      </c>
      <c r="G209" s="928">
        <f>'d3'!G209-'d3-07'!G185</f>
        <v>-11655</v>
      </c>
      <c r="H209" s="928">
        <f>'d3'!H209-'d3-07'!H185</f>
        <v>0</v>
      </c>
      <c r="I209" s="928">
        <f>'d3'!I209-'d3-07'!I185</f>
        <v>0</v>
      </c>
      <c r="J209" s="928">
        <f>'d3'!J209-'d3-07'!J185</f>
        <v>0</v>
      </c>
      <c r="K209" s="928">
        <f>'d3'!K209-'d3-07'!K185</f>
        <v>0</v>
      </c>
      <c r="L209" s="928">
        <f>'d3'!L209-'d3-07'!L185</f>
        <v>0</v>
      </c>
      <c r="M209" s="928">
        <f>'d3'!M209-'d3-07'!M185</f>
        <v>0</v>
      </c>
      <c r="N209" s="928">
        <f>'d3'!N209-'d3-07'!N185</f>
        <v>0</v>
      </c>
      <c r="O209" s="928">
        <f>'d3'!O209-'d3-07'!O185</f>
        <v>0</v>
      </c>
      <c r="P209" s="928">
        <f>'d3'!P209-'d3-07'!P185</f>
        <v>0</v>
      </c>
      <c r="Q209" s="499"/>
      <c r="R209" s="502" t="b">
        <f>K209='d6'!J171</f>
        <v>0</v>
      </c>
    </row>
    <row r="210" spans="1:18" ht="91.5" thickTop="1" thickBot="1" x14ac:dyDescent="0.25">
      <c r="A210" s="173" t="s">
        <v>945</v>
      </c>
      <c r="B210" s="173" t="s">
        <v>902</v>
      </c>
      <c r="C210" s="173"/>
      <c r="D210" s="449" t="s">
        <v>903</v>
      </c>
      <c r="E210" s="928">
        <f>'d3'!E210-'d3-07'!E186</f>
        <v>0</v>
      </c>
      <c r="F210" s="928">
        <f>'d3'!F210-'d3-07'!F186</f>
        <v>0</v>
      </c>
      <c r="G210" s="928">
        <f>'d3'!G210-'d3-07'!G186</f>
        <v>0</v>
      </c>
      <c r="H210" s="928">
        <f>'d3'!H210-'d3-07'!H186</f>
        <v>0</v>
      </c>
      <c r="I210" s="928">
        <f>'d3'!I210-'d3-07'!I186</f>
        <v>0</v>
      </c>
      <c r="J210" s="928">
        <f>'d3'!J210-'d3-07'!J186</f>
        <v>0</v>
      </c>
      <c r="K210" s="928">
        <f>'d3'!K210-'d3-07'!K186</f>
        <v>0</v>
      </c>
      <c r="L210" s="928">
        <f>'d3'!L210-'d3-07'!L186</f>
        <v>0</v>
      </c>
      <c r="M210" s="928">
        <f>'d3'!M210-'d3-07'!M186</f>
        <v>0</v>
      </c>
      <c r="N210" s="928">
        <f>'d3'!N210-'d3-07'!N186</f>
        <v>0</v>
      </c>
      <c r="O210" s="928">
        <f>'d3'!O210-'d3-07'!O186</f>
        <v>0</v>
      </c>
      <c r="P210" s="928">
        <f>'d3'!P210-'d3-07'!P186</f>
        <v>0</v>
      </c>
      <c r="R210" s="930"/>
    </row>
    <row r="211" spans="1:18" ht="93" thickTop="1" thickBot="1" x14ac:dyDescent="0.25">
      <c r="A211" s="466" t="s">
        <v>946</v>
      </c>
      <c r="B211" s="466" t="s">
        <v>905</v>
      </c>
      <c r="C211" s="466"/>
      <c r="D211" s="365" t="s">
        <v>906</v>
      </c>
      <c r="E211" s="928">
        <f>'d3'!E211-'d3-07'!E187</f>
        <v>0</v>
      </c>
      <c r="F211" s="928">
        <f>'d3'!F211-'d3-07'!F187</f>
        <v>0</v>
      </c>
      <c r="G211" s="928">
        <f>'d3'!G211-'d3-07'!G187</f>
        <v>0</v>
      </c>
      <c r="H211" s="928">
        <f>'d3'!H211-'d3-07'!H187</f>
        <v>0</v>
      </c>
      <c r="I211" s="928">
        <f>'d3'!I211-'d3-07'!I187</f>
        <v>0</v>
      </c>
      <c r="J211" s="928">
        <f>'d3'!J211-'d3-07'!J187</f>
        <v>0</v>
      </c>
      <c r="K211" s="928">
        <f>'d3'!K211-'d3-07'!K187</f>
        <v>0</v>
      </c>
      <c r="L211" s="928">
        <f>'d3'!L211-'d3-07'!L187</f>
        <v>0</v>
      </c>
      <c r="M211" s="928">
        <f>'d3'!M211-'d3-07'!M187</f>
        <v>0</v>
      </c>
      <c r="N211" s="928">
        <f>'d3'!N211-'d3-07'!N187</f>
        <v>0</v>
      </c>
      <c r="O211" s="928">
        <f>'d3'!O211-'d3-07'!O187</f>
        <v>0</v>
      </c>
      <c r="P211" s="928">
        <f>'d3'!P211-'d3-07'!P187</f>
        <v>0</v>
      </c>
      <c r="R211" s="930"/>
    </row>
    <row r="212" spans="1:18" s="501" customFormat="1" ht="276" thickTop="1" thickBot="1" x14ac:dyDescent="0.25">
      <c r="A212" s="516" t="s">
        <v>367</v>
      </c>
      <c r="B212" s="516" t="s">
        <v>366</v>
      </c>
      <c r="C212" s="516" t="s">
        <v>365</v>
      </c>
      <c r="D212" s="921" t="s">
        <v>797</v>
      </c>
      <c r="E212" s="928">
        <f>'d3'!E212-'d3-07'!E188</f>
        <v>0</v>
      </c>
      <c r="F212" s="928">
        <f>'d3'!F212-'d3-07'!F188</f>
        <v>0</v>
      </c>
      <c r="G212" s="928">
        <f>'d3'!G212-'d3-07'!G188</f>
        <v>0</v>
      </c>
      <c r="H212" s="928">
        <f>'d3'!H212-'d3-07'!H188</f>
        <v>0</v>
      </c>
      <c r="I212" s="928">
        <f>'d3'!I212-'d3-07'!I188</f>
        <v>0</v>
      </c>
      <c r="J212" s="928">
        <f>'d3'!J212-'d3-07'!J188</f>
        <v>0</v>
      </c>
      <c r="K212" s="928">
        <f>'d3'!K212-'d3-07'!K188</f>
        <v>0</v>
      </c>
      <c r="L212" s="928">
        <f>'d3'!L212-'d3-07'!L188</f>
        <v>0</v>
      </c>
      <c r="M212" s="928">
        <f>'d3'!M212-'d3-07'!M188</f>
        <v>0</v>
      </c>
      <c r="N212" s="928">
        <f>'d3'!N212-'d3-07'!N188</f>
        <v>0</v>
      </c>
      <c r="O212" s="928">
        <f>'d3'!O212-'d3-07'!O188</f>
        <v>0</v>
      </c>
      <c r="P212" s="928">
        <f>'d3'!P212-'d3-07'!P188</f>
        <v>0</v>
      </c>
      <c r="Q212" s="499"/>
      <c r="R212" s="500"/>
    </row>
    <row r="213" spans="1:18" ht="47.25" thickTop="1" thickBot="1" x14ac:dyDescent="0.25">
      <c r="A213" s="455" t="s">
        <v>947</v>
      </c>
      <c r="B213" s="454" t="s">
        <v>908</v>
      </c>
      <c r="C213" s="454"/>
      <c r="D213" s="454" t="s">
        <v>909</v>
      </c>
      <c r="E213" s="928">
        <f>'d3'!E213-'d3-07'!E189</f>
        <v>0</v>
      </c>
      <c r="F213" s="928">
        <f>'d3'!F213-'d3-07'!F189</f>
        <v>0</v>
      </c>
      <c r="G213" s="928">
        <f>'d3'!G213-'d3-07'!G189</f>
        <v>0</v>
      </c>
      <c r="H213" s="928">
        <f>'d3'!H213-'d3-07'!H189</f>
        <v>0</v>
      </c>
      <c r="I213" s="928">
        <f>'d3'!I213-'d3-07'!I189</f>
        <v>0</v>
      </c>
      <c r="J213" s="928">
        <f>'d3'!J213-'d3-07'!J189</f>
        <v>200000</v>
      </c>
      <c r="K213" s="928">
        <f>'d3'!K213-'d3-07'!K189</f>
        <v>200000</v>
      </c>
      <c r="L213" s="928">
        <f>'d3'!L213-'d3-07'!L189</f>
        <v>0</v>
      </c>
      <c r="M213" s="928">
        <f>'d3'!M213-'d3-07'!M189</f>
        <v>0</v>
      </c>
      <c r="N213" s="928">
        <f>'d3'!N213-'d3-07'!N189</f>
        <v>0</v>
      </c>
      <c r="O213" s="928">
        <f>'d3'!O213-'d3-07'!O189</f>
        <v>200000</v>
      </c>
      <c r="P213" s="928">
        <f>'d3'!P213-'d3-07'!P189</f>
        <v>200000</v>
      </c>
      <c r="R213" s="198"/>
    </row>
    <row r="214" spans="1:18" ht="91.5" thickTop="1" thickBot="1" x14ac:dyDescent="0.25">
      <c r="A214" s="404" t="s">
        <v>1481</v>
      </c>
      <c r="B214" s="404" t="s">
        <v>964</v>
      </c>
      <c r="C214" s="404"/>
      <c r="D214" s="404" t="s">
        <v>965</v>
      </c>
      <c r="E214" s="928">
        <f>'d3'!E214-0</f>
        <v>0</v>
      </c>
      <c r="F214" s="928">
        <f>'d3'!F214-0</f>
        <v>0</v>
      </c>
      <c r="G214" s="928">
        <f>'d3'!G214-0</f>
        <v>0</v>
      </c>
      <c r="H214" s="928">
        <f>'d3'!H214-0</f>
        <v>0</v>
      </c>
      <c r="I214" s="928">
        <f>'d3'!I214-0</f>
        <v>0</v>
      </c>
      <c r="J214" s="928">
        <f>'d3'!J214-0</f>
        <v>200000</v>
      </c>
      <c r="K214" s="928">
        <f>'d3'!K214-0</f>
        <v>200000</v>
      </c>
      <c r="L214" s="928">
        <f>'d3'!L214-0</f>
        <v>0</v>
      </c>
      <c r="M214" s="928">
        <f>'d3'!M214-0</f>
        <v>0</v>
      </c>
      <c r="N214" s="928">
        <f>'d3'!N214-0</f>
        <v>0</v>
      </c>
      <c r="O214" s="928">
        <f>'d3'!O214-0</f>
        <v>200000</v>
      </c>
      <c r="P214" s="928">
        <f>'d3'!P214-0</f>
        <v>200000</v>
      </c>
      <c r="R214" s="198"/>
    </row>
    <row r="215" spans="1:18" ht="145.5" thickTop="1" thickBot="1" x14ac:dyDescent="0.25">
      <c r="A215" s="365" t="s">
        <v>1482</v>
      </c>
      <c r="B215" s="365" t="s">
        <v>983</v>
      </c>
      <c r="C215" s="365"/>
      <c r="D215" s="365" t="s">
        <v>1467</v>
      </c>
      <c r="E215" s="928">
        <f>'d3'!E215-0</f>
        <v>0</v>
      </c>
      <c r="F215" s="928">
        <f>'d3'!F215-0</f>
        <v>0</v>
      </c>
      <c r="G215" s="928">
        <f>'d3'!G215-0</f>
        <v>0</v>
      </c>
      <c r="H215" s="928">
        <f>'d3'!H215-0</f>
        <v>0</v>
      </c>
      <c r="I215" s="928">
        <f>'d3'!I215-0</f>
        <v>0</v>
      </c>
      <c r="J215" s="928">
        <f>'d3'!J215-0</f>
        <v>200000</v>
      </c>
      <c r="K215" s="928">
        <f>'d3'!K215-0</f>
        <v>200000</v>
      </c>
      <c r="L215" s="928">
        <f>'d3'!L215-0</f>
        <v>0</v>
      </c>
      <c r="M215" s="928">
        <f>'d3'!M215-0</f>
        <v>0</v>
      </c>
      <c r="N215" s="928">
        <f>'d3'!N215-0</f>
        <v>0</v>
      </c>
      <c r="O215" s="928">
        <f>'d3'!O215-0</f>
        <v>200000</v>
      </c>
      <c r="P215" s="928">
        <f>'d3'!P215-0</f>
        <v>200000</v>
      </c>
      <c r="R215" s="198"/>
    </row>
    <row r="216" spans="1:18" ht="145.5" thickTop="1" thickBot="1" x14ac:dyDescent="0.25">
      <c r="A216" s="921" t="s">
        <v>1483</v>
      </c>
      <c r="B216" s="921" t="s">
        <v>336</v>
      </c>
      <c r="C216" s="921" t="s">
        <v>323</v>
      </c>
      <c r="D216" s="921" t="s">
        <v>783</v>
      </c>
      <c r="E216" s="928">
        <f>'d3'!E216-0</f>
        <v>0</v>
      </c>
      <c r="F216" s="928">
        <f>'d3'!F216-0</f>
        <v>0</v>
      </c>
      <c r="G216" s="928">
        <f>'d3'!G216-0</f>
        <v>0</v>
      </c>
      <c r="H216" s="928">
        <f>'d3'!H216-0</f>
        <v>0</v>
      </c>
      <c r="I216" s="928">
        <f>'d3'!I216-0</f>
        <v>0</v>
      </c>
      <c r="J216" s="928">
        <f>'d3'!J216-0</f>
        <v>200000</v>
      </c>
      <c r="K216" s="928">
        <f>'d3'!K216-0</f>
        <v>200000</v>
      </c>
      <c r="L216" s="928">
        <f>'d3'!L216-0</f>
        <v>0</v>
      </c>
      <c r="M216" s="928">
        <f>'d3'!M216-0</f>
        <v>0</v>
      </c>
      <c r="N216" s="928">
        <f>'d3'!N216-0</f>
        <v>0</v>
      </c>
      <c r="O216" s="928">
        <f>'d3'!O216-0</f>
        <v>200000</v>
      </c>
      <c r="P216" s="928">
        <f>'d3'!P216-0</f>
        <v>200000</v>
      </c>
      <c r="R216" s="198"/>
    </row>
    <row r="217" spans="1:18" ht="136.5" thickTop="1" thickBot="1" x14ac:dyDescent="0.25">
      <c r="A217" s="404" t="s">
        <v>948</v>
      </c>
      <c r="B217" s="404" t="s">
        <v>850</v>
      </c>
      <c r="C217" s="404"/>
      <c r="D217" s="404" t="s">
        <v>848</v>
      </c>
      <c r="E217" s="324">
        <f>'d3'!E217-'d3-07'!E190</f>
        <v>0</v>
      </c>
      <c r="F217" s="324">
        <f>'d3'!F217-'d3-07'!F190</f>
        <v>0</v>
      </c>
      <c r="G217" s="324">
        <f>'d3'!G217-'d3-07'!G190</f>
        <v>0</v>
      </c>
      <c r="H217" s="324">
        <f>'d3'!H217-'d3-07'!H190</f>
        <v>0</v>
      </c>
      <c r="I217" s="324">
        <f>'d3'!I217-'d3-07'!I190</f>
        <v>0</v>
      </c>
      <c r="J217" s="324">
        <f>'d3'!J217-'d3-07'!J190</f>
        <v>0</v>
      </c>
      <c r="K217" s="324">
        <f>'d3'!K217-'d3-07'!K190</f>
        <v>0</v>
      </c>
      <c r="L217" s="324">
        <f>'d3'!L217-'d3-07'!L190</f>
        <v>0</v>
      </c>
      <c r="M217" s="324">
        <f>'d3'!M217-'d3-07'!M190</f>
        <v>0</v>
      </c>
      <c r="N217" s="324">
        <f>'d3'!N217-'d3-07'!N190</f>
        <v>0</v>
      </c>
      <c r="O217" s="324">
        <f>'d3'!O217-'d3-07'!O190</f>
        <v>0</v>
      </c>
      <c r="P217" s="324">
        <f>'d3'!P217-'d3-07'!P190</f>
        <v>0</v>
      </c>
      <c r="R217" s="198"/>
    </row>
    <row r="218" spans="1:18" s="501" customFormat="1" ht="93" thickTop="1" thickBot="1" x14ac:dyDescent="0.25">
      <c r="A218" s="921" t="s">
        <v>744</v>
      </c>
      <c r="B218" s="921" t="s">
        <v>215</v>
      </c>
      <c r="C218" s="921" t="s">
        <v>184</v>
      </c>
      <c r="D218" s="921" t="s">
        <v>36</v>
      </c>
      <c r="E218" s="324">
        <f>'d3'!E218-'d3-07'!E191</f>
        <v>0</v>
      </c>
      <c r="F218" s="324">
        <f>'d3'!F218-'d3-07'!F191</f>
        <v>0</v>
      </c>
      <c r="G218" s="324">
        <f>'d3'!G218-'d3-07'!G191</f>
        <v>0</v>
      </c>
      <c r="H218" s="324">
        <f>'d3'!H218-'d3-07'!H191</f>
        <v>0</v>
      </c>
      <c r="I218" s="324">
        <f>'d3'!I218-'d3-07'!I191</f>
        <v>0</v>
      </c>
      <c r="J218" s="324">
        <f>'d3'!J218-'d3-07'!J191</f>
        <v>0</v>
      </c>
      <c r="K218" s="324">
        <f>'d3'!K218-'d3-07'!K191</f>
        <v>0</v>
      </c>
      <c r="L218" s="324">
        <f>'d3'!L218-'d3-07'!L191</f>
        <v>0</v>
      </c>
      <c r="M218" s="324">
        <f>'d3'!M218-'d3-07'!M191</f>
        <v>0</v>
      </c>
      <c r="N218" s="324">
        <f>'d3'!N218-'d3-07'!N191</f>
        <v>0</v>
      </c>
      <c r="O218" s="324">
        <f>'d3'!O218-'d3-07'!O191</f>
        <v>0</v>
      </c>
      <c r="P218" s="324">
        <f>'d3'!P218-'d3-07'!P191</f>
        <v>0</v>
      </c>
      <c r="Q218" s="499"/>
      <c r="R218" s="502" t="b">
        <f>K218='d6'!J173</f>
        <v>0</v>
      </c>
    </row>
    <row r="219" spans="1:18" ht="181.5" thickTop="1" thickBot="1" x14ac:dyDescent="0.25">
      <c r="A219" s="853" t="s">
        <v>172</v>
      </c>
      <c r="B219" s="853"/>
      <c r="C219" s="853"/>
      <c r="D219" s="854" t="s">
        <v>673</v>
      </c>
      <c r="E219" s="855">
        <f>E220</f>
        <v>-51588</v>
      </c>
      <c r="F219" s="856">
        <f t="shared" ref="F219:G219" si="32">F220</f>
        <v>-51588</v>
      </c>
      <c r="G219" s="856">
        <f t="shared" si="32"/>
        <v>-288000</v>
      </c>
      <c r="H219" s="856">
        <f>H220</f>
        <v>-12000</v>
      </c>
      <c r="I219" s="856">
        <f t="shared" ref="I219" si="33">I220</f>
        <v>0</v>
      </c>
      <c r="J219" s="855">
        <f>J220</f>
        <v>-408812</v>
      </c>
      <c r="K219" s="856">
        <f>K220</f>
        <v>-408812</v>
      </c>
      <c r="L219" s="856">
        <f>L220</f>
        <v>0</v>
      </c>
      <c r="M219" s="856">
        <f t="shared" ref="M219" si="34">M220</f>
        <v>0</v>
      </c>
      <c r="N219" s="856">
        <f>N220</f>
        <v>0</v>
      </c>
      <c r="O219" s="855">
        <f>O220</f>
        <v>-408812</v>
      </c>
      <c r="P219" s="856">
        <f>P220</f>
        <v>-460400</v>
      </c>
      <c r="R219" s="198"/>
    </row>
    <row r="220" spans="1:18" ht="181.5" thickTop="1" thickBot="1" x14ac:dyDescent="0.25">
      <c r="A220" s="857" t="s">
        <v>173</v>
      </c>
      <c r="B220" s="857"/>
      <c r="C220" s="857"/>
      <c r="D220" s="858" t="s">
        <v>674</v>
      </c>
      <c r="E220" s="859">
        <f>E221+E224+E231</f>
        <v>-51588</v>
      </c>
      <c r="F220" s="859">
        <f t="shared" ref="F220:I220" si="35">F221+F224+F231</f>
        <v>-51588</v>
      </c>
      <c r="G220" s="859">
        <f t="shared" si="35"/>
        <v>-288000</v>
      </c>
      <c r="H220" s="859">
        <f t="shared" si="35"/>
        <v>-12000</v>
      </c>
      <c r="I220" s="859">
        <f t="shared" si="35"/>
        <v>0</v>
      </c>
      <c r="J220" s="859">
        <f t="shared" ref="J220" si="36">L220+O220</f>
        <v>-408812</v>
      </c>
      <c r="K220" s="859">
        <f t="shared" ref="K220:O220" si="37">K221+K224+K231</f>
        <v>-408812</v>
      </c>
      <c r="L220" s="859">
        <f t="shared" si="37"/>
        <v>0</v>
      </c>
      <c r="M220" s="859">
        <f t="shared" si="37"/>
        <v>0</v>
      </c>
      <c r="N220" s="859">
        <f t="shared" si="37"/>
        <v>0</v>
      </c>
      <c r="O220" s="859">
        <f t="shared" si="37"/>
        <v>-408812</v>
      </c>
      <c r="P220" s="859">
        <f>E220+J220</f>
        <v>-460400</v>
      </c>
      <c r="Q220" s="257" t="b">
        <f>P220=P222+P226+P227+P228+P230+P233+P236+P223+P234+P229</f>
        <v>1</v>
      </c>
      <c r="R220" s="257" t="b">
        <f>K220='d6'!J175</f>
        <v>0</v>
      </c>
    </row>
    <row r="221" spans="1:18" ht="47.25" thickTop="1" thickBot="1" x14ac:dyDescent="0.25">
      <c r="A221" s="455" t="s">
        <v>949</v>
      </c>
      <c r="B221" s="455" t="s">
        <v>843</v>
      </c>
      <c r="C221" s="455"/>
      <c r="D221" s="455" t="s">
        <v>844</v>
      </c>
      <c r="E221" s="324">
        <f>'d3'!E221-'d3-07'!E194</f>
        <v>-410400</v>
      </c>
      <c r="F221" s="324">
        <f>'d3'!F221-'d3-07'!F194</f>
        <v>-410400</v>
      </c>
      <c r="G221" s="324">
        <f>'d3'!G221-'d3-07'!G194</f>
        <v>-288000</v>
      </c>
      <c r="H221" s="324">
        <f>'d3'!H221-'d3-07'!H194</f>
        <v>-12000</v>
      </c>
      <c r="I221" s="324">
        <f>'d3'!I221-'d3-07'!I194</f>
        <v>0</v>
      </c>
      <c r="J221" s="324">
        <f>'d3'!J221-'d3-07'!J194</f>
        <v>0</v>
      </c>
      <c r="K221" s="324">
        <f>'d3'!K221-'d3-07'!K194</f>
        <v>0</v>
      </c>
      <c r="L221" s="324">
        <f>'d3'!L221-'d3-07'!L194</f>
        <v>0</v>
      </c>
      <c r="M221" s="324">
        <f>'d3'!M221-'d3-07'!M194</f>
        <v>0</v>
      </c>
      <c r="N221" s="324">
        <f>'d3'!N221-'d3-07'!N194</f>
        <v>0</v>
      </c>
      <c r="O221" s="324">
        <f>'d3'!O221-'d3-07'!O194</f>
        <v>0</v>
      </c>
      <c r="P221" s="324">
        <f>'d3'!P221-'d3-07'!P194</f>
        <v>-410400</v>
      </c>
      <c r="Q221" s="257"/>
      <c r="R221" s="257"/>
    </row>
    <row r="222" spans="1:18" ht="230.25" thickTop="1" thickBot="1" x14ac:dyDescent="0.25">
      <c r="A222" s="927" t="s">
        <v>449</v>
      </c>
      <c r="B222" s="927" t="s">
        <v>254</v>
      </c>
      <c r="C222" s="927" t="s">
        <v>252</v>
      </c>
      <c r="D222" s="927" t="s">
        <v>253</v>
      </c>
      <c r="E222" s="324">
        <f>'d3'!E222-'d3-07'!E195</f>
        <v>-410400</v>
      </c>
      <c r="F222" s="324">
        <f>'d3'!F222-'d3-07'!F195</f>
        <v>-410400</v>
      </c>
      <c r="G222" s="324">
        <f>'d3'!G222-'d3-07'!G195</f>
        <v>-288000</v>
      </c>
      <c r="H222" s="324">
        <f>'d3'!H222-'d3-07'!H195</f>
        <v>-12000</v>
      </c>
      <c r="I222" s="324">
        <f>'d3'!I222-'d3-07'!I195</f>
        <v>0</v>
      </c>
      <c r="J222" s="324">
        <f>'d3'!J222-'d3-07'!J195</f>
        <v>0</v>
      </c>
      <c r="K222" s="324">
        <f>'d3'!K222-'d3-07'!K195</f>
        <v>0</v>
      </c>
      <c r="L222" s="324">
        <f>'d3'!L222-'d3-07'!L195</f>
        <v>0</v>
      </c>
      <c r="M222" s="324">
        <f>'d3'!M222-'d3-07'!M195</f>
        <v>0</v>
      </c>
      <c r="N222" s="324">
        <f>'d3'!N222-'d3-07'!N195</f>
        <v>0</v>
      </c>
      <c r="O222" s="324">
        <f>'d3'!O222-'d3-07'!O195</f>
        <v>0</v>
      </c>
      <c r="P222" s="324">
        <f>'d3'!P222-'d3-07'!P195</f>
        <v>-410400</v>
      </c>
      <c r="R222" s="257" t="b">
        <f>K222='d6'!J176</f>
        <v>0</v>
      </c>
    </row>
    <row r="223" spans="1:18" ht="184.5" thickTop="1" thickBot="1" x14ac:dyDescent="0.25">
      <c r="A223" s="920" t="s">
        <v>785</v>
      </c>
      <c r="B223" s="920" t="s">
        <v>388</v>
      </c>
      <c r="C223" s="920" t="s">
        <v>778</v>
      </c>
      <c r="D223" s="920" t="s">
        <v>779</v>
      </c>
      <c r="E223" s="324">
        <f>'d3'!E223-'d3-07'!E196</f>
        <v>0</v>
      </c>
      <c r="F223" s="324">
        <f>'d3'!F223-'d3-07'!F196</f>
        <v>0</v>
      </c>
      <c r="G223" s="324">
        <f>'d3'!G223-'d3-07'!G196</f>
        <v>0</v>
      </c>
      <c r="H223" s="324">
        <f>'d3'!H223-'d3-07'!H196</f>
        <v>0</v>
      </c>
      <c r="I223" s="324">
        <f>'d3'!I223-'d3-07'!I196</f>
        <v>0</v>
      </c>
      <c r="J223" s="324">
        <f>'d3'!J223-'d3-07'!J196</f>
        <v>0</v>
      </c>
      <c r="K223" s="324">
        <f>'d3'!K223-'d3-07'!K196</f>
        <v>0</v>
      </c>
      <c r="L223" s="324">
        <f>'d3'!L223-'d3-07'!L196</f>
        <v>0</v>
      </c>
      <c r="M223" s="324">
        <f>'d3'!M223-'d3-07'!M196</f>
        <v>0</v>
      </c>
      <c r="N223" s="324">
        <f>'d3'!N223-'d3-07'!N196</f>
        <v>0</v>
      </c>
      <c r="O223" s="324">
        <f>'d3'!O223-'d3-07'!O196</f>
        <v>0</v>
      </c>
      <c r="P223" s="324">
        <f>'d3'!P223-'d3-07'!P196</f>
        <v>0</v>
      </c>
      <c r="R223" s="257"/>
    </row>
    <row r="224" spans="1:18" ht="91.5" thickTop="1" thickBot="1" x14ac:dyDescent="0.25">
      <c r="A224" s="173" t="s">
        <v>950</v>
      </c>
      <c r="B224" s="454" t="s">
        <v>902</v>
      </c>
      <c r="C224" s="454"/>
      <c r="D224" s="449" t="s">
        <v>903</v>
      </c>
      <c r="E224" s="324">
        <f>'d3'!E224-'d3-07'!E197</f>
        <v>958812</v>
      </c>
      <c r="F224" s="324">
        <f>'d3'!F224-'d3-07'!F197</f>
        <v>958812</v>
      </c>
      <c r="G224" s="324">
        <f>'d3'!G224-'d3-07'!G197</f>
        <v>0</v>
      </c>
      <c r="H224" s="324">
        <f>'d3'!H224-'d3-07'!H197</f>
        <v>0</v>
      </c>
      <c r="I224" s="324">
        <f>'d3'!I224-'d3-07'!I197</f>
        <v>0</v>
      </c>
      <c r="J224" s="324">
        <f>'d3'!J224-'d3-07'!J197</f>
        <v>-708812</v>
      </c>
      <c r="K224" s="324">
        <f>'d3'!K224-'d3-07'!K197</f>
        <v>-708812</v>
      </c>
      <c r="L224" s="324">
        <f>'d3'!L224-'d3-07'!L197</f>
        <v>0</v>
      </c>
      <c r="M224" s="324">
        <f>'d3'!M224-'d3-07'!M197</f>
        <v>0</v>
      </c>
      <c r="N224" s="324">
        <f>'d3'!N224-'d3-07'!N197</f>
        <v>0</v>
      </c>
      <c r="O224" s="324">
        <f>'d3'!O224-'d3-07'!O197</f>
        <v>-708812</v>
      </c>
      <c r="P224" s="324">
        <f>'d3'!P224-'d3-07'!P197</f>
        <v>250000</v>
      </c>
      <c r="R224" s="257"/>
    </row>
    <row r="225" spans="1:18" s="39" customFormat="1" ht="184.5" thickTop="1" thickBot="1" x14ac:dyDescent="0.25">
      <c r="A225" s="445" t="s">
        <v>951</v>
      </c>
      <c r="B225" s="403" t="s">
        <v>952</v>
      </c>
      <c r="C225" s="403"/>
      <c r="D225" s="403" t="s">
        <v>953</v>
      </c>
      <c r="E225" s="324">
        <f>'d3'!E225-'d3-07'!E198</f>
        <v>658812</v>
      </c>
      <c r="F225" s="324">
        <f>'d3'!F225-'d3-07'!F198</f>
        <v>658812</v>
      </c>
      <c r="G225" s="324">
        <f>'d3'!G225-'d3-07'!G198</f>
        <v>0</v>
      </c>
      <c r="H225" s="324">
        <f>'d3'!H225-'d3-07'!H198</f>
        <v>0</v>
      </c>
      <c r="I225" s="324">
        <f>'d3'!I225-'d3-07'!I198</f>
        <v>0</v>
      </c>
      <c r="J225" s="324">
        <f>'d3'!J225-'d3-07'!J198</f>
        <v>-708812</v>
      </c>
      <c r="K225" s="324">
        <f>'d3'!K225-'d3-07'!K198</f>
        <v>-708812</v>
      </c>
      <c r="L225" s="324">
        <f>'d3'!L225-'d3-07'!L198</f>
        <v>0</v>
      </c>
      <c r="M225" s="324">
        <f>'d3'!M225-'d3-07'!M198</f>
        <v>0</v>
      </c>
      <c r="N225" s="324">
        <f>'d3'!N225-'d3-07'!N198</f>
        <v>0</v>
      </c>
      <c r="O225" s="324">
        <f>'d3'!O225-'d3-07'!O198</f>
        <v>-708812</v>
      </c>
      <c r="P225" s="324">
        <f>'d3'!P225-'d3-07'!P198</f>
        <v>-50000</v>
      </c>
      <c r="Q225" s="194"/>
      <c r="R225" s="257"/>
    </row>
    <row r="226" spans="1:18" ht="138.75" thickTop="1" thickBot="1" x14ac:dyDescent="0.25">
      <c r="A226" s="927" t="s">
        <v>298</v>
      </c>
      <c r="B226" s="927" t="s">
        <v>299</v>
      </c>
      <c r="C226" s="927" t="s">
        <v>365</v>
      </c>
      <c r="D226" s="927" t="s">
        <v>300</v>
      </c>
      <c r="E226" s="324">
        <f>'d3'!E226-'d3-07'!E199</f>
        <v>658812</v>
      </c>
      <c r="F226" s="324">
        <f>'d3'!F226-'d3-07'!F199</f>
        <v>658812</v>
      </c>
      <c r="G226" s="324">
        <f>'d3'!G226-'d3-07'!G199</f>
        <v>0</v>
      </c>
      <c r="H226" s="324">
        <f>'d3'!H226-'d3-07'!H199</f>
        <v>0</v>
      </c>
      <c r="I226" s="324">
        <f>'d3'!I226-'d3-07'!I199</f>
        <v>0</v>
      </c>
      <c r="J226" s="324">
        <f>'d3'!J226-'d3-07'!J199</f>
        <v>-708812</v>
      </c>
      <c r="K226" s="324">
        <f>'d3'!K226-'d3-07'!K199</f>
        <v>-708812</v>
      </c>
      <c r="L226" s="324">
        <f>'d3'!L226-'d3-07'!L199</f>
        <v>0</v>
      </c>
      <c r="M226" s="324">
        <f>'d3'!M226-'d3-07'!M199</f>
        <v>0</v>
      </c>
      <c r="N226" s="324">
        <f>'d3'!N226-'d3-07'!N199</f>
        <v>0</v>
      </c>
      <c r="O226" s="324">
        <f>'d3'!O226-'d3-07'!O199</f>
        <v>-708812</v>
      </c>
      <c r="P226" s="324">
        <f>'d3'!P226-'d3-07'!P199</f>
        <v>-50000</v>
      </c>
      <c r="R226" s="257" t="b">
        <f>K226='d6'!J177</f>
        <v>0</v>
      </c>
    </row>
    <row r="227" spans="1:18" ht="138.75" thickTop="1" thickBot="1" x14ac:dyDescent="0.25">
      <c r="A227" s="927" t="s">
        <v>320</v>
      </c>
      <c r="B227" s="927" t="s">
        <v>321</v>
      </c>
      <c r="C227" s="927" t="s">
        <v>301</v>
      </c>
      <c r="D227" s="927" t="s">
        <v>322</v>
      </c>
      <c r="E227" s="324">
        <f>'d3'!E227-'d3-07'!E200</f>
        <v>0</v>
      </c>
      <c r="F227" s="324">
        <f>'d3'!F227-'d3-07'!F200</f>
        <v>0</v>
      </c>
      <c r="G227" s="324">
        <f>'d3'!G227-'d3-07'!G200</f>
        <v>0</v>
      </c>
      <c r="H227" s="324">
        <f>'d3'!H227-'d3-07'!H200</f>
        <v>0</v>
      </c>
      <c r="I227" s="324">
        <f>'d3'!I227-'d3-07'!I200</f>
        <v>0</v>
      </c>
      <c r="J227" s="324">
        <f>'d3'!J227-'d3-07'!J200</f>
        <v>0</v>
      </c>
      <c r="K227" s="324">
        <f>'d3'!K227-'d3-07'!K200</f>
        <v>0</v>
      </c>
      <c r="L227" s="324">
        <f>'d3'!L227-'d3-07'!L200</f>
        <v>0</v>
      </c>
      <c r="M227" s="324">
        <f>'d3'!M227-'d3-07'!M200</f>
        <v>0</v>
      </c>
      <c r="N227" s="324">
        <f>'d3'!N227-'d3-07'!N200</f>
        <v>0</v>
      </c>
      <c r="O227" s="324">
        <f>'d3'!O227-'d3-07'!O200</f>
        <v>0</v>
      </c>
      <c r="P227" s="324">
        <f>'d3'!P227-'d3-07'!P200</f>
        <v>0</v>
      </c>
      <c r="R227" s="257" t="b">
        <f>K227='d6'!J178</f>
        <v>0</v>
      </c>
    </row>
    <row r="228" spans="1:18" ht="184.5" thickTop="1" thickBot="1" x14ac:dyDescent="0.25">
      <c r="A228" s="927" t="s">
        <v>302</v>
      </c>
      <c r="B228" s="927" t="s">
        <v>303</v>
      </c>
      <c r="C228" s="927" t="s">
        <v>301</v>
      </c>
      <c r="D228" s="927" t="s">
        <v>503</v>
      </c>
      <c r="E228" s="324">
        <f>'d3'!E228-'d3-07'!E201</f>
        <v>0</v>
      </c>
      <c r="F228" s="324">
        <f>'d3'!F228-'d3-07'!F201</f>
        <v>0</v>
      </c>
      <c r="G228" s="324">
        <f>'d3'!G228-'d3-07'!G201</f>
        <v>0</v>
      </c>
      <c r="H228" s="324">
        <f>'d3'!H228-'d3-07'!H201</f>
        <v>0</v>
      </c>
      <c r="I228" s="324">
        <f>'d3'!I228-'d3-07'!I201</f>
        <v>0</v>
      </c>
      <c r="J228" s="324">
        <f>'d3'!J228-'d3-07'!J201</f>
        <v>0</v>
      </c>
      <c r="K228" s="324">
        <f>'d3'!K228-'d3-07'!K201</f>
        <v>0</v>
      </c>
      <c r="L228" s="324">
        <f>'d3'!L228-'d3-07'!L201</f>
        <v>0</v>
      </c>
      <c r="M228" s="324">
        <f>'d3'!M228-'d3-07'!M201</f>
        <v>0</v>
      </c>
      <c r="N228" s="324">
        <f>'d3'!N228-'d3-07'!N201</f>
        <v>0</v>
      </c>
      <c r="O228" s="324">
        <f>'d3'!O228-'d3-07'!O201</f>
        <v>0</v>
      </c>
      <c r="P228" s="324">
        <f>'d3'!P228-'d3-07'!P201</f>
        <v>0</v>
      </c>
      <c r="R228" s="257" t="b">
        <f>K228='d6'!J180+'d6'!J181+'d6'!J182</f>
        <v>0</v>
      </c>
    </row>
    <row r="229" spans="1:18" ht="230.25" thickTop="1" thickBot="1" x14ac:dyDescent="0.25">
      <c r="A229" s="927" t="s">
        <v>1157</v>
      </c>
      <c r="B229" s="927" t="s">
        <v>316</v>
      </c>
      <c r="C229" s="927" t="s">
        <v>301</v>
      </c>
      <c r="D229" s="927" t="s">
        <v>317</v>
      </c>
      <c r="E229" s="324">
        <f>'d3'!E229-'d3-07'!E202</f>
        <v>300000</v>
      </c>
      <c r="F229" s="324">
        <f>'d3'!F229-'d3-07'!F202</f>
        <v>300000</v>
      </c>
      <c r="G229" s="324">
        <f>'d3'!G229-'d3-07'!G202</f>
        <v>0</v>
      </c>
      <c r="H229" s="324">
        <f>'d3'!H229-'d3-07'!H202</f>
        <v>0</v>
      </c>
      <c r="I229" s="324">
        <f>'d3'!I229-'d3-07'!I202</f>
        <v>0</v>
      </c>
      <c r="J229" s="324">
        <f>'d3'!J229-'d3-07'!J202</f>
        <v>0</v>
      </c>
      <c r="K229" s="324">
        <f>'d3'!K229-'d3-07'!K202</f>
        <v>0</v>
      </c>
      <c r="L229" s="324">
        <f>'d3'!L229-'d3-07'!L202</f>
        <v>0</v>
      </c>
      <c r="M229" s="324">
        <f>'d3'!M229-'d3-07'!M202</f>
        <v>0</v>
      </c>
      <c r="N229" s="324">
        <f>'d3'!N229-'d3-07'!N202</f>
        <v>0</v>
      </c>
      <c r="O229" s="324">
        <f>'d3'!O229-'d3-07'!O202</f>
        <v>0</v>
      </c>
      <c r="P229" s="324">
        <f>'d3'!P229-'d3-07'!P202</f>
        <v>300000</v>
      </c>
      <c r="R229" s="257"/>
    </row>
    <row r="230" spans="1:18" ht="93" thickTop="1" thickBot="1" x14ac:dyDescent="0.25">
      <c r="A230" s="927" t="s">
        <v>306</v>
      </c>
      <c r="B230" s="927" t="s">
        <v>307</v>
      </c>
      <c r="C230" s="927" t="s">
        <v>301</v>
      </c>
      <c r="D230" s="927" t="s">
        <v>308</v>
      </c>
      <c r="E230" s="324">
        <f>'d3'!E230-'d3-07'!E203</f>
        <v>0</v>
      </c>
      <c r="F230" s="324">
        <f>'d3'!F230-'d3-07'!F203</f>
        <v>0</v>
      </c>
      <c r="G230" s="324">
        <f>'d3'!G230-'d3-07'!G203</f>
        <v>0</v>
      </c>
      <c r="H230" s="324">
        <f>'d3'!H230-'d3-07'!H203</f>
        <v>0</v>
      </c>
      <c r="I230" s="324">
        <f>'d3'!I230-'d3-07'!I203</f>
        <v>0</v>
      </c>
      <c r="J230" s="324">
        <f>'d3'!J230-'d3-07'!J203</f>
        <v>0</v>
      </c>
      <c r="K230" s="324">
        <f>'d3'!K230-'d3-07'!K203</f>
        <v>0</v>
      </c>
      <c r="L230" s="324">
        <f>'d3'!L230-'d3-07'!L203</f>
        <v>0</v>
      </c>
      <c r="M230" s="324">
        <f>'d3'!M230-'d3-07'!M203</f>
        <v>0</v>
      </c>
      <c r="N230" s="324">
        <f>'d3'!N230-'d3-07'!N203</f>
        <v>0</v>
      </c>
      <c r="O230" s="324">
        <f>'d3'!O230-'d3-07'!O203</f>
        <v>0</v>
      </c>
      <c r="P230" s="324">
        <f>'d3'!P230-'d3-07'!P203</f>
        <v>0</v>
      </c>
      <c r="R230" s="198"/>
    </row>
    <row r="231" spans="1:18" ht="47.25" thickTop="1" thickBot="1" x14ac:dyDescent="0.25">
      <c r="A231" s="173" t="s">
        <v>954</v>
      </c>
      <c r="B231" s="173" t="s">
        <v>908</v>
      </c>
      <c r="C231" s="173"/>
      <c r="D231" s="173" t="s">
        <v>955</v>
      </c>
      <c r="E231" s="324">
        <f>'d3'!E231-'d3-07'!E204</f>
        <v>-600000</v>
      </c>
      <c r="F231" s="324">
        <f>'d3'!F231-'d3-07'!F204</f>
        <v>-600000</v>
      </c>
      <c r="G231" s="324">
        <f>'d3'!G231-'d3-07'!G204</f>
        <v>0</v>
      </c>
      <c r="H231" s="324">
        <f>'d3'!H231-'d3-07'!H204</f>
        <v>0</v>
      </c>
      <c r="I231" s="324">
        <f>'d3'!I231-'d3-07'!I204</f>
        <v>0</v>
      </c>
      <c r="J231" s="324">
        <f>'d3'!J231-'d3-07'!J204</f>
        <v>300000</v>
      </c>
      <c r="K231" s="324">
        <f>'d3'!K231-'d3-07'!K204</f>
        <v>300000</v>
      </c>
      <c r="L231" s="324">
        <f>'d3'!L231-'d3-07'!L204</f>
        <v>0</v>
      </c>
      <c r="M231" s="324">
        <f>'d3'!M231-'d3-07'!M204</f>
        <v>0</v>
      </c>
      <c r="N231" s="324">
        <f>'d3'!N231-'d3-07'!N204</f>
        <v>0</v>
      </c>
      <c r="O231" s="324">
        <f>'d3'!O231-'d3-07'!O204</f>
        <v>300000</v>
      </c>
      <c r="P231" s="324">
        <f>'d3'!P231-'d3-07'!P204</f>
        <v>-300000</v>
      </c>
      <c r="R231" s="198"/>
    </row>
    <row r="232" spans="1:18" ht="136.5" thickTop="1" thickBot="1" x14ac:dyDescent="0.25">
      <c r="A232" s="450" t="s">
        <v>956</v>
      </c>
      <c r="B232" s="450" t="s">
        <v>850</v>
      </c>
      <c r="C232" s="450"/>
      <c r="D232" s="450" t="s">
        <v>848</v>
      </c>
      <c r="E232" s="324">
        <f>'d3'!E232-'d3-07'!E205</f>
        <v>-600000</v>
      </c>
      <c r="F232" s="324">
        <f>'d3'!F232-'d3-07'!F205</f>
        <v>-600000</v>
      </c>
      <c r="G232" s="324">
        <f>'d3'!G232-'d3-07'!G205</f>
        <v>0</v>
      </c>
      <c r="H232" s="324">
        <f>'d3'!H232-'d3-07'!H205</f>
        <v>0</v>
      </c>
      <c r="I232" s="324">
        <f>'d3'!I232-'d3-07'!I205</f>
        <v>0</v>
      </c>
      <c r="J232" s="324">
        <f>'d3'!J232-'d3-07'!J205</f>
        <v>300000</v>
      </c>
      <c r="K232" s="324">
        <f>'d3'!K232-'d3-07'!K205</f>
        <v>300000</v>
      </c>
      <c r="L232" s="324">
        <f>'d3'!L232-'d3-07'!L205</f>
        <v>0</v>
      </c>
      <c r="M232" s="324">
        <f>'d3'!M232-'d3-07'!M205</f>
        <v>0</v>
      </c>
      <c r="N232" s="324">
        <f>'d3'!N232-'d3-07'!N205</f>
        <v>0</v>
      </c>
      <c r="O232" s="324">
        <f>'d3'!O232-'d3-07'!O205</f>
        <v>300000</v>
      </c>
      <c r="P232" s="324">
        <f>'d3'!P232-'d3-07'!P205</f>
        <v>-300000</v>
      </c>
      <c r="R232" s="198"/>
    </row>
    <row r="233" spans="1:18" ht="47.25" thickTop="1" thickBot="1" x14ac:dyDescent="0.25">
      <c r="A233" s="927" t="s">
        <v>315</v>
      </c>
      <c r="B233" s="927" t="s">
        <v>230</v>
      </c>
      <c r="C233" s="927" t="s">
        <v>231</v>
      </c>
      <c r="D233" s="927" t="s">
        <v>43</v>
      </c>
      <c r="E233" s="324">
        <f>'d3'!E233-'d3-07'!E206</f>
        <v>-600000</v>
      </c>
      <c r="F233" s="324">
        <f>'d3'!F233-'d3-07'!F206</f>
        <v>-600000</v>
      </c>
      <c r="G233" s="324">
        <f>'d3'!G233-'d3-07'!G206</f>
        <v>0</v>
      </c>
      <c r="H233" s="324">
        <f>'d3'!H233-'d3-07'!H206</f>
        <v>0</v>
      </c>
      <c r="I233" s="324">
        <f>'d3'!I233-'d3-07'!I206</f>
        <v>0</v>
      </c>
      <c r="J233" s="324">
        <f>'d3'!J233-'d3-07'!J206</f>
        <v>300000</v>
      </c>
      <c r="K233" s="324">
        <f>'d3'!K233-'d3-07'!K206</f>
        <v>300000</v>
      </c>
      <c r="L233" s="324">
        <f>'d3'!L233-'d3-07'!L206</f>
        <v>0</v>
      </c>
      <c r="M233" s="324">
        <f>'d3'!M233-'d3-07'!M206</f>
        <v>0</v>
      </c>
      <c r="N233" s="324">
        <f>'d3'!N233-'d3-07'!N206</f>
        <v>0</v>
      </c>
      <c r="O233" s="324">
        <f>'d3'!O233-'d3-07'!O206</f>
        <v>300000</v>
      </c>
      <c r="P233" s="324">
        <f>'d3'!P233-'d3-07'!P206</f>
        <v>-300000</v>
      </c>
      <c r="R233" s="257" t="b">
        <f>K233='d6'!J184</f>
        <v>0</v>
      </c>
    </row>
    <row r="234" spans="1:18" ht="93" thickTop="1" thickBot="1" x14ac:dyDescent="0.25">
      <c r="A234" s="927" t="s">
        <v>1129</v>
      </c>
      <c r="B234" s="927" t="s">
        <v>215</v>
      </c>
      <c r="C234" s="927" t="s">
        <v>184</v>
      </c>
      <c r="D234" s="927" t="s">
        <v>36</v>
      </c>
      <c r="E234" s="324">
        <f>'d3'!E234-'d3-07'!E207</f>
        <v>0</v>
      </c>
      <c r="F234" s="324">
        <f>'d3'!F234-'d3-07'!F207</f>
        <v>0</v>
      </c>
      <c r="G234" s="324">
        <f>'d3'!G234-'d3-07'!G207</f>
        <v>0</v>
      </c>
      <c r="H234" s="324">
        <f>'d3'!H234-'d3-07'!H207</f>
        <v>0</v>
      </c>
      <c r="I234" s="324">
        <f>'d3'!I234-'d3-07'!I207</f>
        <v>0</v>
      </c>
      <c r="J234" s="324">
        <f>'d3'!J234-'d3-07'!J207</f>
        <v>0</v>
      </c>
      <c r="K234" s="324">
        <f>'d3'!K234-'d3-07'!K207</f>
        <v>0</v>
      </c>
      <c r="L234" s="324">
        <f>'d3'!L234-'d3-07'!L207</f>
        <v>0</v>
      </c>
      <c r="M234" s="324">
        <f>'d3'!M234-'d3-07'!M207</f>
        <v>0</v>
      </c>
      <c r="N234" s="324">
        <f>'d3'!N234-'d3-07'!N207</f>
        <v>0</v>
      </c>
      <c r="O234" s="324">
        <f>'d3'!O234-'d3-07'!O207</f>
        <v>0</v>
      </c>
      <c r="P234" s="324">
        <f>'d3'!P234-'d3-07'!P207</f>
        <v>0</v>
      </c>
      <c r="R234" s="257" t="b">
        <f>K234='d6'!J186</f>
        <v>0</v>
      </c>
    </row>
    <row r="235" spans="1:18" ht="47.25" thickTop="1" thickBot="1" x14ac:dyDescent="0.25">
      <c r="A235" s="445" t="s">
        <v>957</v>
      </c>
      <c r="B235" s="445" t="s">
        <v>853</v>
      </c>
      <c r="C235" s="445"/>
      <c r="D235" s="445" t="s">
        <v>958</v>
      </c>
      <c r="E235" s="324">
        <f>'d3'!E235-'d3-07'!E208</f>
        <v>0</v>
      </c>
      <c r="F235" s="324">
        <f>'d3'!F235-'d3-07'!F208</f>
        <v>0</v>
      </c>
      <c r="G235" s="324">
        <f>'d3'!G235-'d3-07'!G208</f>
        <v>0</v>
      </c>
      <c r="H235" s="324">
        <f>'d3'!H235-'d3-07'!H208</f>
        <v>0</v>
      </c>
      <c r="I235" s="324">
        <f>'d3'!I235-'d3-07'!I208</f>
        <v>0</v>
      </c>
      <c r="J235" s="324">
        <f>'d3'!J235-'d3-07'!J208</f>
        <v>0</v>
      </c>
      <c r="K235" s="324">
        <f>'d3'!K235-'d3-07'!K208</f>
        <v>0</v>
      </c>
      <c r="L235" s="324">
        <f>'d3'!L235-'d3-07'!L208</f>
        <v>0</v>
      </c>
      <c r="M235" s="324">
        <f>'d3'!M235-'d3-07'!M208</f>
        <v>0</v>
      </c>
      <c r="N235" s="324">
        <f>'d3'!N235-'d3-07'!N208</f>
        <v>0</v>
      </c>
      <c r="O235" s="324">
        <f>'d3'!O235-'d3-07'!O208</f>
        <v>0</v>
      </c>
      <c r="P235" s="324">
        <f>'d3'!P235-'d3-07'!P208</f>
        <v>0</v>
      </c>
      <c r="R235" s="198"/>
    </row>
    <row r="236" spans="1:18" ht="409.6" thickTop="1" thickBot="1" x14ac:dyDescent="0.7">
      <c r="A236" s="1037" t="s">
        <v>452</v>
      </c>
      <c r="B236" s="1037" t="s">
        <v>363</v>
      </c>
      <c r="C236" s="1037" t="s">
        <v>184</v>
      </c>
      <c r="D236" s="326" t="s">
        <v>473</v>
      </c>
      <c r="E236" s="1226">
        <f>'d3'!E236-'d3-07'!E209</f>
        <v>0</v>
      </c>
      <c r="F236" s="1226">
        <f>'d3'!F236-'d3-07'!F209</f>
        <v>0</v>
      </c>
      <c r="G236" s="1226">
        <f>'d3'!G236-'d3-07'!G209</f>
        <v>0</v>
      </c>
      <c r="H236" s="1226">
        <f>'d3'!H236-'d3-07'!H209</f>
        <v>0</v>
      </c>
      <c r="I236" s="1226">
        <f>'d3'!I236-'d3-07'!I209</f>
        <v>0</v>
      </c>
      <c r="J236" s="1226">
        <f>'d3'!J236-'d3-07'!J209</f>
        <v>0</v>
      </c>
      <c r="K236" s="1226">
        <f>'d3'!K236-'d3-07'!K209</f>
        <v>0</v>
      </c>
      <c r="L236" s="1226">
        <f>'d3'!L236-'d3-07'!L209</f>
        <v>0</v>
      </c>
      <c r="M236" s="1226">
        <f>'d3'!M236-'d3-07'!M209</f>
        <v>0</v>
      </c>
      <c r="N236" s="1226">
        <f>'d3'!N236-'d3-07'!N209</f>
        <v>0</v>
      </c>
      <c r="O236" s="1226">
        <f>'d3'!O236-'d3-07'!O209</f>
        <v>0</v>
      </c>
      <c r="P236" s="1226">
        <f>'d3'!P236-'d3-07'!P209</f>
        <v>0</v>
      </c>
      <c r="R236" s="198"/>
    </row>
    <row r="237" spans="1:18" ht="184.5" thickTop="1" thickBot="1" x14ac:dyDescent="0.25">
      <c r="A237" s="1037"/>
      <c r="B237" s="1037"/>
      <c r="C237" s="1037"/>
      <c r="D237" s="329" t="s">
        <v>474</v>
      </c>
      <c r="E237" s="1026"/>
      <c r="F237" s="1026"/>
      <c r="G237" s="1026"/>
      <c r="H237" s="1026"/>
      <c r="I237" s="1026"/>
      <c r="J237" s="1026"/>
      <c r="K237" s="1026"/>
      <c r="L237" s="1026"/>
      <c r="M237" s="1026"/>
      <c r="N237" s="1026"/>
      <c r="O237" s="1026"/>
      <c r="P237" s="1026"/>
      <c r="R237" s="198"/>
    </row>
    <row r="238" spans="1:18" ht="181.5" thickTop="1" thickBot="1" x14ac:dyDescent="0.25">
      <c r="A238" s="853" t="s">
        <v>641</v>
      </c>
      <c r="B238" s="853"/>
      <c r="C238" s="853"/>
      <c r="D238" s="854" t="s">
        <v>671</v>
      </c>
      <c r="E238" s="855">
        <f>E239</f>
        <v>-1426628</v>
      </c>
      <c r="F238" s="856">
        <f t="shared" ref="F238:G238" si="38">F239</f>
        <v>-1426628</v>
      </c>
      <c r="G238" s="856">
        <f t="shared" si="38"/>
        <v>-869200</v>
      </c>
      <c r="H238" s="856">
        <f>H239</f>
        <v>5815</v>
      </c>
      <c r="I238" s="856">
        <f t="shared" ref="I238" si="39">I239</f>
        <v>0</v>
      </c>
      <c r="J238" s="855">
        <f>J239</f>
        <v>699157</v>
      </c>
      <c r="K238" s="856">
        <f>K239</f>
        <v>199156.9999999851</v>
      </c>
      <c r="L238" s="856">
        <f>L239</f>
        <v>0</v>
      </c>
      <c r="M238" s="856">
        <f t="shared" ref="M238" si="40">M239</f>
        <v>0</v>
      </c>
      <c r="N238" s="856">
        <f>N239</f>
        <v>0</v>
      </c>
      <c r="O238" s="855">
        <f>O239</f>
        <v>699157</v>
      </c>
      <c r="P238" s="856">
        <f>P239</f>
        <v>-727471</v>
      </c>
      <c r="R238" s="198"/>
    </row>
    <row r="239" spans="1:18" ht="181.5" thickTop="1" thickBot="1" x14ac:dyDescent="0.25">
      <c r="A239" s="857" t="s">
        <v>642</v>
      </c>
      <c r="B239" s="857"/>
      <c r="C239" s="857"/>
      <c r="D239" s="858" t="s">
        <v>672</v>
      </c>
      <c r="E239" s="859">
        <f>E240+E244+E250+E262</f>
        <v>-1426628</v>
      </c>
      <c r="F239" s="859">
        <f t="shared" ref="F239:I239" si="41">F240+F244+F250+F262</f>
        <v>-1426628</v>
      </c>
      <c r="G239" s="859">
        <f t="shared" si="41"/>
        <v>-869200</v>
      </c>
      <c r="H239" s="859">
        <f t="shared" si="41"/>
        <v>5815</v>
      </c>
      <c r="I239" s="859">
        <f t="shared" si="41"/>
        <v>0</v>
      </c>
      <c r="J239" s="859">
        <f t="shared" ref="J239" si="42">L239+O239</f>
        <v>699157</v>
      </c>
      <c r="K239" s="859">
        <f t="shared" ref="K239:O239" si="43">K240+K244+K250+K262</f>
        <v>199156.9999999851</v>
      </c>
      <c r="L239" s="859">
        <f t="shared" si="43"/>
        <v>0</v>
      </c>
      <c r="M239" s="859">
        <f t="shared" si="43"/>
        <v>0</v>
      </c>
      <c r="N239" s="859">
        <f t="shared" si="43"/>
        <v>0</v>
      </c>
      <c r="O239" s="859">
        <f t="shared" si="43"/>
        <v>699157</v>
      </c>
      <c r="P239" s="859">
        <f>E239+J239</f>
        <v>-727471</v>
      </c>
      <c r="Q239" s="125" t="b">
        <f>P239=P241+P242+P243+P246+P247+P248+P249+P252+P255+P257+P258+P260+P264+P265+P266</f>
        <v>1</v>
      </c>
      <c r="R239" s="125" t="b">
        <f>K239='d6'!J189</f>
        <v>0</v>
      </c>
    </row>
    <row r="240" spans="1:18" ht="47.25" thickTop="1" thickBot="1" x14ac:dyDescent="0.25">
      <c r="A240" s="455" t="s">
        <v>959</v>
      </c>
      <c r="B240" s="455" t="s">
        <v>843</v>
      </c>
      <c r="C240" s="455"/>
      <c r="D240" s="455" t="s">
        <v>844</v>
      </c>
      <c r="E240" s="324">
        <f>'d3'!E240-'d3-07'!E213</f>
        <v>-936185</v>
      </c>
      <c r="F240" s="324">
        <f>'d3'!F240-'d3-07'!F213</f>
        <v>-936185</v>
      </c>
      <c r="G240" s="324">
        <f>'d3'!G240-'d3-07'!G213</f>
        <v>-800000</v>
      </c>
      <c r="H240" s="324">
        <f>'d3'!H240-'d3-07'!H213</f>
        <v>60815</v>
      </c>
      <c r="I240" s="324">
        <f>'d3'!I240-'d3-07'!I213</f>
        <v>0</v>
      </c>
      <c r="J240" s="324">
        <f>'d3'!J240-'d3-07'!J213</f>
        <v>0</v>
      </c>
      <c r="K240" s="324">
        <f>'d3'!K240-'d3-07'!K213</f>
        <v>0</v>
      </c>
      <c r="L240" s="324">
        <f>'d3'!L240-'d3-07'!L213</f>
        <v>0</v>
      </c>
      <c r="M240" s="324">
        <f>'d3'!M240-'d3-07'!M213</f>
        <v>0</v>
      </c>
      <c r="N240" s="324">
        <f>'d3'!N240-'d3-07'!N213</f>
        <v>0</v>
      </c>
      <c r="O240" s="324">
        <f>'d3'!O240-'d3-07'!O213</f>
        <v>0</v>
      </c>
      <c r="P240" s="324">
        <f>'d3'!P240-'d3-07'!P213</f>
        <v>-936185</v>
      </c>
      <c r="Q240" s="125"/>
      <c r="R240" s="125"/>
    </row>
    <row r="241" spans="1:18" ht="230.25" thickTop="1" thickBot="1" x14ac:dyDescent="0.25">
      <c r="A241" s="927" t="s">
        <v>643</v>
      </c>
      <c r="B241" s="927" t="s">
        <v>254</v>
      </c>
      <c r="C241" s="927" t="s">
        <v>252</v>
      </c>
      <c r="D241" s="927" t="s">
        <v>253</v>
      </c>
      <c r="E241" s="324">
        <f>'d3'!E241-'d3-07'!E214</f>
        <v>-936185</v>
      </c>
      <c r="F241" s="324">
        <f>'d3'!F241-'d3-07'!F214</f>
        <v>-936185</v>
      </c>
      <c r="G241" s="324">
        <f>'d3'!G241-'d3-07'!G214</f>
        <v>-800000</v>
      </c>
      <c r="H241" s="324">
        <f>'d3'!H241-'d3-07'!H214</f>
        <v>60815</v>
      </c>
      <c r="I241" s="324">
        <f>'d3'!I241-'d3-07'!I214</f>
        <v>0</v>
      </c>
      <c r="J241" s="324">
        <f>'d3'!J241-'d3-07'!J214</f>
        <v>0</v>
      </c>
      <c r="K241" s="324">
        <f>'d3'!K241-'d3-07'!K214</f>
        <v>0</v>
      </c>
      <c r="L241" s="324">
        <f>'d3'!L241-'d3-07'!L214</f>
        <v>0</v>
      </c>
      <c r="M241" s="324">
        <f>'d3'!M241-'d3-07'!M214</f>
        <v>0</v>
      </c>
      <c r="N241" s="324">
        <f>'d3'!N241-'d3-07'!N214</f>
        <v>0</v>
      </c>
      <c r="O241" s="324">
        <f>'d3'!O241-'d3-07'!O214</f>
        <v>0</v>
      </c>
      <c r="P241" s="324">
        <f>'d3'!P241-'d3-07'!P214</f>
        <v>-936185</v>
      </c>
      <c r="R241" s="125" t="b">
        <f>K241='d6'!J190</f>
        <v>0</v>
      </c>
    </row>
    <row r="242" spans="1:18" ht="184.5" thickTop="1" thickBot="1" x14ac:dyDescent="0.25">
      <c r="A242" s="920" t="s">
        <v>787</v>
      </c>
      <c r="B242" s="920" t="s">
        <v>388</v>
      </c>
      <c r="C242" s="920" t="s">
        <v>778</v>
      </c>
      <c r="D242" s="920" t="s">
        <v>779</v>
      </c>
      <c r="E242" s="324">
        <f>'d3'!E242-'d3-07'!E215</f>
        <v>0</v>
      </c>
      <c r="F242" s="324">
        <f>'d3'!F242-'d3-07'!F215</f>
        <v>0</v>
      </c>
      <c r="G242" s="324">
        <f>'d3'!G242-'d3-07'!G215</f>
        <v>0</v>
      </c>
      <c r="H242" s="324">
        <f>'d3'!H242-'d3-07'!H215</f>
        <v>0</v>
      </c>
      <c r="I242" s="324">
        <f>'d3'!I242-'d3-07'!I215</f>
        <v>0</v>
      </c>
      <c r="J242" s="324">
        <f>'d3'!J242-'d3-07'!J215</f>
        <v>0</v>
      </c>
      <c r="K242" s="324">
        <f>'d3'!K242-'d3-07'!K215</f>
        <v>0</v>
      </c>
      <c r="L242" s="324">
        <f>'d3'!L242-'d3-07'!L215</f>
        <v>0</v>
      </c>
      <c r="M242" s="324">
        <f>'d3'!M242-'d3-07'!M215</f>
        <v>0</v>
      </c>
      <c r="N242" s="324">
        <f>'d3'!N242-'d3-07'!N215</f>
        <v>0</v>
      </c>
      <c r="O242" s="324">
        <f>'d3'!O242-'d3-07'!O215</f>
        <v>0</v>
      </c>
      <c r="P242" s="324">
        <f>'d3'!P242-'d3-07'!P215</f>
        <v>0</v>
      </c>
      <c r="R242" s="125"/>
    </row>
    <row r="243" spans="1:18" ht="93" thickTop="1" thickBot="1" x14ac:dyDescent="0.25">
      <c r="A243" s="927" t="s">
        <v>644</v>
      </c>
      <c r="B243" s="927" t="s">
        <v>45</v>
      </c>
      <c r="C243" s="927" t="s">
        <v>44</v>
      </c>
      <c r="D243" s="927" t="s">
        <v>266</v>
      </c>
      <c r="E243" s="324">
        <f>'d3'!E243-'d3-07'!E216</f>
        <v>0</v>
      </c>
      <c r="F243" s="324">
        <f>'d3'!F243-'d3-07'!F216</f>
        <v>0</v>
      </c>
      <c r="G243" s="324">
        <f>'d3'!G243-'d3-07'!G216</f>
        <v>0</v>
      </c>
      <c r="H243" s="324">
        <f>'d3'!H243-'d3-07'!H216</f>
        <v>0</v>
      </c>
      <c r="I243" s="324">
        <f>'d3'!I243-'d3-07'!I216</f>
        <v>0</v>
      </c>
      <c r="J243" s="324">
        <f>'d3'!J243-'d3-07'!J216</f>
        <v>0</v>
      </c>
      <c r="K243" s="324">
        <f>'d3'!K243-'d3-07'!K216</f>
        <v>0</v>
      </c>
      <c r="L243" s="324">
        <f>'d3'!L243-'d3-07'!L216</f>
        <v>0</v>
      </c>
      <c r="M243" s="324">
        <f>'d3'!M243-'d3-07'!M216</f>
        <v>0</v>
      </c>
      <c r="N243" s="324">
        <f>'d3'!N243-'d3-07'!N216</f>
        <v>0</v>
      </c>
      <c r="O243" s="324">
        <f>'d3'!O243-'d3-07'!O216</f>
        <v>0</v>
      </c>
      <c r="P243" s="324">
        <f>'d3'!P243-'d3-07'!P216</f>
        <v>0</v>
      </c>
      <c r="R243" s="198"/>
    </row>
    <row r="244" spans="1:18" ht="91.5" thickTop="1" thickBot="1" x14ac:dyDescent="0.25">
      <c r="A244" s="173" t="s">
        <v>960</v>
      </c>
      <c r="B244" s="454" t="s">
        <v>902</v>
      </c>
      <c r="C244" s="454"/>
      <c r="D244" s="449" t="s">
        <v>903</v>
      </c>
      <c r="E244" s="324">
        <f>'d3'!E244-'d3-07'!E217</f>
        <v>-386043</v>
      </c>
      <c r="F244" s="324">
        <f>'d3'!F244-'d3-07'!F217</f>
        <v>-386043</v>
      </c>
      <c r="G244" s="324">
        <f>'d3'!G244-'d3-07'!G217</f>
        <v>0</v>
      </c>
      <c r="H244" s="324">
        <f>'d3'!H244-'d3-07'!H217</f>
        <v>-45000</v>
      </c>
      <c r="I244" s="324">
        <f>'d3'!I244-'d3-07'!I217</f>
        <v>0</v>
      </c>
      <c r="J244" s="324">
        <f>'d3'!J244-'d3-07'!J217</f>
        <v>-421908</v>
      </c>
      <c r="K244" s="324">
        <f>'d3'!K244-'d3-07'!K217</f>
        <v>-421908</v>
      </c>
      <c r="L244" s="324">
        <f>'d3'!L244-'d3-07'!L217</f>
        <v>0</v>
      </c>
      <c r="M244" s="324">
        <f>'d3'!M244-'d3-07'!M217</f>
        <v>0</v>
      </c>
      <c r="N244" s="324">
        <f>'d3'!N244-'d3-07'!N217</f>
        <v>0</v>
      </c>
      <c r="O244" s="324">
        <f>'d3'!O244-'d3-07'!O217</f>
        <v>-421908</v>
      </c>
      <c r="P244" s="324">
        <f>'d3'!P244-'d3-07'!P217</f>
        <v>-807951</v>
      </c>
      <c r="R244" s="198"/>
    </row>
    <row r="245" spans="1:18" ht="184.5" thickTop="1" thickBot="1" x14ac:dyDescent="0.25">
      <c r="A245" s="445" t="s">
        <v>961</v>
      </c>
      <c r="B245" s="403" t="s">
        <v>952</v>
      </c>
      <c r="C245" s="403"/>
      <c r="D245" s="403" t="s">
        <v>953</v>
      </c>
      <c r="E245" s="324">
        <f>'d3'!E245-'d3-07'!E218</f>
        <v>0</v>
      </c>
      <c r="F245" s="324">
        <f>'d3'!F245-'d3-07'!F218</f>
        <v>0</v>
      </c>
      <c r="G245" s="324">
        <f>'d3'!G245-'d3-07'!G218</f>
        <v>0</v>
      </c>
      <c r="H245" s="324">
        <f>'d3'!H245-'d3-07'!H218</f>
        <v>0</v>
      </c>
      <c r="I245" s="324">
        <f>'d3'!I245-'d3-07'!I218</f>
        <v>0</v>
      </c>
      <c r="J245" s="324">
        <f>'d3'!J245-'d3-07'!J218</f>
        <v>0</v>
      </c>
      <c r="K245" s="324">
        <f>'d3'!K245-'d3-07'!K218</f>
        <v>0</v>
      </c>
      <c r="L245" s="324">
        <f>'d3'!L245-'d3-07'!L218</f>
        <v>0</v>
      </c>
      <c r="M245" s="324">
        <f>'d3'!M245-'d3-07'!M218</f>
        <v>0</v>
      </c>
      <c r="N245" s="324">
        <f>'d3'!N245-'d3-07'!N218</f>
        <v>0</v>
      </c>
      <c r="O245" s="324">
        <f>'d3'!O245-'d3-07'!O218</f>
        <v>0</v>
      </c>
      <c r="P245" s="324">
        <f>'d3'!P245-'d3-07'!P218</f>
        <v>0</v>
      </c>
      <c r="R245" s="198"/>
    </row>
    <row r="246" spans="1:18" ht="138.75" thickTop="1" thickBot="1" x14ac:dyDescent="0.25">
      <c r="A246" s="927" t="s">
        <v>645</v>
      </c>
      <c r="B246" s="927" t="s">
        <v>403</v>
      </c>
      <c r="C246" s="927" t="s">
        <v>301</v>
      </c>
      <c r="D246" s="927" t="s">
        <v>404</v>
      </c>
      <c r="E246" s="324">
        <f>'d3'!E246-'d3-07'!E219</f>
        <v>0</v>
      </c>
      <c r="F246" s="324">
        <f>'d3'!F246-'d3-07'!F219</f>
        <v>0</v>
      </c>
      <c r="G246" s="324">
        <f>'d3'!G246-'d3-07'!G219</f>
        <v>0</v>
      </c>
      <c r="H246" s="324">
        <f>'d3'!H246-'d3-07'!H219</f>
        <v>0</v>
      </c>
      <c r="I246" s="324">
        <f>'d3'!I246-'d3-07'!I219</f>
        <v>0</v>
      </c>
      <c r="J246" s="324">
        <f>'d3'!J246-'d3-07'!J219</f>
        <v>0</v>
      </c>
      <c r="K246" s="324">
        <f>'d3'!K246-'d3-07'!K219</f>
        <v>0</v>
      </c>
      <c r="L246" s="324">
        <f>'d3'!L246-'d3-07'!L219</f>
        <v>0</v>
      </c>
      <c r="M246" s="324">
        <f>'d3'!M246-'d3-07'!M219</f>
        <v>0</v>
      </c>
      <c r="N246" s="324">
        <f>'d3'!N246-'d3-07'!N219</f>
        <v>0</v>
      </c>
      <c r="O246" s="324">
        <f>'d3'!O246-'d3-07'!O219</f>
        <v>0</v>
      </c>
      <c r="P246" s="324">
        <f>'d3'!P246-'d3-07'!P219</f>
        <v>0</v>
      </c>
      <c r="R246" s="198"/>
    </row>
    <row r="247" spans="1:18" ht="138.75" thickTop="1" thickBot="1" x14ac:dyDescent="0.25">
      <c r="A247" s="927" t="s">
        <v>646</v>
      </c>
      <c r="B247" s="927" t="s">
        <v>304</v>
      </c>
      <c r="C247" s="927" t="s">
        <v>301</v>
      </c>
      <c r="D247" s="927" t="s">
        <v>305</v>
      </c>
      <c r="E247" s="324">
        <f>'d3'!E247-'d3-07'!E220</f>
        <v>0</v>
      </c>
      <c r="F247" s="324">
        <f>'d3'!F247-'d3-07'!F220</f>
        <v>0</v>
      </c>
      <c r="G247" s="324">
        <f>'d3'!G247-'d3-07'!G220</f>
        <v>0</v>
      </c>
      <c r="H247" s="324">
        <f>'d3'!H247-'d3-07'!H220</f>
        <v>0</v>
      </c>
      <c r="I247" s="324">
        <f>'d3'!I247-'d3-07'!I220</f>
        <v>0</v>
      </c>
      <c r="J247" s="324">
        <f>'d3'!J247-'d3-07'!J220</f>
        <v>0</v>
      </c>
      <c r="K247" s="324">
        <f>'d3'!K247-'d3-07'!K220</f>
        <v>0</v>
      </c>
      <c r="L247" s="324">
        <f>'d3'!L247-'d3-07'!L220</f>
        <v>0</v>
      </c>
      <c r="M247" s="324">
        <f>'d3'!M247-'d3-07'!M220</f>
        <v>0</v>
      </c>
      <c r="N247" s="324">
        <f>'d3'!N247-'d3-07'!N220</f>
        <v>0</v>
      </c>
      <c r="O247" s="324">
        <f>'d3'!O247-'d3-07'!O220</f>
        <v>0</v>
      </c>
      <c r="P247" s="324">
        <f>'d3'!P247-'d3-07'!P220</f>
        <v>0</v>
      </c>
      <c r="R247" s="198"/>
    </row>
    <row r="248" spans="1:18" ht="230.25" thickTop="1" thickBot="1" x14ac:dyDescent="0.25">
      <c r="A248" s="927" t="s">
        <v>647</v>
      </c>
      <c r="B248" s="927" t="s">
        <v>316</v>
      </c>
      <c r="C248" s="927" t="s">
        <v>301</v>
      </c>
      <c r="D248" s="927" t="s">
        <v>317</v>
      </c>
      <c r="E248" s="324">
        <f>'d3'!E248-'d3-07'!E221</f>
        <v>-500000</v>
      </c>
      <c r="F248" s="324">
        <f>'d3'!F248-'d3-07'!F221</f>
        <v>-500000</v>
      </c>
      <c r="G248" s="324">
        <f>'d3'!G248-'d3-07'!G221</f>
        <v>0</v>
      </c>
      <c r="H248" s="324">
        <f>'d3'!H248-'d3-07'!H221</f>
        <v>0</v>
      </c>
      <c r="I248" s="324">
        <f>'d3'!I248-'d3-07'!I221</f>
        <v>0</v>
      </c>
      <c r="J248" s="324">
        <f>'d3'!J248-'d3-07'!J221</f>
        <v>0</v>
      </c>
      <c r="K248" s="324">
        <f>'d3'!K248-'d3-07'!K221</f>
        <v>0</v>
      </c>
      <c r="L248" s="324">
        <f>'d3'!L248-'d3-07'!L221</f>
        <v>0</v>
      </c>
      <c r="M248" s="324">
        <f>'d3'!M248-'d3-07'!M221</f>
        <v>0</v>
      </c>
      <c r="N248" s="324">
        <f>'d3'!N248-'d3-07'!N221</f>
        <v>0</v>
      </c>
      <c r="O248" s="324">
        <f>'d3'!O248-'d3-07'!O221</f>
        <v>0</v>
      </c>
      <c r="P248" s="324">
        <f>'d3'!P248-'d3-07'!P221</f>
        <v>-500000</v>
      </c>
      <c r="R248" s="198"/>
    </row>
    <row r="249" spans="1:18" ht="93" thickTop="1" thickBot="1" x14ac:dyDescent="0.25">
      <c r="A249" s="927" t="s">
        <v>648</v>
      </c>
      <c r="B249" s="927" t="s">
        <v>307</v>
      </c>
      <c r="C249" s="927" t="s">
        <v>301</v>
      </c>
      <c r="D249" s="927" t="s">
        <v>308</v>
      </c>
      <c r="E249" s="324">
        <f>'d3'!E249-'d3-07'!E222</f>
        <v>113957</v>
      </c>
      <c r="F249" s="324">
        <f>'d3'!F249-'d3-07'!F222</f>
        <v>113957</v>
      </c>
      <c r="G249" s="324">
        <f>'d3'!G249-'d3-07'!G222</f>
        <v>0</v>
      </c>
      <c r="H249" s="324">
        <f>'d3'!H249-'d3-07'!H222</f>
        <v>-45000</v>
      </c>
      <c r="I249" s="324">
        <f>'d3'!I249-'d3-07'!I222</f>
        <v>0</v>
      </c>
      <c r="J249" s="324">
        <f>'d3'!J249-'d3-07'!J222</f>
        <v>-421908</v>
      </c>
      <c r="K249" s="324">
        <f>'d3'!K249-'d3-07'!K222</f>
        <v>-421908</v>
      </c>
      <c r="L249" s="324">
        <f>'d3'!L249-'d3-07'!L222</f>
        <v>0</v>
      </c>
      <c r="M249" s="324">
        <f>'d3'!M249-'d3-07'!M222</f>
        <v>0</v>
      </c>
      <c r="N249" s="324">
        <f>'d3'!N249-'d3-07'!N222</f>
        <v>0</v>
      </c>
      <c r="O249" s="324">
        <f>'d3'!O249-'d3-07'!O222</f>
        <v>-421908</v>
      </c>
      <c r="P249" s="324">
        <f>'d3'!P249-'d3-07'!P222</f>
        <v>-307951</v>
      </c>
      <c r="R249" s="125" t="b">
        <f>K249='d6'!J192+'d6'!J193+'d6'!J194+'d6'!J195+'d6'!J196+'d6'!J197+'d6'!J198+'d6'!J199+'d6'!J200+'d6'!J201+'d6'!J203+'d6'!J204+'d6'!J205+'d6'!J206+'d6'!J207+'d6'!J208+'d6'!J209</f>
        <v>0</v>
      </c>
    </row>
    <row r="250" spans="1:18" ht="47.25" thickTop="1" thickBot="1" x14ac:dyDescent="0.25">
      <c r="A250" s="173" t="s">
        <v>962</v>
      </c>
      <c r="B250" s="454" t="s">
        <v>908</v>
      </c>
      <c r="C250" s="454"/>
      <c r="D250" s="454" t="s">
        <v>909</v>
      </c>
      <c r="E250" s="324">
        <f>'d3'!E250-'d3-07'!E223</f>
        <v>0</v>
      </c>
      <c r="F250" s="324">
        <f>'d3'!F250-'d3-07'!F223</f>
        <v>0</v>
      </c>
      <c r="G250" s="324">
        <f>'d3'!G250-'d3-07'!G223</f>
        <v>0</v>
      </c>
      <c r="H250" s="324">
        <f>'d3'!H250-'d3-07'!H223</f>
        <v>0</v>
      </c>
      <c r="I250" s="324">
        <f>'d3'!I250-'d3-07'!I223</f>
        <v>0</v>
      </c>
      <c r="J250" s="324">
        <f>'d3'!J250-'d3-07'!J223</f>
        <v>1121065</v>
      </c>
      <c r="K250" s="324">
        <f>'d3'!K250-'d3-07'!K223</f>
        <v>621064.9999999851</v>
      </c>
      <c r="L250" s="324">
        <f>'d3'!L250-'d3-07'!L223</f>
        <v>0</v>
      </c>
      <c r="M250" s="324">
        <f>'d3'!M250-'d3-07'!M223</f>
        <v>0</v>
      </c>
      <c r="N250" s="324">
        <f>'d3'!N250-'d3-07'!N223</f>
        <v>0</v>
      </c>
      <c r="O250" s="324">
        <f>'d3'!O250-'d3-07'!O223</f>
        <v>1121065</v>
      </c>
      <c r="P250" s="324">
        <f>'d3'!P250-'d3-07'!P223</f>
        <v>1121065</v>
      </c>
      <c r="R250" s="198"/>
    </row>
    <row r="251" spans="1:18" ht="91.5" thickTop="1" thickBot="1" x14ac:dyDescent="0.25">
      <c r="A251" s="450" t="s">
        <v>963</v>
      </c>
      <c r="B251" s="450" t="s">
        <v>964</v>
      </c>
      <c r="C251" s="450"/>
      <c r="D251" s="450" t="s">
        <v>965</v>
      </c>
      <c r="E251" s="324">
        <f>'d3'!E251-'d3-07'!E224</f>
        <v>0</v>
      </c>
      <c r="F251" s="324">
        <f>'d3'!F251-'d3-07'!F224</f>
        <v>0</v>
      </c>
      <c r="G251" s="324">
        <f>'d3'!G251-'d3-07'!G224</f>
        <v>0</v>
      </c>
      <c r="H251" s="324">
        <f>'d3'!H251-'d3-07'!H224</f>
        <v>0</v>
      </c>
      <c r="I251" s="324">
        <f>'d3'!I251-'d3-07'!I224</f>
        <v>0</v>
      </c>
      <c r="J251" s="324">
        <f>'d3'!J251-'d3-07'!J224</f>
        <v>650000</v>
      </c>
      <c r="K251" s="324">
        <f>'d3'!K251-'d3-07'!K224</f>
        <v>650000</v>
      </c>
      <c r="L251" s="324">
        <f>'d3'!L251-'d3-07'!L224</f>
        <v>0</v>
      </c>
      <c r="M251" s="324">
        <f>'d3'!M251-'d3-07'!M224</f>
        <v>0</v>
      </c>
      <c r="N251" s="324">
        <f>'d3'!N251-'d3-07'!N224</f>
        <v>0</v>
      </c>
      <c r="O251" s="324">
        <f>'d3'!O251-'d3-07'!O224</f>
        <v>650000</v>
      </c>
      <c r="P251" s="324">
        <f>'d3'!P251-'d3-07'!P224</f>
        <v>650000</v>
      </c>
      <c r="R251" s="198"/>
    </row>
    <row r="252" spans="1:18" ht="99.75" thickTop="1" thickBot="1" x14ac:dyDescent="0.25">
      <c r="A252" s="927" t="s">
        <v>649</v>
      </c>
      <c r="B252" s="927" t="s">
        <v>324</v>
      </c>
      <c r="C252" s="927" t="s">
        <v>323</v>
      </c>
      <c r="D252" s="927" t="s">
        <v>780</v>
      </c>
      <c r="E252" s="324">
        <f>'d3'!E252-'d3-07'!E225</f>
        <v>0</v>
      </c>
      <c r="F252" s="324">
        <f>'d3'!F252-'d3-07'!F225</f>
        <v>0</v>
      </c>
      <c r="G252" s="324">
        <f>'d3'!G252-'d3-07'!G225</f>
        <v>0</v>
      </c>
      <c r="H252" s="324">
        <f>'d3'!H252-'d3-07'!H225</f>
        <v>0</v>
      </c>
      <c r="I252" s="324">
        <f>'d3'!I252-'d3-07'!I225</f>
        <v>0</v>
      </c>
      <c r="J252" s="324">
        <f>'d3'!J252-'d3-07'!J225</f>
        <v>650000</v>
      </c>
      <c r="K252" s="324">
        <f>'d3'!K252-'d3-07'!K225</f>
        <v>650000</v>
      </c>
      <c r="L252" s="324">
        <f>'d3'!L252-'d3-07'!L225</f>
        <v>0</v>
      </c>
      <c r="M252" s="324">
        <f>'d3'!M252-'d3-07'!M225</f>
        <v>0</v>
      </c>
      <c r="N252" s="324">
        <f>'d3'!N252-'d3-07'!N225</f>
        <v>0</v>
      </c>
      <c r="O252" s="324">
        <f>'d3'!O252-'d3-07'!O225</f>
        <v>650000</v>
      </c>
      <c r="P252" s="324">
        <f>'d3'!P252-'d3-07'!P225</f>
        <v>650000</v>
      </c>
      <c r="R252" s="125" t="b">
        <f>K252='d6'!J211+'d6'!J212+'d6'!J214+'d6'!J218+'d6'!J219</f>
        <v>0</v>
      </c>
    </row>
    <row r="253" spans="1:18" ht="136.5" thickTop="1" thickBot="1" x14ac:dyDescent="0.25">
      <c r="A253" s="450" t="s">
        <v>966</v>
      </c>
      <c r="B253" s="450" t="s">
        <v>967</v>
      </c>
      <c r="C253" s="450"/>
      <c r="D253" s="450" t="s">
        <v>968</v>
      </c>
      <c r="E253" s="324">
        <f>'d3'!E253-'d3-07'!E226</f>
        <v>0</v>
      </c>
      <c r="F253" s="324">
        <f>'d3'!F253-'d3-07'!F226</f>
        <v>0</v>
      </c>
      <c r="G253" s="324">
        <f>'d3'!G253-'d3-07'!G226</f>
        <v>0</v>
      </c>
      <c r="H253" s="324">
        <f>'d3'!H253-'d3-07'!H226</f>
        <v>0</v>
      </c>
      <c r="I253" s="324">
        <f>'d3'!I253-'d3-07'!I226</f>
        <v>0</v>
      </c>
      <c r="J253" s="324">
        <f>'d3'!J253-'d3-07'!J226</f>
        <v>0</v>
      </c>
      <c r="K253" s="324">
        <f>'d3'!K253-'d3-07'!K226</f>
        <v>0</v>
      </c>
      <c r="L253" s="324">
        <f>'d3'!L253-'d3-07'!L226</f>
        <v>0</v>
      </c>
      <c r="M253" s="324">
        <f>'d3'!M253-'d3-07'!M226</f>
        <v>0</v>
      </c>
      <c r="N253" s="324">
        <f>'d3'!N253-'d3-07'!N226</f>
        <v>0</v>
      </c>
      <c r="O253" s="324">
        <f>'d3'!O253-'d3-07'!O226</f>
        <v>0</v>
      </c>
      <c r="P253" s="324">
        <f>'d3'!P253-'d3-07'!P226</f>
        <v>0</v>
      </c>
      <c r="R253" s="198"/>
    </row>
    <row r="254" spans="1:18" ht="138.75" thickTop="1" thickBot="1" x14ac:dyDescent="0.25">
      <c r="A254" s="927" t="s">
        <v>1242</v>
      </c>
      <c r="B254" s="445" t="s">
        <v>1243</v>
      </c>
      <c r="C254" s="450"/>
      <c r="D254" s="445" t="s">
        <v>1244</v>
      </c>
      <c r="E254" s="324">
        <f>'d3'!E254-'d3-07'!E227</f>
        <v>0</v>
      </c>
      <c r="F254" s="324">
        <f>'d3'!F254-'d3-07'!F227</f>
        <v>0</v>
      </c>
      <c r="G254" s="324">
        <f>'d3'!G254-'d3-07'!G227</f>
        <v>0</v>
      </c>
      <c r="H254" s="324">
        <f>'d3'!H254-'d3-07'!H227</f>
        <v>0</v>
      </c>
      <c r="I254" s="324">
        <f>'d3'!I254-'d3-07'!I227</f>
        <v>0</v>
      </c>
      <c r="J254" s="324">
        <f>'d3'!J254-'d3-07'!J227</f>
        <v>0</v>
      </c>
      <c r="K254" s="324">
        <f>'d3'!K254-'d3-07'!K227</f>
        <v>0</v>
      </c>
      <c r="L254" s="324">
        <f>'d3'!L254-'d3-07'!L227</f>
        <v>0</v>
      </c>
      <c r="M254" s="324">
        <f>'d3'!M254-'d3-07'!M227</f>
        <v>0</v>
      </c>
      <c r="N254" s="324">
        <f>'d3'!N254-'d3-07'!N227</f>
        <v>0</v>
      </c>
      <c r="O254" s="324">
        <f>'d3'!O254-'d3-07'!O227</f>
        <v>0</v>
      </c>
      <c r="P254" s="324">
        <f>'d3'!P254-'d3-07'!P227</f>
        <v>0</v>
      </c>
      <c r="R254" s="198"/>
    </row>
    <row r="255" spans="1:18" ht="230.25" thickTop="1" thickBot="1" x14ac:dyDescent="0.25">
      <c r="A255" s="927" t="s">
        <v>650</v>
      </c>
      <c r="B255" s="927" t="s">
        <v>312</v>
      </c>
      <c r="C255" s="927" t="s">
        <v>314</v>
      </c>
      <c r="D255" s="927" t="s">
        <v>313</v>
      </c>
      <c r="E255" s="324">
        <f>'d3'!E255-'d3-07'!E228</f>
        <v>0</v>
      </c>
      <c r="F255" s="324">
        <f>'d3'!F255-'d3-07'!F228</f>
        <v>0</v>
      </c>
      <c r="G255" s="324">
        <f>'d3'!G255-'d3-07'!G228</f>
        <v>0</v>
      </c>
      <c r="H255" s="324">
        <f>'d3'!H255-'d3-07'!H228</f>
        <v>0</v>
      </c>
      <c r="I255" s="324">
        <f>'d3'!I255-'d3-07'!I228</f>
        <v>0</v>
      </c>
      <c r="J255" s="324">
        <f>'d3'!J255-'d3-07'!J228</f>
        <v>0</v>
      </c>
      <c r="K255" s="324">
        <f>'d3'!K255-'d3-07'!K228</f>
        <v>0</v>
      </c>
      <c r="L255" s="324">
        <f>'d3'!L255-'d3-07'!L228</f>
        <v>0</v>
      </c>
      <c r="M255" s="324">
        <f>'d3'!M255-'d3-07'!M228</f>
        <v>0</v>
      </c>
      <c r="N255" s="324">
        <f>'d3'!N255-'d3-07'!N228</f>
        <v>0</v>
      </c>
      <c r="O255" s="324">
        <f>'d3'!O255-'d3-07'!O228</f>
        <v>0</v>
      </c>
      <c r="P255" s="324">
        <f>'d3'!P255-'d3-07'!P228</f>
        <v>0</v>
      </c>
      <c r="R255" s="125" t="b">
        <f>K255='d6'!J220</f>
        <v>0</v>
      </c>
    </row>
    <row r="256" spans="1:18" ht="136.5" thickTop="1" thickBot="1" x14ac:dyDescent="0.25">
      <c r="A256" s="450" t="s">
        <v>969</v>
      </c>
      <c r="B256" s="450" t="s">
        <v>850</v>
      </c>
      <c r="C256" s="450"/>
      <c r="D256" s="450" t="s">
        <v>848</v>
      </c>
      <c r="E256" s="324">
        <f>'d3'!E256-'d3-07'!E229</f>
        <v>0</v>
      </c>
      <c r="F256" s="324">
        <f>'d3'!F256-'d3-07'!F229</f>
        <v>0</v>
      </c>
      <c r="G256" s="324">
        <f>'d3'!G256-'d3-07'!G229</f>
        <v>0</v>
      </c>
      <c r="H256" s="324">
        <f>'d3'!H256-'d3-07'!H229</f>
        <v>0</v>
      </c>
      <c r="I256" s="324">
        <f>'d3'!I256-'d3-07'!I229</f>
        <v>0</v>
      </c>
      <c r="J256" s="324">
        <f>'d3'!J256-'d3-07'!J229</f>
        <v>471065</v>
      </c>
      <c r="K256" s="324">
        <f>'d3'!K256-'d3-07'!K229</f>
        <v>-28935</v>
      </c>
      <c r="L256" s="324">
        <f>'d3'!L256-'d3-07'!L229</f>
        <v>0</v>
      </c>
      <c r="M256" s="324">
        <f>'d3'!M256-'d3-07'!M229</f>
        <v>0</v>
      </c>
      <c r="N256" s="324">
        <f>'d3'!N256-'d3-07'!N229</f>
        <v>0</v>
      </c>
      <c r="O256" s="324">
        <f>'d3'!O256-'d3-07'!O229</f>
        <v>471065</v>
      </c>
      <c r="P256" s="324">
        <f>'d3'!P256-'d3-07'!P229</f>
        <v>471065</v>
      </c>
      <c r="R256" s="125"/>
    </row>
    <row r="257" spans="1:18" ht="47.25" thickTop="1" thickBot="1" x14ac:dyDescent="0.25">
      <c r="A257" s="927" t="s">
        <v>651</v>
      </c>
      <c r="B257" s="927" t="s">
        <v>230</v>
      </c>
      <c r="C257" s="927" t="s">
        <v>231</v>
      </c>
      <c r="D257" s="927" t="s">
        <v>43</v>
      </c>
      <c r="E257" s="324">
        <f>'d3'!E257-'d3-07'!E230</f>
        <v>0</v>
      </c>
      <c r="F257" s="324">
        <f>'d3'!F257-'d3-07'!F230</f>
        <v>0</v>
      </c>
      <c r="G257" s="324">
        <f>'d3'!G257-'d3-07'!G230</f>
        <v>0</v>
      </c>
      <c r="H257" s="324">
        <f>'d3'!H257-'d3-07'!H230</f>
        <v>0</v>
      </c>
      <c r="I257" s="324">
        <f>'d3'!I257-'d3-07'!I230</f>
        <v>0</v>
      </c>
      <c r="J257" s="324">
        <f>'d3'!J257-'d3-07'!J230</f>
        <v>0</v>
      </c>
      <c r="K257" s="324">
        <f>'d3'!K257-'d3-07'!K230</f>
        <v>0</v>
      </c>
      <c r="L257" s="324">
        <f>'d3'!L257-'d3-07'!L230</f>
        <v>0</v>
      </c>
      <c r="M257" s="324">
        <f>'d3'!M257-'d3-07'!M230</f>
        <v>0</v>
      </c>
      <c r="N257" s="324">
        <f>'d3'!N257-'d3-07'!N230</f>
        <v>0</v>
      </c>
      <c r="O257" s="324">
        <f>'d3'!O257-'d3-07'!O230</f>
        <v>0</v>
      </c>
      <c r="P257" s="324">
        <f>'d3'!P257-'d3-07'!P230</f>
        <v>0</v>
      </c>
      <c r="R257" s="125" t="b">
        <f>K257='d6'!J221</f>
        <v>0</v>
      </c>
    </row>
    <row r="258" spans="1:18" ht="93" thickTop="1" thickBot="1" x14ac:dyDescent="0.25">
      <c r="A258" s="927" t="s">
        <v>652</v>
      </c>
      <c r="B258" s="927" t="s">
        <v>215</v>
      </c>
      <c r="C258" s="927" t="s">
        <v>184</v>
      </c>
      <c r="D258" s="927" t="s">
        <v>36</v>
      </c>
      <c r="E258" s="324">
        <f>'d3'!E258-'d3-07'!E231</f>
        <v>0</v>
      </c>
      <c r="F258" s="324">
        <f>'d3'!F258-'d3-07'!F231</f>
        <v>0</v>
      </c>
      <c r="G258" s="324">
        <f>'d3'!G258-'d3-07'!G231</f>
        <v>0</v>
      </c>
      <c r="H258" s="324">
        <f>'d3'!H258-'d3-07'!H231</f>
        <v>0</v>
      </c>
      <c r="I258" s="324">
        <f>'d3'!I258-'d3-07'!I231</f>
        <v>0</v>
      </c>
      <c r="J258" s="324">
        <f>'d3'!J258-'d3-07'!J231</f>
        <v>-28935</v>
      </c>
      <c r="K258" s="324">
        <f>'d3'!K258-'d3-07'!K231</f>
        <v>-28935</v>
      </c>
      <c r="L258" s="324">
        <f>'d3'!L258-'d3-07'!L231</f>
        <v>0</v>
      </c>
      <c r="M258" s="324">
        <f>'d3'!M258-'d3-07'!M231</f>
        <v>0</v>
      </c>
      <c r="N258" s="324">
        <f>'d3'!N258-'d3-07'!N231</f>
        <v>0</v>
      </c>
      <c r="O258" s="324">
        <f>'d3'!O258-'d3-07'!O231</f>
        <v>-28935</v>
      </c>
      <c r="P258" s="324">
        <f>'d3'!P258-'d3-07'!P231</f>
        <v>-28935</v>
      </c>
      <c r="R258" s="125" t="b">
        <f>K258='d6'!J223+'d6'!J224+'d6'!J225+'d6'!J226+'d6'!J227+'d6'!J228+'d6'!J229+'d6'!J231+'d6'!J233+'d6'!J235+'d6'!J236+'d6'!J237+'d6'!J238+'d6'!J239+'d6'!J240+'d6'!J241+'d6'!J242+'d6'!J243+'d6'!J244+'d6'!J245+'d6'!J246+'d6'!J247+'d6'!J248+'d6'!J249+'d6'!J250+'d6'!J251+'d6'!J254+'d6'!J255+'d6'!J256+'d6'!J257+'d6'!J258+'d6'!J259+'d6'!J260+'d6'!J261+'d6'!J262+'d6'!J263+'d6'!J264+'d6'!J265+'d6'!J266+'d6'!J267+'d6'!J268+'d6'!J269</f>
        <v>0</v>
      </c>
    </row>
    <row r="259" spans="1:18" ht="47.25" thickTop="1" thickBot="1" x14ac:dyDescent="0.25">
      <c r="A259" s="445" t="s">
        <v>970</v>
      </c>
      <c r="B259" s="445" t="s">
        <v>853</v>
      </c>
      <c r="C259" s="445"/>
      <c r="D259" s="445" t="s">
        <v>958</v>
      </c>
      <c r="E259" s="324">
        <f>'d3'!E259-'d3-07'!E232</f>
        <v>0</v>
      </c>
      <c r="F259" s="324">
        <f>'d3'!F259-'d3-07'!F232</f>
        <v>0</v>
      </c>
      <c r="G259" s="324">
        <f>'d3'!G259-'d3-07'!G232</f>
        <v>0</v>
      </c>
      <c r="H259" s="324">
        <f>'d3'!H259-'d3-07'!H232</f>
        <v>0</v>
      </c>
      <c r="I259" s="324">
        <f>'d3'!I259-'d3-07'!I232</f>
        <v>0</v>
      </c>
      <c r="J259" s="324">
        <f>'d3'!J259-'d3-07'!J232</f>
        <v>500000</v>
      </c>
      <c r="K259" s="324">
        <f>'d3'!K259-'d3-07'!K232</f>
        <v>0</v>
      </c>
      <c r="L259" s="324">
        <f>'d3'!L259-'d3-07'!L232</f>
        <v>0</v>
      </c>
      <c r="M259" s="324">
        <f>'d3'!M259-'d3-07'!M232</f>
        <v>0</v>
      </c>
      <c r="N259" s="324">
        <f>'d3'!N259-'d3-07'!N232</f>
        <v>0</v>
      </c>
      <c r="O259" s="324">
        <f>'d3'!O259-'d3-07'!O232</f>
        <v>500000</v>
      </c>
      <c r="P259" s="324">
        <f>'d3'!P259-'d3-07'!P232</f>
        <v>500000</v>
      </c>
      <c r="R259" s="198"/>
    </row>
    <row r="260" spans="1:18" ht="409.6" thickTop="1" thickBot="1" x14ac:dyDescent="0.7">
      <c r="A260" s="1037" t="s">
        <v>653</v>
      </c>
      <c r="B260" s="1037" t="s">
        <v>363</v>
      </c>
      <c r="C260" s="1037" t="s">
        <v>184</v>
      </c>
      <c r="D260" s="326" t="s">
        <v>473</v>
      </c>
      <c r="E260" s="1226">
        <f>'d3'!E260-'d3-07'!E233</f>
        <v>0</v>
      </c>
      <c r="F260" s="1226">
        <f>'d3'!F260-'d3-07'!F233</f>
        <v>0</v>
      </c>
      <c r="G260" s="1226">
        <f>'d3'!G260-'d3-07'!G233</f>
        <v>0</v>
      </c>
      <c r="H260" s="1226">
        <f>'d3'!H260-'d3-07'!H233</f>
        <v>0</v>
      </c>
      <c r="I260" s="1226">
        <f>'d3'!I260-'d3-07'!I233</f>
        <v>0</v>
      </c>
      <c r="J260" s="1226">
        <f>'d3'!J260-'d3-07'!J233</f>
        <v>500000</v>
      </c>
      <c r="K260" s="1226">
        <f>'d3'!K260-'d3-07'!K233</f>
        <v>0</v>
      </c>
      <c r="L260" s="1226">
        <f>'d3'!L260-'d3-07'!L233</f>
        <v>0</v>
      </c>
      <c r="M260" s="1226">
        <f>'d3'!M260-'d3-07'!M233</f>
        <v>0</v>
      </c>
      <c r="N260" s="1226">
        <f>'d3'!N260-'d3-07'!N233</f>
        <v>0</v>
      </c>
      <c r="O260" s="1226">
        <f>'d3'!O260-'d3-07'!O233</f>
        <v>500000</v>
      </c>
      <c r="P260" s="1226">
        <f>'d3'!P260-'d3-07'!P233</f>
        <v>500000</v>
      </c>
      <c r="R260" s="198"/>
    </row>
    <row r="261" spans="1:18" ht="184.5" thickTop="1" thickBot="1" x14ac:dyDescent="0.25">
      <c r="A261" s="1037"/>
      <c r="B261" s="1037"/>
      <c r="C261" s="1037"/>
      <c r="D261" s="329" t="s">
        <v>474</v>
      </c>
      <c r="E261" s="1026"/>
      <c r="F261" s="1026"/>
      <c r="G261" s="1026"/>
      <c r="H261" s="1026"/>
      <c r="I261" s="1026"/>
      <c r="J261" s="1026"/>
      <c r="K261" s="1026"/>
      <c r="L261" s="1026"/>
      <c r="M261" s="1026"/>
      <c r="N261" s="1026"/>
      <c r="O261" s="1026"/>
      <c r="P261" s="1026"/>
      <c r="R261" s="198"/>
    </row>
    <row r="262" spans="1:18" ht="47.25" thickTop="1" thickBot="1" x14ac:dyDescent="0.25">
      <c r="A262" s="173" t="s">
        <v>971</v>
      </c>
      <c r="B262" s="455" t="s">
        <v>855</v>
      </c>
      <c r="C262" s="455"/>
      <c r="D262" s="468" t="s">
        <v>856</v>
      </c>
      <c r="E262" s="324">
        <f>'d3'!E262-'d3-07'!E235</f>
        <v>-104400</v>
      </c>
      <c r="F262" s="324">
        <f>'d3'!F262-'d3-07'!F235</f>
        <v>-104400</v>
      </c>
      <c r="G262" s="324">
        <f>'d3'!G262-'d3-07'!G235</f>
        <v>-69200</v>
      </c>
      <c r="H262" s="324">
        <f>'d3'!H262-'d3-07'!H235</f>
        <v>-10000</v>
      </c>
      <c r="I262" s="324">
        <f>'d3'!I262-'d3-07'!I235</f>
        <v>0</v>
      </c>
      <c r="J262" s="324">
        <f>'d3'!J262-'d3-07'!J235</f>
        <v>0</v>
      </c>
      <c r="K262" s="324">
        <f>'d3'!K262-'d3-07'!K235</f>
        <v>0</v>
      </c>
      <c r="L262" s="324">
        <f>'d3'!L262-'d3-07'!L235</f>
        <v>0</v>
      </c>
      <c r="M262" s="324">
        <f>'d3'!M262-'d3-07'!M235</f>
        <v>0</v>
      </c>
      <c r="N262" s="324">
        <f>'d3'!N262-'d3-07'!N235</f>
        <v>0</v>
      </c>
      <c r="O262" s="324">
        <f>'d3'!O262-'d3-07'!O235</f>
        <v>0</v>
      </c>
      <c r="P262" s="324">
        <f>'d3'!P262-'d3-07'!P235</f>
        <v>-104400</v>
      </c>
      <c r="R262" s="198"/>
    </row>
    <row r="263" spans="1:18" ht="181.5" thickTop="1" thickBot="1" x14ac:dyDescent="0.25">
      <c r="A263" s="450" t="s">
        <v>973</v>
      </c>
      <c r="B263" s="404" t="s">
        <v>974</v>
      </c>
      <c r="C263" s="404"/>
      <c r="D263" s="469" t="s">
        <v>972</v>
      </c>
      <c r="E263" s="324">
        <f>'d3'!E263-'d3-07'!E236</f>
        <v>-104400</v>
      </c>
      <c r="F263" s="324">
        <f>'d3'!F263-'d3-07'!F236</f>
        <v>-104400</v>
      </c>
      <c r="G263" s="324">
        <f>'d3'!G263-'d3-07'!G236</f>
        <v>-69200</v>
      </c>
      <c r="H263" s="324">
        <f>'d3'!H263-'d3-07'!H236</f>
        <v>-10000</v>
      </c>
      <c r="I263" s="324">
        <f>'d3'!I263-'d3-07'!I236</f>
        <v>0</v>
      </c>
      <c r="J263" s="324">
        <f>'d3'!J263-'d3-07'!J236</f>
        <v>0</v>
      </c>
      <c r="K263" s="324">
        <f>'d3'!K263-'d3-07'!K236</f>
        <v>0</v>
      </c>
      <c r="L263" s="324">
        <f>'d3'!L263-'d3-07'!L236</f>
        <v>0</v>
      </c>
      <c r="M263" s="324">
        <f>'d3'!M263-'d3-07'!M236</f>
        <v>0</v>
      </c>
      <c r="N263" s="324">
        <f>'d3'!N263-'d3-07'!N236</f>
        <v>0</v>
      </c>
      <c r="O263" s="324">
        <f>'d3'!O263-'d3-07'!O236</f>
        <v>0</v>
      </c>
      <c r="P263" s="324">
        <f>'d3'!P263-'d3-07'!P236</f>
        <v>-104400</v>
      </c>
      <c r="R263" s="198"/>
    </row>
    <row r="264" spans="1:18" ht="184.5" thickTop="1" thickBot="1" x14ac:dyDescent="0.25">
      <c r="A264" s="927" t="s">
        <v>654</v>
      </c>
      <c r="B264" s="927" t="s">
        <v>565</v>
      </c>
      <c r="C264" s="927" t="s">
        <v>269</v>
      </c>
      <c r="D264" s="927" t="s">
        <v>566</v>
      </c>
      <c r="E264" s="324">
        <f>'d3'!E264-'d3-07'!E237</f>
        <v>0</v>
      </c>
      <c r="F264" s="324">
        <f>'d3'!F264-'d3-07'!F237</f>
        <v>0</v>
      </c>
      <c r="G264" s="324">
        <f>'d3'!G264-'d3-07'!G237</f>
        <v>0</v>
      </c>
      <c r="H264" s="324">
        <f>'d3'!H264-'d3-07'!H237</f>
        <v>0</v>
      </c>
      <c r="I264" s="324">
        <f>'d3'!I264-'d3-07'!I237</f>
        <v>0</v>
      </c>
      <c r="J264" s="324">
        <f>'d3'!J264-'d3-07'!J237</f>
        <v>0</v>
      </c>
      <c r="K264" s="324">
        <f>'d3'!K264-'d3-07'!K237</f>
        <v>0</v>
      </c>
      <c r="L264" s="324">
        <f>'d3'!L264-'d3-07'!L237</f>
        <v>0</v>
      </c>
      <c r="M264" s="324">
        <f>'d3'!M264-'d3-07'!M237</f>
        <v>0</v>
      </c>
      <c r="N264" s="324">
        <f>'d3'!N264-'d3-07'!N237</f>
        <v>0</v>
      </c>
      <c r="O264" s="324">
        <f>'d3'!O264-'d3-07'!O237</f>
        <v>0</v>
      </c>
      <c r="P264" s="324">
        <f>'d3'!P264-'d3-07'!P237</f>
        <v>0</v>
      </c>
      <c r="R264" s="198"/>
    </row>
    <row r="265" spans="1:18" ht="93" thickTop="1" thickBot="1" x14ac:dyDescent="0.25">
      <c r="A265" s="921" t="s">
        <v>655</v>
      </c>
      <c r="B265" s="921" t="s">
        <v>268</v>
      </c>
      <c r="C265" s="921" t="s">
        <v>269</v>
      </c>
      <c r="D265" s="921" t="s">
        <v>267</v>
      </c>
      <c r="E265" s="324">
        <f>'d3'!E265-'d3-07'!E238</f>
        <v>-104400</v>
      </c>
      <c r="F265" s="324">
        <f>'d3'!F265-'d3-07'!F238</f>
        <v>-104400</v>
      </c>
      <c r="G265" s="324">
        <f>'d3'!G265-'d3-07'!G238</f>
        <v>-69200</v>
      </c>
      <c r="H265" s="324">
        <f>'d3'!H265-'d3-07'!H238</f>
        <v>-10000</v>
      </c>
      <c r="I265" s="324">
        <f>'d3'!I265-'d3-07'!I238</f>
        <v>0</v>
      </c>
      <c r="J265" s="324">
        <f>'d3'!J265-'d3-07'!J238</f>
        <v>0</v>
      </c>
      <c r="K265" s="324">
        <f>'d3'!K265-'d3-07'!K238</f>
        <v>0</v>
      </c>
      <c r="L265" s="324">
        <f>'d3'!L265-'d3-07'!L238</f>
        <v>0</v>
      </c>
      <c r="M265" s="324">
        <f>'d3'!M265-'d3-07'!M238</f>
        <v>0</v>
      </c>
      <c r="N265" s="324">
        <f>'d3'!N265-'d3-07'!N238</f>
        <v>0</v>
      </c>
      <c r="O265" s="324">
        <f>'d3'!O265-'d3-07'!O238</f>
        <v>0</v>
      </c>
      <c r="P265" s="324">
        <f>'d3'!P265-'d3-07'!P238</f>
        <v>-104400</v>
      </c>
      <c r="R265" s="930" t="b">
        <f>K265='d6'!J270</f>
        <v>0</v>
      </c>
    </row>
    <row r="266" spans="1:18" ht="93" hidden="1" thickTop="1" thickBot="1" x14ac:dyDescent="0.25">
      <c r="A266" s="511" t="s">
        <v>656</v>
      </c>
      <c r="B266" s="511" t="s">
        <v>657</v>
      </c>
      <c r="C266" s="511" t="s">
        <v>269</v>
      </c>
      <c r="D266" s="511" t="s">
        <v>658</v>
      </c>
      <c r="E266" s="517">
        <f t="shared" ref="E266" si="44">F266</f>
        <v>0</v>
      </c>
      <c r="F266" s="518">
        <f>(1219000)-1219000</f>
        <v>0</v>
      </c>
      <c r="G266" s="518">
        <f>(354000+540000)-894000</f>
        <v>0</v>
      </c>
      <c r="H266" s="518">
        <f>(6000+3000)-9000</f>
        <v>0</v>
      </c>
      <c r="I266" s="518"/>
      <c r="J266" s="836">
        <f>L266+O266</f>
        <v>0</v>
      </c>
      <c r="K266" s="809"/>
      <c r="L266" s="837"/>
      <c r="M266" s="837"/>
      <c r="N266" s="837"/>
      <c r="O266" s="838">
        <f>K266</f>
        <v>0</v>
      </c>
      <c r="P266" s="836">
        <f>E266+J266</f>
        <v>0</v>
      </c>
      <c r="R266" s="198"/>
    </row>
    <row r="267" spans="1:18" ht="316.5" thickTop="1" thickBot="1" x14ac:dyDescent="0.25">
      <c r="A267" s="853" t="s">
        <v>25</v>
      </c>
      <c r="B267" s="853"/>
      <c r="C267" s="853"/>
      <c r="D267" s="854" t="s">
        <v>400</v>
      </c>
      <c r="E267" s="855">
        <f>E268</f>
        <v>-293000</v>
      </c>
      <c r="F267" s="856">
        <f t="shared" ref="F267:G267" si="45">F268</f>
        <v>-293000</v>
      </c>
      <c r="G267" s="856">
        <f t="shared" si="45"/>
        <v>-180000</v>
      </c>
      <c r="H267" s="856">
        <f>H268</f>
        <v>7000</v>
      </c>
      <c r="I267" s="856">
        <f t="shared" ref="I267" si="46">I268</f>
        <v>0</v>
      </c>
      <c r="J267" s="855">
        <f>J268</f>
        <v>2000000</v>
      </c>
      <c r="K267" s="856">
        <f>K268</f>
        <v>2000000</v>
      </c>
      <c r="L267" s="856">
        <f>L268</f>
        <v>0</v>
      </c>
      <c r="M267" s="856">
        <f t="shared" ref="M267" si="47">M268</f>
        <v>0</v>
      </c>
      <c r="N267" s="856">
        <f>N268</f>
        <v>0</v>
      </c>
      <c r="O267" s="855">
        <f>O268</f>
        <v>2000000</v>
      </c>
      <c r="P267" s="856">
        <f t="shared" ref="P267" si="48">P268</f>
        <v>1707000</v>
      </c>
    </row>
    <row r="268" spans="1:18" ht="181.5" thickTop="1" thickBot="1" x14ac:dyDescent="0.25">
      <c r="A268" s="857" t="s">
        <v>26</v>
      </c>
      <c r="B268" s="857"/>
      <c r="C268" s="857"/>
      <c r="D268" s="858" t="s">
        <v>1068</v>
      </c>
      <c r="E268" s="859">
        <f>E269+E273+E276</f>
        <v>-293000</v>
      </c>
      <c r="F268" s="859">
        <f t="shared" ref="F268:I268" si="49">F269+F273+F276</f>
        <v>-293000</v>
      </c>
      <c r="G268" s="859">
        <f t="shared" si="49"/>
        <v>-180000</v>
      </c>
      <c r="H268" s="859">
        <f t="shared" si="49"/>
        <v>7000</v>
      </c>
      <c r="I268" s="859">
        <f t="shared" si="49"/>
        <v>0</v>
      </c>
      <c r="J268" s="859">
        <f>L268+O268</f>
        <v>2000000</v>
      </c>
      <c r="K268" s="859">
        <f t="shared" ref="K268:O268" si="50">K269+K273+K276</f>
        <v>2000000</v>
      </c>
      <c r="L268" s="859">
        <f t="shared" si="50"/>
        <v>0</v>
      </c>
      <c r="M268" s="859">
        <f t="shared" si="50"/>
        <v>0</v>
      </c>
      <c r="N268" s="859">
        <f t="shared" si="50"/>
        <v>0</v>
      </c>
      <c r="O268" s="859">
        <f t="shared" si="50"/>
        <v>2000000</v>
      </c>
      <c r="P268" s="859">
        <f t="shared" ref="P268" si="51">E268+J268</f>
        <v>1707000</v>
      </c>
      <c r="Q268" s="125" t="b">
        <f>P268=P280+P282+P283+P270+P284+P275+P281+P271+P278+P272+P287</f>
        <v>1</v>
      </c>
      <c r="R268" s="930" t="b">
        <f>K268='d6'!J272</f>
        <v>0</v>
      </c>
    </row>
    <row r="269" spans="1:18" ht="47.25" thickTop="1" thickBot="1" x14ac:dyDescent="0.25">
      <c r="A269" s="455" t="s">
        <v>975</v>
      </c>
      <c r="B269" s="455" t="s">
        <v>843</v>
      </c>
      <c r="C269" s="455"/>
      <c r="D269" s="455" t="s">
        <v>844</v>
      </c>
      <c r="E269" s="324">
        <f>'d3'!E269-'d3-07'!E242</f>
        <v>-293000</v>
      </c>
      <c r="F269" s="324">
        <f>'d3'!F269-'d3-07'!F242</f>
        <v>-293000</v>
      </c>
      <c r="G269" s="324">
        <f>'d3'!G269-'d3-07'!G242</f>
        <v>-180000</v>
      </c>
      <c r="H269" s="324">
        <f>'d3'!H269-'d3-07'!H242</f>
        <v>7000</v>
      </c>
      <c r="I269" s="324">
        <f>'d3'!I269-'d3-07'!I242</f>
        <v>0</v>
      </c>
      <c r="J269" s="324">
        <f>'d3'!J269-'d3-07'!J242</f>
        <v>0</v>
      </c>
      <c r="K269" s="324">
        <f>'d3'!K269-'d3-07'!K242</f>
        <v>0</v>
      </c>
      <c r="L269" s="324">
        <f>'d3'!L269-'d3-07'!L242</f>
        <v>0</v>
      </c>
      <c r="M269" s="324">
        <f>'d3'!M269-'d3-07'!M242</f>
        <v>0</v>
      </c>
      <c r="N269" s="324">
        <f>'d3'!N269-'d3-07'!N242</f>
        <v>0</v>
      </c>
      <c r="O269" s="324">
        <f>'d3'!O269-'d3-07'!O242</f>
        <v>0</v>
      </c>
      <c r="P269" s="324">
        <f>'d3'!P269-'d3-07'!P242</f>
        <v>-293000</v>
      </c>
      <c r="Q269" s="125"/>
      <c r="R269" s="930"/>
    </row>
    <row r="270" spans="1:18" ht="230.25" thickTop="1" thickBot="1" x14ac:dyDescent="0.25">
      <c r="A270" s="921" t="s">
        <v>445</v>
      </c>
      <c r="B270" s="921" t="s">
        <v>254</v>
      </c>
      <c r="C270" s="921" t="s">
        <v>252</v>
      </c>
      <c r="D270" s="921" t="s">
        <v>253</v>
      </c>
      <c r="E270" s="324">
        <f>'d3'!E270-'d3-07'!E243</f>
        <v>-293000</v>
      </c>
      <c r="F270" s="324">
        <f>'d3'!F270-'d3-07'!F243</f>
        <v>-293000</v>
      </c>
      <c r="G270" s="324">
        <f>'d3'!G270-'d3-07'!G243</f>
        <v>-180000</v>
      </c>
      <c r="H270" s="324">
        <f>'d3'!H270-'d3-07'!H243</f>
        <v>7000</v>
      </c>
      <c r="I270" s="324">
        <f>'d3'!I270-'d3-07'!I243</f>
        <v>0</v>
      </c>
      <c r="J270" s="324">
        <f>'d3'!J270-'d3-07'!J243</f>
        <v>0</v>
      </c>
      <c r="K270" s="324">
        <f>'d3'!K270-'d3-07'!K243</f>
        <v>0</v>
      </c>
      <c r="L270" s="324">
        <f>'d3'!L270-'d3-07'!L243</f>
        <v>0</v>
      </c>
      <c r="M270" s="324">
        <f>'d3'!M270-'d3-07'!M243</f>
        <v>0</v>
      </c>
      <c r="N270" s="324">
        <f>'d3'!N270-'d3-07'!N243</f>
        <v>0</v>
      </c>
      <c r="O270" s="324">
        <f>'d3'!O270-'d3-07'!O243</f>
        <v>0</v>
      </c>
      <c r="P270" s="324">
        <f>'d3'!P270-'d3-07'!P243</f>
        <v>-293000</v>
      </c>
      <c r="Q270" s="197"/>
      <c r="R270" s="198"/>
    </row>
    <row r="271" spans="1:18" ht="184.5" thickTop="1" thickBot="1" x14ac:dyDescent="0.25">
      <c r="A271" s="920" t="s">
        <v>788</v>
      </c>
      <c r="B271" s="920" t="s">
        <v>388</v>
      </c>
      <c r="C271" s="920" t="s">
        <v>778</v>
      </c>
      <c r="D271" s="920" t="s">
        <v>779</v>
      </c>
      <c r="E271" s="324">
        <f>'d3'!E271-'d3-07'!E244</f>
        <v>0</v>
      </c>
      <c r="F271" s="324">
        <f>'d3'!F271-'d3-07'!F244</f>
        <v>0</v>
      </c>
      <c r="G271" s="324">
        <f>'d3'!G271-'d3-07'!G244</f>
        <v>0</v>
      </c>
      <c r="H271" s="324">
        <f>'d3'!H271-'d3-07'!H244</f>
        <v>0</v>
      </c>
      <c r="I271" s="324">
        <f>'d3'!I271-'d3-07'!I244</f>
        <v>0</v>
      </c>
      <c r="J271" s="324">
        <f>'d3'!J271-'d3-07'!J244</f>
        <v>0</v>
      </c>
      <c r="K271" s="324">
        <f>'d3'!K271-'d3-07'!K244</f>
        <v>0</v>
      </c>
      <c r="L271" s="324">
        <f>'d3'!L271-'d3-07'!L244</f>
        <v>0</v>
      </c>
      <c r="M271" s="324">
        <f>'d3'!M271-'d3-07'!M244</f>
        <v>0</v>
      </c>
      <c r="N271" s="324">
        <f>'d3'!N271-'d3-07'!N244</f>
        <v>0</v>
      </c>
      <c r="O271" s="324">
        <f>'d3'!O271-'d3-07'!O244</f>
        <v>0</v>
      </c>
      <c r="P271" s="324">
        <f>'d3'!P271-'d3-07'!P244</f>
        <v>0</v>
      </c>
      <c r="Q271" s="197"/>
      <c r="R271" s="198"/>
    </row>
    <row r="272" spans="1:18" ht="93" thickTop="1" thickBot="1" x14ac:dyDescent="0.25">
      <c r="A272" s="920" t="s">
        <v>1154</v>
      </c>
      <c r="B272" s="920" t="s">
        <v>45</v>
      </c>
      <c r="C272" s="920" t="s">
        <v>44</v>
      </c>
      <c r="D272" s="920" t="s">
        <v>266</v>
      </c>
      <c r="E272" s="324">
        <f>'d3'!E272-'d3-07'!E245</f>
        <v>0</v>
      </c>
      <c r="F272" s="324">
        <f>'d3'!F272-'d3-07'!F245</f>
        <v>0</v>
      </c>
      <c r="G272" s="324">
        <f>'d3'!G272-'d3-07'!G245</f>
        <v>0</v>
      </c>
      <c r="H272" s="324">
        <f>'d3'!H272-'d3-07'!H245</f>
        <v>0</v>
      </c>
      <c r="I272" s="324">
        <f>'d3'!I272-'d3-07'!I245</f>
        <v>0</v>
      </c>
      <c r="J272" s="324">
        <f>'d3'!J272-'d3-07'!J245</f>
        <v>0</v>
      </c>
      <c r="K272" s="324">
        <f>'d3'!K272-'d3-07'!K245</f>
        <v>0</v>
      </c>
      <c r="L272" s="324">
        <f>'d3'!L272-'d3-07'!L245</f>
        <v>0</v>
      </c>
      <c r="M272" s="324">
        <f>'d3'!M272-'d3-07'!M245</f>
        <v>0</v>
      </c>
      <c r="N272" s="324">
        <f>'d3'!N272-'d3-07'!N245</f>
        <v>0</v>
      </c>
      <c r="O272" s="324">
        <f>'d3'!O272-'d3-07'!O245</f>
        <v>0</v>
      </c>
      <c r="P272" s="324">
        <f>'d3'!P272-'d3-07'!P245</f>
        <v>0</v>
      </c>
      <c r="Q272" s="197"/>
      <c r="R272" s="198"/>
    </row>
    <row r="273" spans="1:18" ht="47.25" thickTop="1" thickBot="1" x14ac:dyDescent="0.25">
      <c r="A273" s="455" t="s">
        <v>976</v>
      </c>
      <c r="B273" s="455" t="s">
        <v>931</v>
      </c>
      <c r="C273" s="921"/>
      <c r="D273" s="455" t="s">
        <v>932</v>
      </c>
      <c r="E273" s="324">
        <f>'d3'!E273-'d3-07'!E246</f>
        <v>0</v>
      </c>
      <c r="F273" s="324">
        <f>'d3'!F273-'d3-07'!F246</f>
        <v>0</v>
      </c>
      <c r="G273" s="324">
        <f>'d3'!G273-'d3-07'!G246</f>
        <v>0</v>
      </c>
      <c r="H273" s="324">
        <f>'d3'!H273-'d3-07'!H246</f>
        <v>0</v>
      </c>
      <c r="I273" s="324">
        <f>'d3'!I273-'d3-07'!I246</f>
        <v>0</v>
      </c>
      <c r="J273" s="324">
        <f>'d3'!J273-'d3-07'!J246</f>
        <v>0</v>
      </c>
      <c r="K273" s="324">
        <f>'d3'!K273-'d3-07'!K246</f>
        <v>0</v>
      </c>
      <c r="L273" s="324">
        <f>'d3'!L273-'d3-07'!L246</f>
        <v>0</v>
      </c>
      <c r="M273" s="324">
        <f>'d3'!M273-'d3-07'!M246</f>
        <v>0</v>
      </c>
      <c r="N273" s="324">
        <f>'d3'!N273-'d3-07'!N246</f>
        <v>0</v>
      </c>
      <c r="O273" s="324">
        <f>'d3'!O273-'d3-07'!O246</f>
        <v>0</v>
      </c>
      <c r="P273" s="324">
        <f>'d3'!P273-'d3-07'!P246</f>
        <v>0</v>
      </c>
      <c r="Q273" s="197"/>
      <c r="R273" s="198"/>
    </row>
    <row r="274" spans="1:18" ht="93" thickTop="1" thickBot="1" x14ac:dyDescent="0.25">
      <c r="A274" s="365" t="s">
        <v>977</v>
      </c>
      <c r="B274" s="365" t="s">
        <v>978</v>
      </c>
      <c r="C274" s="365"/>
      <c r="D274" s="365" t="s">
        <v>979</v>
      </c>
      <c r="E274" s="324">
        <f>'d3'!E274-'d3-07'!E247</f>
        <v>0</v>
      </c>
      <c r="F274" s="324">
        <f>'d3'!F274-'d3-07'!F247</f>
        <v>0</v>
      </c>
      <c r="G274" s="324">
        <f>'d3'!G274-'d3-07'!G247</f>
        <v>0</v>
      </c>
      <c r="H274" s="324">
        <f>'d3'!H274-'d3-07'!H247</f>
        <v>0</v>
      </c>
      <c r="I274" s="324">
        <f>'d3'!I274-'d3-07'!I247</f>
        <v>0</v>
      </c>
      <c r="J274" s="324">
        <f>'d3'!J274-'d3-07'!J247</f>
        <v>0</v>
      </c>
      <c r="K274" s="324">
        <f>'d3'!K274-'d3-07'!K247</f>
        <v>0</v>
      </c>
      <c r="L274" s="324">
        <f>'d3'!L274-'d3-07'!L247</f>
        <v>0</v>
      </c>
      <c r="M274" s="324">
        <f>'d3'!M274-'d3-07'!M247</f>
        <v>0</v>
      </c>
      <c r="N274" s="324">
        <f>'d3'!N274-'d3-07'!N247</f>
        <v>0</v>
      </c>
      <c r="O274" s="324">
        <f>'d3'!O274-'d3-07'!O247</f>
        <v>0</v>
      </c>
      <c r="P274" s="324">
        <f>'d3'!P274-'d3-07'!P247</f>
        <v>0</v>
      </c>
      <c r="Q274" s="197"/>
      <c r="R274" s="198"/>
    </row>
    <row r="275" spans="1:18" ht="321.75" thickTop="1" thickBot="1" x14ac:dyDescent="0.25">
      <c r="A275" s="921" t="s">
        <v>463</v>
      </c>
      <c r="B275" s="921" t="s">
        <v>465</v>
      </c>
      <c r="C275" s="921" t="s">
        <v>213</v>
      </c>
      <c r="D275" s="921" t="s">
        <v>464</v>
      </c>
      <c r="E275" s="324">
        <f>'d3'!E275-'d3-07'!E248</f>
        <v>0</v>
      </c>
      <c r="F275" s="324">
        <f>'d3'!F275-'d3-07'!F248</f>
        <v>0</v>
      </c>
      <c r="G275" s="324">
        <f>'d3'!G275-'d3-07'!G248</f>
        <v>0</v>
      </c>
      <c r="H275" s="324">
        <f>'d3'!H275-'d3-07'!H248</f>
        <v>0</v>
      </c>
      <c r="I275" s="324">
        <f>'d3'!I275-'d3-07'!I248</f>
        <v>0</v>
      </c>
      <c r="J275" s="324">
        <f>'d3'!J275-'d3-07'!J248</f>
        <v>0</v>
      </c>
      <c r="K275" s="324">
        <f>'d3'!K275-'d3-07'!K248</f>
        <v>0</v>
      </c>
      <c r="L275" s="324">
        <f>'d3'!L275-'d3-07'!L248</f>
        <v>0</v>
      </c>
      <c r="M275" s="324">
        <f>'d3'!M275-'d3-07'!M248</f>
        <v>0</v>
      </c>
      <c r="N275" s="324">
        <f>'d3'!N275-'d3-07'!N248</f>
        <v>0</v>
      </c>
      <c r="O275" s="324">
        <f>'d3'!O275-'d3-07'!O248</f>
        <v>0</v>
      </c>
      <c r="P275" s="324">
        <f>'d3'!P275-'d3-07'!P248</f>
        <v>0</v>
      </c>
      <c r="Q275" s="197"/>
      <c r="R275" s="930" t="b">
        <f>K275='d6'!J273</f>
        <v>0</v>
      </c>
    </row>
    <row r="276" spans="1:18" ht="47.25" thickTop="1" thickBot="1" x14ac:dyDescent="0.25">
      <c r="A276" s="455" t="s">
        <v>980</v>
      </c>
      <c r="B276" s="455" t="s">
        <v>908</v>
      </c>
      <c r="C276" s="921"/>
      <c r="D276" s="455" t="s">
        <v>955</v>
      </c>
      <c r="E276" s="324">
        <f>'d3'!E276-'d3-07'!E249</f>
        <v>0</v>
      </c>
      <c r="F276" s="324">
        <f>'d3'!F276-'d3-07'!F249</f>
        <v>0</v>
      </c>
      <c r="G276" s="324">
        <f>'d3'!G276-'d3-07'!G249</f>
        <v>0</v>
      </c>
      <c r="H276" s="324">
        <f>'d3'!H276-'d3-07'!H249</f>
        <v>0</v>
      </c>
      <c r="I276" s="324">
        <f>'d3'!I276-'d3-07'!I249</f>
        <v>0</v>
      </c>
      <c r="J276" s="324">
        <f>'d3'!J276-'d3-07'!J249</f>
        <v>2000000</v>
      </c>
      <c r="K276" s="324">
        <f>'d3'!K276-'d3-07'!K249</f>
        <v>2000000</v>
      </c>
      <c r="L276" s="324">
        <f>'d3'!L276-'d3-07'!L249</f>
        <v>0</v>
      </c>
      <c r="M276" s="324">
        <f>'d3'!M276-'d3-07'!M249</f>
        <v>0</v>
      </c>
      <c r="N276" s="324">
        <f>'d3'!N276-'d3-07'!N249</f>
        <v>0</v>
      </c>
      <c r="O276" s="324">
        <f>'d3'!O276-'d3-07'!O249</f>
        <v>2000000</v>
      </c>
      <c r="P276" s="324">
        <f>'d3'!P276-'d3-07'!P249</f>
        <v>2000000</v>
      </c>
      <c r="Q276" s="197"/>
      <c r="R276" s="198"/>
    </row>
    <row r="277" spans="1:18" ht="91.5" thickTop="1" thickBot="1" x14ac:dyDescent="0.25">
      <c r="A277" s="404" t="s">
        <v>981</v>
      </c>
      <c r="B277" s="404" t="s">
        <v>964</v>
      </c>
      <c r="C277" s="404"/>
      <c r="D277" s="404" t="s">
        <v>965</v>
      </c>
      <c r="E277" s="324">
        <f>'d3'!E277-'d3-07'!E250</f>
        <v>0</v>
      </c>
      <c r="F277" s="324">
        <f>'d3'!F277-'d3-07'!F250</f>
        <v>0</v>
      </c>
      <c r="G277" s="324">
        <f>'d3'!G277-'d3-07'!G250</f>
        <v>0</v>
      </c>
      <c r="H277" s="324">
        <f>'d3'!H277-'d3-07'!H250</f>
        <v>0</v>
      </c>
      <c r="I277" s="324">
        <f>'d3'!I277-'d3-07'!I250</f>
        <v>0</v>
      </c>
      <c r="J277" s="324">
        <f>'d3'!J277-'d3-07'!J250</f>
        <v>2000000</v>
      </c>
      <c r="K277" s="324">
        <f>'d3'!K277-'d3-07'!K250</f>
        <v>2000000</v>
      </c>
      <c r="L277" s="324">
        <f>'d3'!L277-'d3-07'!L250</f>
        <v>0</v>
      </c>
      <c r="M277" s="324">
        <f>'d3'!M277-'d3-07'!M250</f>
        <v>0</v>
      </c>
      <c r="N277" s="324">
        <f>'d3'!N277-'d3-07'!N250</f>
        <v>0</v>
      </c>
      <c r="O277" s="324">
        <f>'d3'!O277-'d3-07'!O250</f>
        <v>2000000</v>
      </c>
      <c r="P277" s="324">
        <f>'d3'!P277-'d3-07'!P250</f>
        <v>2000000</v>
      </c>
      <c r="Q277" s="197"/>
      <c r="R277" s="198"/>
    </row>
    <row r="278" spans="1:18" ht="99.75" thickTop="1" thickBot="1" x14ac:dyDescent="0.25">
      <c r="A278" s="921" t="s">
        <v>1153</v>
      </c>
      <c r="B278" s="921" t="s">
        <v>324</v>
      </c>
      <c r="C278" s="921" t="s">
        <v>323</v>
      </c>
      <c r="D278" s="921" t="s">
        <v>780</v>
      </c>
      <c r="E278" s="324">
        <f>'d3'!E278-'d3-07'!E251</f>
        <v>0</v>
      </c>
      <c r="F278" s="324">
        <f>'d3'!F278-'d3-07'!F251</f>
        <v>0</v>
      </c>
      <c r="G278" s="324">
        <f>'d3'!G278-'d3-07'!G251</f>
        <v>0</v>
      </c>
      <c r="H278" s="324">
        <f>'d3'!H278-'d3-07'!H251</f>
        <v>0</v>
      </c>
      <c r="I278" s="324">
        <f>'d3'!I278-'d3-07'!I251</f>
        <v>0</v>
      </c>
      <c r="J278" s="324">
        <f>'d3'!J278-'d3-07'!J251</f>
        <v>43702.000000000007</v>
      </c>
      <c r="K278" s="324">
        <f>'d3'!K278-'d3-07'!K251</f>
        <v>43702.000000000007</v>
      </c>
      <c r="L278" s="324">
        <f>'d3'!L278-'d3-07'!L251</f>
        <v>0</v>
      </c>
      <c r="M278" s="324">
        <f>'d3'!M278-'d3-07'!M251</f>
        <v>0</v>
      </c>
      <c r="N278" s="324">
        <f>'d3'!N278-'d3-07'!N251</f>
        <v>0</v>
      </c>
      <c r="O278" s="324">
        <f>'d3'!O278-'d3-07'!O251</f>
        <v>43702.000000000007</v>
      </c>
      <c r="P278" s="324">
        <f>'d3'!P278-'d3-07'!P251</f>
        <v>43702.000000000007</v>
      </c>
      <c r="Q278" s="197"/>
      <c r="R278" s="930" t="b">
        <f>K278='d6'!J275</f>
        <v>0</v>
      </c>
    </row>
    <row r="279" spans="1:18" ht="146.25" thickTop="1" thickBot="1" x14ac:dyDescent="0.25">
      <c r="A279" s="365" t="s">
        <v>982</v>
      </c>
      <c r="B279" s="365" t="s">
        <v>983</v>
      </c>
      <c r="C279" s="365"/>
      <c r="D279" s="365" t="s">
        <v>984</v>
      </c>
      <c r="E279" s="324">
        <f>'d3'!E279-'d3-07'!E252</f>
        <v>0</v>
      </c>
      <c r="F279" s="324">
        <f>'d3'!F279-'d3-07'!F252</f>
        <v>0</v>
      </c>
      <c r="G279" s="324">
        <f>'d3'!G279-'d3-07'!G252</f>
        <v>0</v>
      </c>
      <c r="H279" s="324">
        <f>'d3'!H279-'d3-07'!H252</f>
        <v>0</v>
      </c>
      <c r="I279" s="324">
        <f>'d3'!I279-'d3-07'!I252</f>
        <v>0</v>
      </c>
      <c r="J279" s="324">
        <f>'d3'!J279-'d3-07'!J252</f>
        <v>443307</v>
      </c>
      <c r="K279" s="324">
        <f>'d3'!K279-'d3-07'!K252</f>
        <v>443307</v>
      </c>
      <c r="L279" s="324">
        <f>'d3'!L279-'d3-07'!L252</f>
        <v>0</v>
      </c>
      <c r="M279" s="324">
        <f>'d3'!M279-'d3-07'!M252</f>
        <v>0</v>
      </c>
      <c r="N279" s="324">
        <f>'d3'!N279-'d3-07'!N252</f>
        <v>0</v>
      </c>
      <c r="O279" s="324">
        <f>'d3'!O279-'d3-07'!O252</f>
        <v>443307</v>
      </c>
      <c r="P279" s="324">
        <f>'d3'!P279-'d3-07'!P252</f>
        <v>443307</v>
      </c>
      <c r="Q279" s="197"/>
      <c r="R279" s="198"/>
    </row>
    <row r="280" spans="1:18" ht="99.75" thickTop="1" thickBot="1" x14ac:dyDescent="0.25">
      <c r="A280" s="921" t="s">
        <v>333</v>
      </c>
      <c r="B280" s="921" t="s">
        <v>334</v>
      </c>
      <c r="C280" s="921" t="s">
        <v>323</v>
      </c>
      <c r="D280" s="921" t="s">
        <v>781</v>
      </c>
      <c r="E280" s="324">
        <f>'d3'!E280-'d3-07'!E253</f>
        <v>0</v>
      </c>
      <c r="F280" s="324">
        <f>'d3'!F280-'d3-07'!F253</f>
        <v>0</v>
      </c>
      <c r="G280" s="324">
        <f>'d3'!G280-'d3-07'!G253</f>
        <v>0</v>
      </c>
      <c r="H280" s="324">
        <f>'d3'!H280-'d3-07'!H253</f>
        <v>0</v>
      </c>
      <c r="I280" s="324">
        <f>'d3'!I280-'d3-07'!I253</f>
        <v>0</v>
      </c>
      <c r="J280" s="324">
        <f>'d3'!J280-'d3-07'!J253</f>
        <v>443307</v>
      </c>
      <c r="K280" s="324">
        <f>'d3'!K280-'d3-07'!K253</f>
        <v>443307</v>
      </c>
      <c r="L280" s="324">
        <f>'d3'!L280-'d3-07'!L253</f>
        <v>0</v>
      </c>
      <c r="M280" s="324">
        <f>'d3'!M280-'d3-07'!M253</f>
        <v>0</v>
      </c>
      <c r="N280" s="324">
        <f>'d3'!N280-'d3-07'!N253</f>
        <v>0</v>
      </c>
      <c r="O280" s="324">
        <f>'d3'!O280-'d3-07'!O253</f>
        <v>443307</v>
      </c>
      <c r="P280" s="324">
        <f>'d3'!P280-'d3-07'!P253</f>
        <v>443307</v>
      </c>
      <c r="Q280" s="188"/>
      <c r="R280" s="930" t="b">
        <f>K280='d6'!J276+'d6'!J277+'d6'!J278+'d6'!J279+'d6'!J280</f>
        <v>0</v>
      </c>
    </row>
    <row r="281" spans="1:18" ht="99.75" thickTop="1" thickBot="1" x14ac:dyDescent="0.25">
      <c r="A281" s="921" t="s">
        <v>563</v>
      </c>
      <c r="B281" s="921" t="s">
        <v>564</v>
      </c>
      <c r="C281" s="921" t="s">
        <v>323</v>
      </c>
      <c r="D281" s="921" t="s">
        <v>782</v>
      </c>
      <c r="E281" s="324">
        <f>'d3'!E281-'d3-07'!E254</f>
        <v>0</v>
      </c>
      <c r="F281" s="324">
        <f>'d3'!F281-'d3-07'!F254</f>
        <v>0</v>
      </c>
      <c r="G281" s="324">
        <f>'d3'!G281-'d3-07'!G254</f>
        <v>0</v>
      </c>
      <c r="H281" s="324">
        <f>'d3'!H281-'d3-07'!H254</f>
        <v>0</v>
      </c>
      <c r="I281" s="324">
        <f>'d3'!I281-'d3-07'!I254</f>
        <v>0</v>
      </c>
      <c r="J281" s="324">
        <f>'d3'!J281-'d3-07'!J254</f>
        <v>0</v>
      </c>
      <c r="K281" s="324">
        <f>'d3'!K281-'d3-07'!K254</f>
        <v>0</v>
      </c>
      <c r="L281" s="324">
        <f>'d3'!L281-'d3-07'!L254</f>
        <v>0</v>
      </c>
      <c r="M281" s="324">
        <f>'d3'!M281-'d3-07'!M254</f>
        <v>0</v>
      </c>
      <c r="N281" s="324">
        <f>'d3'!N281-'d3-07'!N254</f>
        <v>0</v>
      </c>
      <c r="O281" s="324">
        <f>'d3'!O281-'d3-07'!O254</f>
        <v>0</v>
      </c>
      <c r="P281" s="324">
        <f>'d3'!P281-'d3-07'!P254</f>
        <v>0</v>
      </c>
      <c r="Q281" s="188"/>
      <c r="R281" s="930" t="b">
        <f>K281='d6'!J281</f>
        <v>0</v>
      </c>
    </row>
    <row r="282" spans="1:18" ht="145.5" hidden="1" thickTop="1" thickBot="1" x14ac:dyDescent="0.25">
      <c r="A282" s="921" t="s">
        <v>335</v>
      </c>
      <c r="B282" s="921" t="s">
        <v>336</v>
      </c>
      <c r="C282" s="921" t="s">
        <v>323</v>
      </c>
      <c r="D282" s="921" t="s">
        <v>783</v>
      </c>
      <c r="E282" s="324">
        <f>'d3'!E282-'d3-07'!E255</f>
        <v>0</v>
      </c>
      <c r="F282" s="324">
        <f>'d3'!F282-'d3-07'!F255</f>
        <v>0</v>
      </c>
      <c r="G282" s="324">
        <f>'d3'!G282-'d3-07'!G255</f>
        <v>0</v>
      </c>
      <c r="H282" s="324">
        <f>'d3'!H282-'d3-07'!H255</f>
        <v>0</v>
      </c>
      <c r="I282" s="324">
        <f>'d3'!I282-'d3-07'!I255</f>
        <v>0</v>
      </c>
      <c r="J282" s="324">
        <f>'d3'!J282-'d3-07'!J255</f>
        <v>0</v>
      </c>
      <c r="K282" s="324">
        <f>'d3'!K282-'d3-07'!K255</f>
        <v>0</v>
      </c>
      <c r="L282" s="324">
        <f>'d3'!L282-'d3-07'!L255</f>
        <v>0</v>
      </c>
      <c r="M282" s="324">
        <f>'d3'!M282-'d3-07'!M255</f>
        <v>0</v>
      </c>
      <c r="N282" s="324">
        <f>'d3'!N282-'d3-07'!N255</f>
        <v>0</v>
      </c>
      <c r="O282" s="324">
        <f>'d3'!O282-'d3-07'!O255</f>
        <v>0</v>
      </c>
      <c r="P282" s="324">
        <f>'d3'!P282-'d3-07'!P255</f>
        <v>0</v>
      </c>
      <c r="Q282" s="188"/>
    </row>
    <row r="283" spans="1:18" ht="99.75" thickTop="1" thickBot="1" x14ac:dyDescent="0.3">
      <c r="A283" s="921" t="s">
        <v>337</v>
      </c>
      <c r="B283" s="921" t="s">
        <v>338</v>
      </c>
      <c r="C283" s="921" t="s">
        <v>323</v>
      </c>
      <c r="D283" s="921" t="s">
        <v>784</v>
      </c>
      <c r="E283" s="324">
        <f>'d3'!E283-'d3-07'!E256</f>
        <v>0</v>
      </c>
      <c r="F283" s="324">
        <f>'d3'!F283-'d3-07'!F256</f>
        <v>0</v>
      </c>
      <c r="G283" s="324">
        <f>'d3'!G283-'d3-07'!G256</f>
        <v>0</v>
      </c>
      <c r="H283" s="324">
        <f>'d3'!H283-'d3-07'!H256</f>
        <v>0</v>
      </c>
      <c r="I283" s="324">
        <f>'d3'!I283-'d3-07'!I256</f>
        <v>0</v>
      </c>
      <c r="J283" s="324">
        <f>'d3'!J283-'d3-07'!J256</f>
        <v>1512991</v>
      </c>
      <c r="K283" s="324">
        <f>'d3'!K283-'d3-07'!K256</f>
        <v>1512991</v>
      </c>
      <c r="L283" s="324">
        <f>'d3'!L283-'d3-07'!L256</f>
        <v>0</v>
      </c>
      <c r="M283" s="324">
        <f>'d3'!M283-'d3-07'!M256</f>
        <v>0</v>
      </c>
      <c r="N283" s="324">
        <f>'d3'!N283-'d3-07'!N256</f>
        <v>0</v>
      </c>
      <c r="O283" s="324">
        <f>'d3'!O283-'d3-07'!O256</f>
        <v>1512991</v>
      </c>
      <c r="P283" s="324">
        <f>'d3'!P283-'d3-07'!P256</f>
        <v>1512991</v>
      </c>
      <c r="Q283" s="200"/>
      <c r="R283" s="930" t="b">
        <f>K283='d6'!J282+'d6'!J283+'d6'!J284+'d6'!J285+'d6'!J286+'d6'!J287+'d6'!J288+'d6'!J289+'d6'!J290+'d6'!J291+'d6'!J292+'d6'!J293</f>
        <v>0</v>
      </c>
    </row>
    <row r="284" spans="1:18" ht="138.75" thickTop="1" thickBot="1" x14ac:dyDescent="0.25">
      <c r="A284" s="921" t="s">
        <v>469</v>
      </c>
      <c r="B284" s="921" t="s">
        <v>376</v>
      </c>
      <c r="C284" s="921" t="s">
        <v>184</v>
      </c>
      <c r="D284" s="921" t="s">
        <v>280</v>
      </c>
      <c r="E284" s="324">
        <f>'d3'!E284-'d3-07'!E257</f>
        <v>0</v>
      </c>
      <c r="F284" s="324">
        <f>'d3'!F284-'d3-07'!F257</f>
        <v>0</v>
      </c>
      <c r="G284" s="324">
        <f>'d3'!G284-'d3-07'!G257</f>
        <v>0</v>
      </c>
      <c r="H284" s="324">
        <f>'d3'!H284-'d3-07'!H257</f>
        <v>0</v>
      </c>
      <c r="I284" s="324">
        <f>'d3'!I284-'d3-07'!I257</f>
        <v>0</v>
      </c>
      <c r="J284" s="324">
        <f>'d3'!J284-'d3-07'!J257</f>
        <v>0</v>
      </c>
      <c r="K284" s="324">
        <f>'d3'!K284-'d3-07'!K257</f>
        <v>0</v>
      </c>
      <c r="L284" s="324">
        <f>'d3'!L284-'d3-07'!L257</f>
        <v>0</v>
      </c>
      <c r="M284" s="324">
        <f>'d3'!M284-'d3-07'!M257</f>
        <v>0</v>
      </c>
      <c r="N284" s="324">
        <f>'d3'!N284-'d3-07'!N257</f>
        <v>0</v>
      </c>
      <c r="O284" s="324">
        <f>'d3'!O284-'d3-07'!O257</f>
        <v>0</v>
      </c>
      <c r="P284" s="324">
        <f>'d3'!P284-'d3-07'!P257</f>
        <v>0</v>
      </c>
      <c r="R284" s="930" t="b">
        <f>K284='d6'!J294</f>
        <v>0</v>
      </c>
    </row>
    <row r="285" spans="1:18" ht="136.5" thickTop="1" thickBot="1" x14ac:dyDescent="0.25">
      <c r="A285" s="450" t="s">
        <v>1301</v>
      </c>
      <c r="B285" s="450" t="s">
        <v>850</v>
      </c>
      <c r="C285" s="450"/>
      <c r="D285" s="450" t="s">
        <v>848</v>
      </c>
      <c r="E285" s="324">
        <f>'d3'!E285-'d3-07'!E258</f>
        <v>0</v>
      </c>
      <c r="F285" s="324">
        <f>'d3'!F285-'d3-07'!F258</f>
        <v>0</v>
      </c>
      <c r="G285" s="324">
        <f>'d3'!G285-'d3-07'!G258</f>
        <v>0</v>
      </c>
      <c r="H285" s="324">
        <f>'d3'!H285-'d3-07'!H258</f>
        <v>0</v>
      </c>
      <c r="I285" s="324">
        <f>'d3'!I285-'d3-07'!I258</f>
        <v>0</v>
      </c>
      <c r="J285" s="324">
        <f>'d3'!J285-'d3-07'!J258</f>
        <v>0</v>
      </c>
      <c r="K285" s="324">
        <f>'d3'!K285-'d3-07'!K258</f>
        <v>0</v>
      </c>
      <c r="L285" s="324">
        <f>'d3'!L285-'d3-07'!L258</f>
        <v>0</v>
      </c>
      <c r="M285" s="324">
        <f>'d3'!M285-'d3-07'!M258</f>
        <v>0</v>
      </c>
      <c r="N285" s="324">
        <f>'d3'!N285-'d3-07'!N258</f>
        <v>0</v>
      </c>
      <c r="O285" s="324">
        <f>'d3'!O285-'d3-07'!O258</f>
        <v>0</v>
      </c>
      <c r="P285" s="324">
        <f>'d3'!P285-'d3-07'!P258</f>
        <v>0</v>
      </c>
      <c r="R285" s="930"/>
    </row>
    <row r="286" spans="1:18" ht="47.25" thickTop="1" thickBot="1" x14ac:dyDescent="0.25">
      <c r="A286" s="445" t="s">
        <v>1302</v>
      </c>
      <c r="B286" s="445" t="s">
        <v>853</v>
      </c>
      <c r="C286" s="445"/>
      <c r="D286" s="445" t="s">
        <v>958</v>
      </c>
      <c r="E286" s="324">
        <f>'d3'!E286-'d3-07'!E259</f>
        <v>0</v>
      </c>
      <c r="F286" s="324">
        <f>'d3'!F286-'d3-07'!F259</f>
        <v>0</v>
      </c>
      <c r="G286" s="324">
        <f>'d3'!G286-'d3-07'!G259</f>
        <v>0</v>
      </c>
      <c r="H286" s="324">
        <f>'d3'!H286-'d3-07'!H259</f>
        <v>0</v>
      </c>
      <c r="I286" s="324">
        <f>'d3'!I286-'d3-07'!I259</f>
        <v>0</v>
      </c>
      <c r="J286" s="324">
        <f>'d3'!J286-'d3-07'!J259</f>
        <v>0</v>
      </c>
      <c r="K286" s="324">
        <f>'d3'!K286-'d3-07'!K259</f>
        <v>0</v>
      </c>
      <c r="L286" s="324">
        <f>'d3'!L286-'d3-07'!L259</f>
        <v>0</v>
      </c>
      <c r="M286" s="324">
        <f>'d3'!M286-'d3-07'!M259</f>
        <v>0</v>
      </c>
      <c r="N286" s="324">
        <f>'d3'!N286-'d3-07'!N259</f>
        <v>0</v>
      </c>
      <c r="O286" s="324">
        <f>'d3'!O286-'d3-07'!O259</f>
        <v>0</v>
      </c>
      <c r="P286" s="324">
        <f>'d3'!P286-'d3-07'!P259</f>
        <v>0</v>
      </c>
      <c r="R286" s="930"/>
    </row>
    <row r="287" spans="1:18" ht="409.6" thickTop="1" thickBot="1" x14ac:dyDescent="0.7">
      <c r="A287" s="1037" t="s">
        <v>1303</v>
      </c>
      <c r="B287" s="1037" t="s">
        <v>363</v>
      </c>
      <c r="C287" s="1037" t="s">
        <v>184</v>
      </c>
      <c r="D287" s="326" t="s">
        <v>473</v>
      </c>
      <c r="E287" s="1226">
        <f>'d3'!E287-'d3-07'!E260</f>
        <v>0</v>
      </c>
      <c r="F287" s="1226">
        <f>'d3'!F287-'d3-07'!F260</f>
        <v>0</v>
      </c>
      <c r="G287" s="1226">
        <f>'d3'!G287-'d3-07'!G260</f>
        <v>0</v>
      </c>
      <c r="H287" s="1226">
        <f>'d3'!H287-'d3-07'!H260</f>
        <v>0</v>
      </c>
      <c r="I287" s="1226">
        <f>'d3'!I287-'d3-07'!I260</f>
        <v>0</v>
      </c>
      <c r="J287" s="1226">
        <f>'d3'!J287-'d3-07'!J260</f>
        <v>0</v>
      </c>
      <c r="K287" s="1226">
        <f>'d3'!K287-'d3-07'!K260</f>
        <v>0</v>
      </c>
      <c r="L287" s="1226">
        <f>'d3'!L287-'d3-07'!L260</f>
        <v>0</v>
      </c>
      <c r="M287" s="1226">
        <f>'d3'!M287-'d3-07'!M260</f>
        <v>0</v>
      </c>
      <c r="N287" s="1226">
        <f>'d3'!N287-'d3-07'!N260</f>
        <v>0</v>
      </c>
      <c r="O287" s="1226">
        <f>'d3'!O287-'d3-07'!O260</f>
        <v>0</v>
      </c>
      <c r="P287" s="1226">
        <f>'d3'!P287-'d3-07'!P260</f>
        <v>0</v>
      </c>
      <c r="R287" s="930"/>
    </row>
    <row r="288" spans="1:18" ht="184.5" thickTop="1" thickBot="1" x14ac:dyDescent="0.25">
      <c r="A288" s="1037"/>
      <c r="B288" s="1037"/>
      <c r="C288" s="1037"/>
      <c r="D288" s="329" t="s">
        <v>474</v>
      </c>
      <c r="E288" s="1026"/>
      <c r="F288" s="1026"/>
      <c r="G288" s="1026"/>
      <c r="H288" s="1026"/>
      <c r="I288" s="1026"/>
      <c r="J288" s="1026"/>
      <c r="K288" s="1026"/>
      <c r="L288" s="1026"/>
      <c r="M288" s="1026"/>
      <c r="N288" s="1026"/>
      <c r="O288" s="1026"/>
      <c r="P288" s="1026"/>
      <c r="R288" s="930"/>
    </row>
    <row r="289" spans="1:18" ht="181.5" thickTop="1" thickBot="1" x14ac:dyDescent="0.25">
      <c r="A289" s="853" t="s">
        <v>174</v>
      </c>
      <c r="B289" s="853"/>
      <c r="C289" s="853"/>
      <c r="D289" s="854" t="s">
        <v>1069</v>
      </c>
      <c r="E289" s="855">
        <f>E290</f>
        <v>-516400</v>
      </c>
      <c r="F289" s="856">
        <f t="shared" ref="F289:G289" si="52">F290</f>
        <v>-516400</v>
      </c>
      <c r="G289" s="856">
        <f t="shared" si="52"/>
        <v>-450000</v>
      </c>
      <c r="H289" s="856">
        <f>H290</f>
        <v>48600</v>
      </c>
      <c r="I289" s="856">
        <f t="shared" ref="I289" si="53">I290</f>
        <v>0</v>
      </c>
      <c r="J289" s="855">
        <f>J290</f>
        <v>50700</v>
      </c>
      <c r="K289" s="856">
        <f>K290</f>
        <v>50700</v>
      </c>
      <c r="L289" s="856">
        <f>L290</f>
        <v>0</v>
      </c>
      <c r="M289" s="856">
        <f t="shared" ref="M289" si="54">M290</f>
        <v>0</v>
      </c>
      <c r="N289" s="856">
        <f>N290</f>
        <v>0</v>
      </c>
      <c r="O289" s="855">
        <f>O290</f>
        <v>50700</v>
      </c>
      <c r="P289" s="856">
        <f t="shared" ref="P289" si="55">P290</f>
        <v>-465700</v>
      </c>
    </row>
    <row r="290" spans="1:18" ht="181.5" thickTop="1" thickBot="1" x14ac:dyDescent="0.25">
      <c r="A290" s="857" t="s">
        <v>175</v>
      </c>
      <c r="B290" s="857"/>
      <c r="C290" s="857"/>
      <c r="D290" s="858" t="s">
        <v>1070</v>
      </c>
      <c r="E290" s="859">
        <f>E291+E294</f>
        <v>-516400</v>
      </c>
      <c r="F290" s="859">
        <f>F291+F294</f>
        <v>-516400</v>
      </c>
      <c r="G290" s="859">
        <f>G291+G294</f>
        <v>-450000</v>
      </c>
      <c r="H290" s="859">
        <f>H291+H294</f>
        <v>48600</v>
      </c>
      <c r="I290" s="859">
        <f>I291+I294</f>
        <v>0</v>
      </c>
      <c r="J290" s="859">
        <f>L290+O290</f>
        <v>50700</v>
      </c>
      <c r="K290" s="859">
        <f>K291+K294</f>
        <v>50700</v>
      </c>
      <c r="L290" s="859">
        <f>L291+L294</f>
        <v>0</v>
      </c>
      <c r="M290" s="859">
        <f>M291+M294</f>
        <v>0</v>
      </c>
      <c r="N290" s="859">
        <f>N291+N294</f>
        <v>0</v>
      </c>
      <c r="O290" s="859">
        <f>O291+O294</f>
        <v>50700</v>
      </c>
      <c r="P290" s="859">
        <f>E290+J290</f>
        <v>-465700</v>
      </c>
      <c r="Q290" s="125" t="b">
        <f>P290=P292+P293+P296</f>
        <v>1</v>
      </c>
      <c r="R290" s="930" t="b">
        <f>J290='d6'!J295</f>
        <v>0</v>
      </c>
    </row>
    <row r="291" spans="1:18" ht="47.25" thickTop="1" thickBot="1" x14ac:dyDescent="0.25">
      <c r="A291" s="173" t="s">
        <v>985</v>
      </c>
      <c r="B291" s="455" t="s">
        <v>843</v>
      </c>
      <c r="C291" s="455"/>
      <c r="D291" s="455" t="s">
        <v>844</v>
      </c>
      <c r="E291" s="324">
        <f>'d3'!E291-'d3-07'!E264</f>
        <v>-516400</v>
      </c>
      <c r="F291" s="324">
        <f>'d3'!F291-'d3-07'!F264</f>
        <v>-516400</v>
      </c>
      <c r="G291" s="324">
        <f>'d3'!G291-'d3-07'!G264</f>
        <v>-450000</v>
      </c>
      <c r="H291" s="324">
        <f>'d3'!H291-'d3-07'!H264</f>
        <v>48600</v>
      </c>
      <c r="I291" s="324">
        <f>'d3'!I291-'d3-07'!I264</f>
        <v>0</v>
      </c>
      <c r="J291" s="324">
        <f>'d3'!J291-'d3-07'!J264</f>
        <v>63700</v>
      </c>
      <c r="K291" s="324">
        <f>'d3'!K291-'d3-07'!K264</f>
        <v>63700</v>
      </c>
      <c r="L291" s="324">
        <f>'d3'!L291-'d3-07'!L264</f>
        <v>0</v>
      </c>
      <c r="M291" s="324">
        <f>'d3'!M291-'d3-07'!M264</f>
        <v>0</v>
      </c>
      <c r="N291" s="324">
        <f>'d3'!N291-'d3-07'!N264</f>
        <v>0</v>
      </c>
      <c r="O291" s="324">
        <f>'d3'!O291-'d3-07'!O264</f>
        <v>63700</v>
      </c>
      <c r="P291" s="324">
        <f>'d3'!P291-'d3-07'!P264</f>
        <v>-452700</v>
      </c>
      <c r="Q291" s="125"/>
      <c r="R291" s="930"/>
    </row>
    <row r="292" spans="1:18" ht="230.25" thickTop="1" thickBot="1" x14ac:dyDescent="0.25">
      <c r="A292" s="927" t="s">
        <v>447</v>
      </c>
      <c r="B292" s="927" t="s">
        <v>254</v>
      </c>
      <c r="C292" s="927" t="s">
        <v>252</v>
      </c>
      <c r="D292" s="927" t="s">
        <v>253</v>
      </c>
      <c r="E292" s="324">
        <f>'d3'!E292-'d3-07'!E265</f>
        <v>-516400</v>
      </c>
      <c r="F292" s="324">
        <f>'d3'!F292-'d3-07'!F265</f>
        <v>-516400</v>
      </c>
      <c r="G292" s="324">
        <f>'d3'!G292-'d3-07'!G265</f>
        <v>-450000</v>
      </c>
      <c r="H292" s="324">
        <f>'d3'!H292-'d3-07'!H265</f>
        <v>48600</v>
      </c>
      <c r="I292" s="324">
        <f>'d3'!I292-'d3-07'!I265</f>
        <v>0</v>
      </c>
      <c r="J292" s="324">
        <f>'d3'!J292-'d3-07'!J265</f>
        <v>63700</v>
      </c>
      <c r="K292" s="324">
        <f>'d3'!K292-'d3-07'!K265</f>
        <v>63700</v>
      </c>
      <c r="L292" s="324">
        <f>'d3'!L292-'d3-07'!L265</f>
        <v>0</v>
      </c>
      <c r="M292" s="324">
        <f>'d3'!M292-'d3-07'!M265</f>
        <v>0</v>
      </c>
      <c r="N292" s="324">
        <f>'d3'!N292-'d3-07'!N265</f>
        <v>0</v>
      </c>
      <c r="O292" s="324">
        <f>'d3'!O292-'d3-07'!O265</f>
        <v>63700</v>
      </c>
      <c r="P292" s="324">
        <f>'d3'!P292-'d3-07'!P265</f>
        <v>-452700</v>
      </c>
      <c r="Q292" s="197"/>
      <c r="R292" s="930" t="b">
        <f>K292='d6'!J297</f>
        <v>0</v>
      </c>
    </row>
    <row r="293" spans="1:18" ht="184.5" thickTop="1" thickBot="1" x14ac:dyDescent="0.25">
      <c r="A293" s="921" t="s">
        <v>789</v>
      </c>
      <c r="B293" s="921" t="s">
        <v>388</v>
      </c>
      <c r="C293" s="921" t="s">
        <v>778</v>
      </c>
      <c r="D293" s="921" t="s">
        <v>779</v>
      </c>
      <c r="E293" s="324">
        <f>'d3'!E293-'d3-07'!E266</f>
        <v>0</v>
      </c>
      <c r="F293" s="324">
        <f>'d3'!F293-'d3-07'!F266</f>
        <v>0</v>
      </c>
      <c r="G293" s="324">
        <f>'d3'!G293-'d3-07'!G266</f>
        <v>0</v>
      </c>
      <c r="H293" s="324">
        <f>'d3'!H293-'d3-07'!H266</f>
        <v>0</v>
      </c>
      <c r="I293" s="324">
        <f>'d3'!I293-'d3-07'!I266</f>
        <v>0</v>
      </c>
      <c r="J293" s="324">
        <f>'d3'!J293-'d3-07'!J266</f>
        <v>0</v>
      </c>
      <c r="K293" s="324">
        <f>'d3'!K293-'d3-07'!K266</f>
        <v>0</v>
      </c>
      <c r="L293" s="324">
        <f>'d3'!L293-'d3-07'!L266</f>
        <v>0</v>
      </c>
      <c r="M293" s="324">
        <f>'d3'!M293-'d3-07'!M266</f>
        <v>0</v>
      </c>
      <c r="N293" s="324">
        <f>'d3'!N293-'d3-07'!N266</f>
        <v>0</v>
      </c>
      <c r="O293" s="324">
        <f>'d3'!O293-'d3-07'!O266</f>
        <v>0</v>
      </c>
      <c r="P293" s="324">
        <f>'d3'!P293-'d3-07'!P266</f>
        <v>0</v>
      </c>
      <c r="Q293" s="197"/>
      <c r="R293" s="930"/>
    </row>
    <row r="294" spans="1:18" ht="47.25" thickTop="1" thickBot="1" x14ac:dyDescent="0.25">
      <c r="A294" s="455" t="s">
        <v>1115</v>
      </c>
      <c r="B294" s="455" t="s">
        <v>908</v>
      </c>
      <c r="C294" s="921"/>
      <c r="D294" s="455" t="s">
        <v>955</v>
      </c>
      <c r="E294" s="324">
        <f>'d3'!E294-'d3-07'!E267</f>
        <v>0</v>
      </c>
      <c r="F294" s="324">
        <f>'d3'!F294-'d3-07'!F267</f>
        <v>0</v>
      </c>
      <c r="G294" s="324">
        <f>'d3'!G294-'d3-07'!G267</f>
        <v>0</v>
      </c>
      <c r="H294" s="324">
        <f>'d3'!H294-'d3-07'!H267</f>
        <v>0</v>
      </c>
      <c r="I294" s="324">
        <f>'d3'!I294-'d3-07'!I267</f>
        <v>0</v>
      </c>
      <c r="J294" s="324">
        <f>'d3'!J294-'d3-07'!J267</f>
        <v>-13000</v>
      </c>
      <c r="K294" s="324">
        <f>'d3'!K294-'d3-07'!K267</f>
        <v>-13000</v>
      </c>
      <c r="L294" s="324">
        <f>'d3'!L294-'d3-07'!L267</f>
        <v>0</v>
      </c>
      <c r="M294" s="324">
        <f>'d3'!M294-'d3-07'!M267</f>
        <v>0</v>
      </c>
      <c r="N294" s="324">
        <f>'d3'!N294-'d3-07'!N267</f>
        <v>0</v>
      </c>
      <c r="O294" s="324">
        <f>'d3'!O294-'d3-07'!O267</f>
        <v>-13000</v>
      </c>
      <c r="P294" s="324">
        <f>'d3'!P294-'d3-07'!P267</f>
        <v>-13000</v>
      </c>
      <c r="Q294" s="197"/>
      <c r="R294" s="930"/>
    </row>
    <row r="295" spans="1:18" ht="91.5" thickTop="1" thickBot="1" x14ac:dyDescent="0.25">
      <c r="A295" s="404" t="s">
        <v>1116</v>
      </c>
      <c r="B295" s="404" t="s">
        <v>964</v>
      </c>
      <c r="C295" s="404"/>
      <c r="D295" s="404" t="s">
        <v>965</v>
      </c>
      <c r="E295" s="324">
        <f>'d3'!E295-'d3-07'!E268</f>
        <v>0</v>
      </c>
      <c r="F295" s="324">
        <f>'d3'!F295-'d3-07'!F268</f>
        <v>0</v>
      </c>
      <c r="G295" s="324">
        <f>'d3'!G295-'d3-07'!G268</f>
        <v>0</v>
      </c>
      <c r="H295" s="324">
        <f>'d3'!H295-'d3-07'!H268</f>
        <v>0</v>
      </c>
      <c r="I295" s="324">
        <f>'d3'!I295-'d3-07'!I268</f>
        <v>0</v>
      </c>
      <c r="J295" s="324">
        <f>'d3'!J295-'d3-07'!J268</f>
        <v>-13000</v>
      </c>
      <c r="K295" s="324">
        <f>'d3'!K295-'d3-07'!K268</f>
        <v>-13000</v>
      </c>
      <c r="L295" s="324">
        <f>'d3'!L295-'d3-07'!L268</f>
        <v>0</v>
      </c>
      <c r="M295" s="324">
        <f>'d3'!M295-'d3-07'!M268</f>
        <v>0</v>
      </c>
      <c r="N295" s="324">
        <f>'d3'!N295-'d3-07'!N268</f>
        <v>0</v>
      </c>
      <c r="O295" s="324">
        <f>'d3'!O295-'d3-07'!O268</f>
        <v>-13000</v>
      </c>
      <c r="P295" s="324">
        <f>'d3'!P295-'d3-07'!P268</f>
        <v>-13000</v>
      </c>
      <c r="Q295" s="197"/>
      <c r="R295" s="930"/>
    </row>
    <row r="296" spans="1:18" ht="138.75" thickTop="1" thickBot="1" x14ac:dyDescent="0.25">
      <c r="A296" s="921" t="s">
        <v>1117</v>
      </c>
      <c r="B296" s="921" t="s">
        <v>1118</v>
      </c>
      <c r="C296" s="921" t="s">
        <v>323</v>
      </c>
      <c r="D296" s="921" t="s">
        <v>1119</v>
      </c>
      <c r="E296" s="324">
        <f>'d3'!E296-'d3-07'!E269</f>
        <v>0</v>
      </c>
      <c r="F296" s="324">
        <f>'d3'!F296-'d3-07'!F269</f>
        <v>0</v>
      </c>
      <c r="G296" s="324">
        <f>'d3'!G296-'d3-07'!G269</f>
        <v>0</v>
      </c>
      <c r="H296" s="324">
        <f>'d3'!H296-'d3-07'!H269</f>
        <v>0</v>
      </c>
      <c r="I296" s="324">
        <f>'d3'!I296-'d3-07'!I269</f>
        <v>0</v>
      </c>
      <c r="J296" s="324">
        <f>'d3'!J296-'d3-07'!J269</f>
        <v>-13000</v>
      </c>
      <c r="K296" s="324">
        <f>'d3'!K296-'d3-07'!K269</f>
        <v>-13000</v>
      </c>
      <c r="L296" s="324">
        <f>'d3'!L296-'d3-07'!L269</f>
        <v>0</v>
      </c>
      <c r="M296" s="324">
        <f>'d3'!M296-'d3-07'!M269</f>
        <v>0</v>
      </c>
      <c r="N296" s="324">
        <f>'d3'!N296-'d3-07'!N269</f>
        <v>0</v>
      </c>
      <c r="O296" s="324">
        <f>'d3'!O296-'d3-07'!O269</f>
        <v>-13000</v>
      </c>
      <c r="P296" s="324">
        <f>'d3'!P296-'d3-07'!P269</f>
        <v>-13000</v>
      </c>
      <c r="Q296" s="197"/>
      <c r="R296" s="930" t="b">
        <f>K296='d6'!J300+'d6'!J299+'d6'!J298</f>
        <v>0</v>
      </c>
    </row>
    <row r="297" spans="1:18" ht="136.5" thickTop="1" thickBot="1" x14ac:dyDescent="0.25">
      <c r="A297" s="853" t="s">
        <v>477</v>
      </c>
      <c r="B297" s="853"/>
      <c r="C297" s="853"/>
      <c r="D297" s="854" t="s">
        <v>479</v>
      </c>
      <c r="E297" s="855">
        <f>E298</f>
        <v>355330</v>
      </c>
      <c r="F297" s="856">
        <f t="shared" ref="F297:G297" si="56">F298</f>
        <v>355330</v>
      </c>
      <c r="G297" s="856">
        <f t="shared" si="56"/>
        <v>0</v>
      </c>
      <c r="H297" s="856">
        <f>H298</f>
        <v>7800</v>
      </c>
      <c r="I297" s="856">
        <f t="shared" ref="I297" si="57">I298</f>
        <v>0</v>
      </c>
      <c r="J297" s="855">
        <f>J298</f>
        <v>0</v>
      </c>
      <c r="K297" s="856">
        <f>K298</f>
        <v>0</v>
      </c>
      <c r="L297" s="856">
        <f>L298</f>
        <v>0</v>
      </c>
      <c r="M297" s="856">
        <f t="shared" ref="M297" si="58">M298</f>
        <v>0</v>
      </c>
      <c r="N297" s="856">
        <f>N298</f>
        <v>0</v>
      </c>
      <c r="O297" s="855">
        <f>O298</f>
        <v>0</v>
      </c>
      <c r="P297" s="856">
        <f t="shared" ref="P297" si="59">P298</f>
        <v>355330</v>
      </c>
    </row>
    <row r="298" spans="1:18" ht="181.5" thickTop="1" thickBot="1" x14ac:dyDescent="0.25">
      <c r="A298" s="857" t="s">
        <v>478</v>
      </c>
      <c r="B298" s="857"/>
      <c r="C298" s="857"/>
      <c r="D298" s="858" t="s">
        <v>480</v>
      </c>
      <c r="E298" s="859">
        <f>E299+E303</f>
        <v>355330</v>
      </c>
      <c r="F298" s="859">
        <f t="shared" ref="F298:I298" si="60">F299+F303</f>
        <v>355330</v>
      </c>
      <c r="G298" s="859">
        <f t="shared" si="60"/>
        <v>0</v>
      </c>
      <c r="H298" s="859">
        <f t="shared" si="60"/>
        <v>7800</v>
      </c>
      <c r="I298" s="859">
        <f t="shared" si="60"/>
        <v>0</v>
      </c>
      <c r="J298" s="859">
        <f>L298+O298</f>
        <v>0</v>
      </c>
      <c r="K298" s="859">
        <f t="shared" ref="K298:O298" si="61">K299+K303</f>
        <v>0</v>
      </c>
      <c r="L298" s="859">
        <f t="shared" si="61"/>
        <v>0</v>
      </c>
      <c r="M298" s="859">
        <f t="shared" si="61"/>
        <v>0</v>
      </c>
      <c r="N298" s="859">
        <f t="shared" si="61"/>
        <v>0</v>
      </c>
      <c r="O298" s="859">
        <f t="shared" si="61"/>
        <v>0</v>
      </c>
      <c r="P298" s="859">
        <f>E298+J298</f>
        <v>355330</v>
      </c>
      <c r="Q298" s="125" t="b">
        <f>P298=P300+P302+P308+P301+P306+P309</f>
        <v>1</v>
      </c>
      <c r="R298" s="930" t="b">
        <f>K298='d6'!J301</f>
        <v>0</v>
      </c>
    </row>
    <row r="299" spans="1:18" ht="47.25" thickTop="1" thickBot="1" x14ac:dyDescent="0.25">
      <c r="A299" s="173" t="s">
        <v>986</v>
      </c>
      <c r="B299" s="455" t="s">
        <v>843</v>
      </c>
      <c r="C299" s="455"/>
      <c r="D299" s="455" t="s">
        <v>844</v>
      </c>
      <c r="E299" s="324">
        <f>'d3'!E299-'d3-07'!E272</f>
        <v>155330</v>
      </c>
      <c r="F299" s="324">
        <f>'d3'!F299-'d3-07'!F272</f>
        <v>155330</v>
      </c>
      <c r="G299" s="324">
        <f>'d3'!G299-'d3-07'!G272</f>
        <v>0</v>
      </c>
      <c r="H299" s="324">
        <f>'d3'!H299-'d3-07'!H272</f>
        <v>7800</v>
      </c>
      <c r="I299" s="324">
        <f>'d3'!I299-'d3-07'!I272</f>
        <v>0</v>
      </c>
      <c r="J299" s="324">
        <f>'d3'!J299-'d3-07'!J272</f>
        <v>0</v>
      </c>
      <c r="K299" s="324">
        <f>'d3'!K299-'d3-07'!K272</f>
        <v>0</v>
      </c>
      <c r="L299" s="324">
        <f>'d3'!L299-'d3-07'!L272</f>
        <v>0</v>
      </c>
      <c r="M299" s="324">
        <f>'d3'!M299-'d3-07'!M272</f>
        <v>0</v>
      </c>
      <c r="N299" s="324">
        <f>'d3'!N299-'d3-07'!N272</f>
        <v>0</v>
      </c>
      <c r="O299" s="324">
        <f>'d3'!O299-'d3-07'!O272</f>
        <v>0</v>
      </c>
      <c r="P299" s="324">
        <f>'d3'!P299-'d3-07'!P272</f>
        <v>155330</v>
      </c>
      <c r="Q299" s="125"/>
      <c r="R299" s="930"/>
    </row>
    <row r="300" spans="1:18" ht="230.25" thickTop="1" thickBot="1" x14ac:dyDescent="0.25">
      <c r="A300" s="927" t="s">
        <v>481</v>
      </c>
      <c r="B300" s="927" t="s">
        <v>254</v>
      </c>
      <c r="C300" s="927" t="s">
        <v>252</v>
      </c>
      <c r="D300" s="927" t="s">
        <v>253</v>
      </c>
      <c r="E300" s="324">
        <f>'d3'!E300-'d3-07'!E273</f>
        <v>155330</v>
      </c>
      <c r="F300" s="324">
        <f>'d3'!F300-'d3-07'!F273</f>
        <v>155330</v>
      </c>
      <c r="G300" s="324">
        <f>'d3'!G300-'d3-07'!G273</f>
        <v>0</v>
      </c>
      <c r="H300" s="324">
        <f>'d3'!H300-'d3-07'!H273</f>
        <v>7800</v>
      </c>
      <c r="I300" s="324">
        <f>'d3'!I300-'d3-07'!I273</f>
        <v>0</v>
      </c>
      <c r="J300" s="324">
        <f>'d3'!J300-'d3-07'!J273</f>
        <v>0</v>
      </c>
      <c r="K300" s="324">
        <f>'d3'!K300-'d3-07'!K273</f>
        <v>0</v>
      </c>
      <c r="L300" s="324">
        <f>'d3'!L300-'d3-07'!L273</f>
        <v>0</v>
      </c>
      <c r="M300" s="324">
        <f>'d3'!M300-'d3-07'!M273</f>
        <v>0</v>
      </c>
      <c r="N300" s="324">
        <f>'d3'!N300-'d3-07'!N273</f>
        <v>0</v>
      </c>
      <c r="O300" s="324">
        <f>'d3'!O300-'d3-07'!O273</f>
        <v>0</v>
      </c>
      <c r="P300" s="324">
        <f>'d3'!P300-'d3-07'!P273</f>
        <v>155330</v>
      </c>
      <c r="Q300" s="197"/>
      <c r="R300" s="930" t="b">
        <f>K300='d6'!J303</f>
        <v>0</v>
      </c>
    </row>
    <row r="301" spans="1:18" ht="184.5" thickTop="1" thickBot="1" x14ac:dyDescent="0.25">
      <c r="A301" s="921" t="s">
        <v>790</v>
      </c>
      <c r="B301" s="921" t="s">
        <v>388</v>
      </c>
      <c r="C301" s="921" t="s">
        <v>778</v>
      </c>
      <c r="D301" s="921" t="s">
        <v>779</v>
      </c>
      <c r="E301" s="324">
        <f>'d3'!E301-'d3-07'!E274</f>
        <v>0</v>
      </c>
      <c r="F301" s="324">
        <f>'d3'!F301-'d3-07'!F274</f>
        <v>0</v>
      </c>
      <c r="G301" s="324">
        <f>'d3'!G301-'d3-07'!G274</f>
        <v>0</v>
      </c>
      <c r="H301" s="324">
        <f>'d3'!H301-'d3-07'!H274</f>
        <v>0</v>
      </c>
      <c r="I301" s="324">
        <f>'d3'!I301-'d3-07'!I274</f>
        <v>0</v>
      </c>
      <c r="J301" s="324">
        <f>'d3'!J301-'d3-07'!J274</f>
        <v>0</v>
      </c>
      <c r="K301" s="324">
        <f>'d3'!K301-'d3-07'!K274</f>
        <v>0</v>
      </c>
      <c r="L301" s="324">
        <f>'d3'!L301-'d3-07'!L274</f>
        <v>0</v>
      </c>
      <c r="M301" s="324">
        <f>'d3'!M301-'d3-07'!M274</f>
        <v>0</v>
      </c>
      <c r="N301" s="324">
        <f>'d3'!N301-'d3-07'!N274</f>
        <v>0</v>
      </c>
      <c r="O301" s="324">
        <f>'d3'!O301-'d3-07'!O274</f>
        <v>0</v>
      </c>
      <c r="P301" s="324">
        <f>'d3'!P301-'d3-07'!P274</f>
        <v>0</v>
      </c>
      <c r="Q301" s="197"/>
      <c r="R301" s="930"/>
    </row>
    <row r="302" spans="1:18" ht="93" hidden="1" thickTop="1" thickBot="1" x14ac:dyDescent="0.25">
      <c r="A302" s="186" t="s">
        <v>504</v>
      </c>
      <c r="B302" s="186" t="s">
        <v>440</v>
      </c>
      <c r="C302" s="186" t="s">
        <v>441</v>
      </c>
      <c r="D302" s="186" t="s">
        <v>442</v>
      </c>
      <c r="E302" s="324">
        <f>'d3'!E302-'d3-07'!E275</f>
        <v>0</v>
      </c>
      <c r="F302" s="324">
        <f>'d3'!F302-'d3-07'!F275</f>
        <v>0</v>
      </c>
      <c r="G302" s="324">
        <f>'d3'!G302-'d3-07'!G275</f>
        <v>0</v>
      </c>
      <c r="H302" s="324">
        <f>'d3'!H302-'d3-07'!H275</f>
        <v>0</v>
      </c>
      <c r="I302" s="324">
        <f>'d3'!I302-'d3-07'!I275</f>
        <v>0</v>
      </c>
      <c r="J302" s="324">
        <f>'d3'!J302-'d3-07'!J275</f>
        <v>0</v>
      </c>
      <c r="K302" s="324">
        <f>'d3'!K302-'d3-07'!K275</f>
        <v>0</v>
      </c>
      <c r="L302" s="324">
        <f>'d3'!L302-'d3-07'!L275</f>
        <v>0</v>
      </c>
      <c r="M302" s="324">
        <f>'d3'!M302-'d3-07'!M275</f>
        <v>0</v>
      </c>
      <c r="N302" s="324">
        <f>'d3'!N302-'d3-07'!N275</f>
        <v>0</v>
      </c>
      <c r="O302" s="324">
        <f>'d3'!O302-'d3-07'!O275</f>
        <v>0</v>
      </c>
      <c r="P302" s="324">
        <f>'d3'!P302-'d3-07'!P275</f>
        <v>0</v>
      </c>
      <c r="Q302" s="197"/>
      <c r="R302" s="198"/>
    </row>
    <row r="303" spans="1:18" ht="47.25" thickTop="1" thickBot="1" x14ac:dyDescent="0.25">
      <c r="A303" s="173" t="s">
        <v>987</v>
      </c>
      <c r="B303" s="455" t="s">
        <v>908</v>
      </c>
      <c r="C303" s="921"/>
      <c r="D303" s="455" t="s">
        <v>955</v>
      </c>
      <c r="E303" s="324">
        <f>'d3'!E303-'d3-07'!E276</f>
        <v>200000</v>
      </c>
      <c r="F303" s="324">
        <f>'d3'!F303-'d3-07'!F276</f>
        <v>200000</v>
      </c>
      <c r="G303" s="324">
        <f>'d3'!G303-'d3-07'!G276</f>
        <v>0</v>
      </c>
      <c r="H303" s="324">
        <f>'d3'!H303-'d3-07'!H276</f>
        <v>0</v>
      </c>
      <c r="I303" s="324">
        <f>'d3'!I303-'d3-07'!I276</f>
        <v>0</v>
      </c>
      <c r="J303" s="324">
        <f>'d3'!J303-'d3-07'!J276</f>
        <v>0</v>
      </c>
      <c r="K303" s="324">
        <f>'d3'!K303-'d3-07'!K276</f>
        <v>0</v>
      </c>
      <c r="L303" s="324">
        <f>'d3'!L303-'d3-07'!L276</f>
        <v>0</v>
      </c>
      <c r="M303" s="324">
        <f>'d3'!M303-'d3-07'!M276</f>
        <v>0</v>
      </c>
      <c r="N303" s="324">
        <f>'d3'!N303-'d3-07'!N276</f>
        <v>0</v>
      </c>
      <c r="O303" s="324">
        <f>'d3'!O303-'d3-07'!O276</f>
        <v>0</v>
      </c>
      <c r="P303" s="324">
        <f>'d3'!P303-'d3-07'!P276</f>
        <v>2293008</v>
      </c>
      <c r="Q303" s="197"/>
      <c r="R303" s="198"/>
    </row>
    <row r="304" spans="1:18" ht="136.5" thickTop="1" thickBot="1" x14ac:dyDescent="0.25">
      <c r="A304" s="450" t="s">
        <v>988</v>
      </c>
      <c r="B304" s="450" t="s">
        <v>967</v>
      </c>
      <c r="C304" s="450"/>
      <c r="D304" s="450" t="s">
        <v>968</v>
      </c>
      <c r="E304" s="324">
        <f>'d3'!E304-'d3-07'!E277</f>
        <v>200000</v>
      </c>
      <c r="F304" s="324">
        <f>'d3'!F304-'d3-07'!F277</f>
        <v>200000</v>
      </c>
      <c r="G304" s="324">
        <f>'d3'!G304-'d3-07'!G277</f>
        <v>0</v>
      </c>
      <c r="H304" s="324">
        <f>'d3'!H304-'d3-07'!H277</f>
        <v>0</v>
      </c>
      <c r="I304" s="324">
        <f>'d3'!I304-'d3-07'!I277</f>
        <v>0</v>
      </c>
      <c r="J304" s="324">
        <f>'d3'!J304-'d3-07'!J277</f>
        <v>0</v>
      </c>
      <c r="K304" s="324">
        <f>'d3'!K304-'d3-07'!K277</f>
        <v>0</v>
      </c>
      <c r="L304" s="324">
        <f>'d3'!L304-'d3-07'!L277</f>
        <v>0</v>
      </c>
      <c r="M304" s="324">
        <f>'d3'!M304-'d3-07'!M277</f>
        <v>0</v>
      </c>
      <c r="N304" s="324">
        <f>'d3'!N304-'d3-07'!N277</f>
        <v>0</v>
      </c>
      <c r="O304" s="324">
        <f>'d3'!O304-'d3-07'!O277</f>
        <v>0</v>
      </c>
      <c r="P304" s="324">
        <f>'d3'!P304-'d3-07'!P277</f>
        <v>2293008</v>
      </c>
      <c r="Q304" s="197"/>
      <c r="R304" s="198"/>
    </row>
    <row r="305" spans="1:18" ht="138.75" thickTop="1" thickBot="1" x14ac:dyDescent="0.25">
      <c r="A305" s="445" t="s">
        <v>1347</v>
      </c>
      <c r="B305" s="445" t="s">
        <v>1348</v>
      </c>
      <c r="C305" s="445"/>
      <c r="D305" s="445" t="s">
        <v>1346</v>
      </c>
      <c r="E305" s="324">
        <f>'d3'!E305-'d3-07'!E278</f>
        <v>0</v>
      </c>
      <c r="F305" s="324">
        <f>'d3'!F305-'d3-07'!F278</f>
        <v>0</v>
      </c>
      <c r="G305" s="324">
        <f>'d3'!G305-'d3-07'!G278</f>
        <v>0</v>
      </c>
      <c r="H305" s="324">
        <f>'d3'!H305-'d3-07'!H278</f>
        <v>0</v>
      </c>
      <c r="I305" s="324">
        <f>'d3'!I305-'d3-07'!I278</f>
        <v>0</v>
      </c>
      <c r="J305" s="324">
        <f>'d3'!J305-'d3-07'!J278</f>
        <v>0</v>
      </c>
      <c r="K305" s="324">
        <f>'d3'!K305-'d3-07'!K278</f>
        <v>0</v>
      </c>
      <c r="L305" s="324">
        <f>'d3'!L305-'d3-07'!L278</f>
        <v>0</v>
      </c>
      <c r="M305" s="324">
        <f>'d3'!M305-'d3-07'!M278</f>
        <v>0</v>
      </c>
      <c r="N305" s="324">
        <f>'d3'!N305-'d3-07'!N278</f>
        <v>0</v>
      </c>
      <c r="O305" s="324">
        <f>'d3'!O305-'d3-07'!O278</f>
        <v>0</v>
      </c>
      <c r="P305" s="324">
        <f>'d3'!P305-'d3-07'!P278</f>
        <v>0</v>
      </c>
      <c r="Q305" s="197"/>
      <c r="R305" s="198"/>
    </row>
    <row r="306" spans="1:18" ht="93" thickTop="1" thickBot="1" x14ac:dyDescent="0.25">
      <c r="A306" s="927" t="s">
        <v>504</v>
      </c>
      <c r="B306" s="927" t="s">
        <v>440</v>
      </c>
      <c r="C306" s="927" t="s">
        <v>441</v>
      </c>
      <c r="D306" s="927" t="s">
        <v>442</v>
      </c>
      <c r="E306" s="324">
        <f>'d3'!E306-'d3-07'!E279</f>
        <v>0</v>
      </c>
      <c r="F306" s="324">
        <f>'d3'!F306-'d3-07'!F279</f>
        <v>0</v>
      </c>
      <c r="G306" s="324">
        <f>'d3'!G306-'d3-07'!G279</f>
        <v>0</v>
      </c>
      <c r="H306" s="324">
        <f>'d3'!H306-'d3-07'!H279</f>
        <v>0</v>
      </c>
      <c r="I306" s="324">
        <f>'d3'!I306-'d3-07'!I279</f>
        <v>0</v>
      </c>
      <c r="J306" s="324">
        <f>'d3'!J306-'d3-07'!J279</f>
        <v>0</v>
      </c>
      <c r="K306" s="324">
        <f>'d3'!K306-'d3-07'!K279</f>
        <v>0</v>
      </c>
      <c r="L306" s="324">
        <f>'d3'!L306-'d3-07'!L279</f>
        <v>0</v>
      </c>
      <c r="M306" s="324">
        <f>'d3'!M306-'d3-07'!M279</f>
        <v>0</v>
      </c>
      <c r="N306" s="324">
        <f>'d3'!N306-'d3-07'!N279</f>
        <v>0</v>
      </c>
      <c r="O306" s="324">
        <f>'d3'!O306-'d3-07'!O279</f>
        <v>0</v>
      </c>
      <c r="P306" s="324">
        <f>'d3'!P306-'d3-07'!P279</f>
        <v>0</v>
      </c>
      <c r="Q306" s="197"/>
      <c r="R306" s="198"/>
    </row>
    <row r="307" spans="1:18" ht="138.75" thickTop="1" thickBot="1" x14ac:dyDescent="0.25">
      <c r="A307" s="445" t="s">
        <v>989</v>
      </c>
      <c r="B307" s="445" t="s">
        <v>990</v>
      </c>
      <c r="C307" s="445"/>
      <c r="D307" s="445" t="s">
        <v>991</v>
      </c>
      <c r="E307" s="324">
        <f>'d3'!E307-'d3-07'!E280</f>
        <v>0</v>
      </c>
      <c r="F307" s="324">
        <f>'d3'!F307-'d3-07'!F280</f>
        <v>0</v>
      </c>
      <c r="G307" s="324">
        <f>'d3'!G307-'d3-07'!G280</f>
        <v>0</v>
      </c>
      <c r="H307" s="324">
        <f>'d3'!H307-'d3-07'!H280</f>
        <v>0</v>
      </c>
      <c r="I307" s="324">
        <f>'d3'!I307-'d3-07'!I280</f>
        <v>0</v>
      </c>
      <c r="J307" s="324">
        <f>'d3'!J307-'d3-07'!J280</f>
        <v>0</v>
      </c>
      <c r="K307" s="324">
        <f>'d3'!K307-'d3-07'!K280</f>
        <v>0</v>
      </c>
      <c r="L307" s="324">
        <f>'d3'!L307-'d3-07'!L280</f>
        <v>0</v>
      </c>
      <c r="M307" s="324">
        <f>'d3'!M307-'d3-07'!M280</f>
        <v>0</v>
      </c>
      <c r="N307" s="324">
        <f>'d3'!N307-'d3-07'!N280</f>
        <v>0</v>
      </c>
      <c r="O307" s="324">
        <f>'d3'!O307-'d3-07'!O280</f>
        <v>0</v>
      </c>
      <c r="P307" s="324">
        <f>'d3'!P307-'d3-07'!P280</f>
        <v>0</v>
      </c>
      <c r="Q307" s="197"/>
      <c r="R307" s="198"/>
    </row>
    <row r="308" spans="1:18" ht="93" thickTop="1" thickBot="1" x14ac:dyDescent="0.25">
      <c r="A308" s="927" t="s">
        <v>505</v>
      </c>
      <c r="B308" s="927" t="s">
        <v>309</v>
      </c>
      <c r="C308" s="927" t="s">
        <v>311</v>
      </c>
      <c r="D308" s="927" t="s">
        <v>310</v>
      </c>
      <c r="E308" s="324">
        <f>'d3'!E308-'d3-07'!E281</f>
        <v>0</v>
      </c>
      <c r="F308" s="324">
        <f>'d3'!F308-'d3-07'!F281</f>
        <v>0</v>
      </c>
      <c r="G308" s="324">
        <f>'d3'!G308-'d3-07'!G281</f>
        <v>0</v>
      </c>
      <c r="H308" s="324">
        <f>'d3'!H308-'d3-07'!H281</f>
        <v>0</v>
      </c>
      <c r="I308" s="324">
        <f>'d3'!I308-'d3-07'!I281</f>
        <v>0</v>
      </c>
      <c r="J308" s="324">
        <f>'d3'!J308-'d3-07'!J281</f>
        <v>0</v>
      </c>
      <c r="K308" s="324">
        <f>'d3'!K308-'d3-07'!K281</f>
        <v>0</v>
      </c>
      <c r="L308" s="324">
        <f>'d3'!L308-'d3-07'!L281</f>
        <v>0</v>
      </c>
      <c r="M308" s="324">
        <f>'d3'!M308-'d3-07'!M281</f>
        <v>0</v>
      </c>
      <c r="N308" s="324">
        <f>'d3'!N308-'d3-07'!N281</f>
        <v>0</v>
      </c>
      <c r="O308" s="324">
        <f>'d3'!O308-'d3-07'!O281</f>
        <v>0</v>
      </c>
      <c r="P308" s="324">
        <f>'d3'!P308-'d3-07'!P281</f>
        <v>0</v>
      </c>
      <c r="Q308" s="197"/>
      <c r="R308" s="198"/>
    </row>
    <row r="309" spans="1:18" ht="93" thickTop="1" thickBot="1" x14ac:dyDescent="0.25">
      <c r="A309" s="927" t="s">
        <v>1478</v>
      </c>
      <c r="B309" s="927" t="s">
        <v>1479</v>
      </c>
      <c r="C309" s="927" t="s">
        <v>314</v>
      </c>
      <c r="D309" s="927" t="s">
        <v>1477</v>
      </c>
      <c r="E309" s="324">
        <f>'d3'!E309-0</f>
        <v>200000</v>
      </c>
      <c r="F309" s="324">
        <f>'d3'!F309-0</f>
        <v>200000</v>
      </c>
      <c r="G309" s="324">
        <f>'d3'!G309-0</f>
        <v>0</v>
      </c>
      <c r="H309" s="324">
        <f>'d3'!H309-0</f>
        <v>0</v>
      </c>
      <c r="I309" s="324">
        <f>'d3'!I309-0</f>
        <v>0</v>
      </c>
      <c r="J309" s="324">
        <f>'d3'!J309-0</f>
        <v>0</v>
      </c>
      <c r="K309" s="324">
        <f>'d3'!K309-0</f>
        <v>0</v>
      </c>
      <c r="L309" s="324">
        <f>'d3'!L309-0</f>
        <v>0</v>
      </c>
      <c r="M309" s="324">
        <f>'d3'!M309-0</f>
        <v>0</v>
      </c>
      <c r="N309" s="324">
        <f>'d3'!N309-0</f>
        <v>0</v>
      </c>
      <c r="O309" s="324">
        <f>'d3'!O309-0</f>
        <v>0</v>
      </c>
      <c r="P309" s="324">
        <f>'d3'!P309-0</f>
        <v>200000</v>
      </c>
      <c r="Q309" s="197"/>
      <c r="R309" s="198"/>
    </row>
    <row r="310" spans="1:18" ht="136.5" thickTop="1" thickBot="1" x14ac:dyDescent="0.25">
      <c r="A310" s="853" t="s">
        <v>180</v>
      </c>
      <c r="B310" s="853"/>
      <c r="C310" s="853"/>
      <c r="D310" s="854" t="s">
        <v>380</v>
      </c>
      <c r="E310" s="855">
        <f>E311</f>
        <v>-150000</v>
      </c>
      <c r="F310" s="856">
        <f t="shared" ref="F310:G310" si="62">F311</f>
        <v>-150000</v>
      </c>
      <c r="G310" s="856">
        <f t="shared" si="62"/>
        <v>0</v>
      </c>
      <c r="H310" s="856">
        <f>H311</f>
        <v>0</v>
      </c>
      <c r="I310" s="856">
        <f t="shared" ref="I310" si="63">I311</f>
        <v>0</v>
      </c>
      <c r="J310" s="855">
        <f>J311</f>
        <v>700000</v>
      </c>
      <c r="K310" s="856">
        <f>K311</f>
        <v>700000</v>
      </c>
      <c r="L310" s="856">
        <f>L311</f>
        <v>0</v>
      </c>
      <c r="M310" s="856">
        <f t="shared" ref="M310" si="64">M311</f>
        <v>0</v>
      </c>
      <c r="N310" s="856">
        <f>N311</f>
        <v>0</v>
      </c>
      <c r="O310" s="855">
        <f>O311</f>
        <v>700000</v>
      </c>
      <c r="P310" s="856">
        <f t="shared" ref="P310" si="65">P311</f>
        <v>550000</v>
      </c>
    </row>
    <row r="311" spans="1:18" ht="136.5" thickTop="1" thickBot="1" x14ac:dyDescent="0.25">
      <c r="A311" s="857" t="s">
        <v>181</v>
      </c>
      <c r="B311" s="857"/>
      <c r="C311" s="857"/>
      <c r="D311" s="858" t="s">
        <v>381</v>
      </c>
      <c r="E311" s="859">
        <f>E312+E320</f>
        <v>-150000</v>
      </c>
      <c r="F311" s="859">
        <f>F312+F320</f>
        <v>-150000</v>
      </c>
      <c r="G311" s="859">
        <f t="shared" ref="G311:O311" si="66">G312+G320</f>
        <v>0</v>
      </c>
      <c r="H311" s="859">
        <f t="shared" si="66"/>
        <v>0</v>
      </c>
      <c r="I311" s="859">
        <f t="shared" si="66"/>
        <v>0</v>
      </c>
      <c r="J311" s="859">
        <f t="shared" ref="J311" si="67">L311+O311</f>
        <v>700000</v>
      </c>
      <c r="K311" s="859">
        <f t="shared" si="66"/>
        <v>700000</v>
      </c>
      <c r="L311" s="859">
        <f t="shared" si="66"/>
        <v>0</v>
      </c>
      <c r="M311" s="859">
        <f t="shared" si="66"/>
        <v>0</v>
      </c>
      <c r="N311" s="859">
        <f t="shared" si="66"/>
        <v>0</v>
      </c>
      <c r="O311" s="859">
        <f t="shared" si="66"/>
        <v>700000</v>
      </c>
      <c r="P311" s="859">
        <f t="shared" ref="P311" si="68">E311+J311</f>
        <v>550000</v>
      </c>
      <c r="Q311" s="125" t="b">
        <f>P311=P316+P317+P319+P322+P314</f>
        <v>1</v>
      </c>
      <c r="R311" s="930" t="b">
        <f>K311='d6'!J305</f>
        <v>0</v>
      </c>
    </row>
    <row r="312" spans="1:18" ht="47.25" thickTop="1" thickBot="1" x14ac:dyDescent="0.25">
      <c r="A312" s="455" t="s">
        <v>992</v>
      </c>
      <c r="B312" s="455" t="s">
        <v>908</v>
      </c>
      <c r="C312" s="921"/>
      <c r="D312" s="455" t="s">
        <v>955</v>
      </c>
      <c r="E312" s="470">
        <f>'d3'!E312-'d3-07'!E284</f>
        <v>-150000</v>
      </c>
      <c r="F312" s="470">
        <f>'d3'!F312-'d3-07'!F284</f>
        <v>-150000</v>
      </c>
      <c r="G312" s="470">
        <f>'d3'!G312-'d3-07'!G284</f>
        <v>0</v>
      </c>
      <c r="H312" s="470">
        <f>'d3'!H312-'d3-07'!H284</f>
        <v>0</v>
      </c>
      <c r="I312" s="470">
        <f>'d3'!I312-'d3-07'!I284</f>
        <v>0</v>
      </c>
      <c r="J312" s="470">
        <f>'d3'!J312-'d3-07'!J284</f>
        <v>0</v>
      </c>
      <c r="K312" s="470">
        <f>'d3'!K312-'d3-07'!K284</f>
        <v>0</v>
      </c>
      <c r="L312" s="470">
        <f>'d3'!L312-'d3-07'!L284</f>
        <v>0</v>
      </c>
      <c r="M312" s="470">
        <f>'d3'!M312-'d3-07'!M284</f>
        <v>0</v>
      </c>
      <c r="N312" s="470">
        <f>'d3'!N312-'d3-07'!N284</f>
        <v>0</v>
      </c>
      <c r="O312" s="470">
        <f>'d3'!O312-'d3-07'!O284</f>
        <v>0</v>
      </c>
      <c r="P312" s="470">
        <f>'d3'!P312-'d3-07'!P284</f>
        <v>-150000</v>
      </c>
      <c r="Q312" s="125"/>
      <c r="R312" s="930"/>
    </row>
    <row r="313" spans="1:18" ht="91.5" thickTop="1" thickBot="1" x14ac:dyDescent="0.25">
      <c r="A313" s="404" t="s">
        <v>1344</v>
      </c>
      <c r="B313" s="404" t="s">
        <v>964</v>
      </c>
      <c r="C313" s="404"/>
      <c r="D313" s="404" t="s">
        <v>965</v>
      </c>
      <c r="E313" s="470">
        <f>'d3'!E313-'d3-07'!E285</f>
        <v>0</v>
      </c>
      <c r="F313" s="470">
        <f>'d3'!F313-'d3-07'!F285</f>
        <v>0</v>
      </c>
      <c r="G313" s="470">
        <f>'d3'!G313-'d3-07'!G285</f>
        <v>0</v>
      </c>
      <c r="H313" s="470">
        <f>'d3'!H313-'d3-07'!H285</f>
        <v>0</v>
      </c>
      <c r="I313" s="470">
        <f>'d3'!I313-'d3-07'!I285</f>
        <v>0</v>
      </c>
      <c r="J313" s="470">
        <f>'d3'!J313-'d3-07'!J285</f>
        <v>0</v>
      </c>
      <c r="K313" s="470">
        <f>'d3'!K313-'d3-07'!K285</f>
        <v>0</v>
      </c>
      <c r="L313" s="470">
        <f>'d3'!L313-'d3-07'!L285</f>
        <v>0</v>
      </c>
      <c r="M313" s="470">
        <f>'d3'!M313-'d3-07'!M285</f>
        <v>0</v>
      </c>
      <c r="N313" s="470">
        <f>'d3'!N313-'d3-07'!N285</f>
        <v>0</v>
      </c>
      <c r="O313" s="470">
        <f>'d3'!O313-'d3-07'!O285</f>
        <v>0</v>
      </c>
      <c r="P313" s="470">
        <f>'d3'!P313-'d3-07'!P285</f>
        <v>0</v>
      </c>
      <c r="Q313" s="125"/>
      <c r="R313" s="930"/>
    </row>
    <row r="314" spans="1:18" ht="138.75" thickTop="1" thickBot="1" x14ac:dyDescent="0.25">
      <c r="A314" s="921" t="s">
        <v>1345</v>
      </c>
      <c r="B314" s="921" t="s">
        <v>376</v>
      </c>
      <c r="C314" s="921" t="s">
        <v>184</v>
      </c>
      <c r="D314" s="921" t="s">
        <v>280</v>
      </c>
      <c r="E314" s="470">
        <f>'d3'!E314-'d3-07'!E286</f>
        <v>0</v>
      </c>
      <c r="F314" s="470">
        <f>'d3'!F314-'d3-07'!F286</f>
        <v>0</v>
      </c>
      <c r="G314" s="470">
        <f>'d3'!G314-'d3-07'!G286</f>
        <v>0</v>
      </c>
      <c r="H314" s="470">
        <f>'d3'!H314-'d3-07'!H286</f>
        <v>0</v>
      </c>
      <c r="I314" s="470">
        <f>'d3'!I314-'d3-07'!I286</f>
        <v>0</v>
      </c>
      <c r="J314" s="470">
        <f>'d3'!J314-'d3-07'!J286</f>
        <v>0</v>
      </c>
      <c r="K314" s="470">
        <f>'d3'!K314-'d3-07'!K286</f>
        <v>0</v>
      </c>
      <c r="L314" s="470">
        <f>'d3'!L314-'d3-07'!L286</f>
        <v>0</v>
      </c>
      <c r="M314" s="470">
        <f>'d3'!M314-'d3-07'!M286</f>
        <v>0</v>
      </c>
      <c r="N314" s="470">
        <f>'d3'!N314-'d3-07'!N286</f>
        <v>0</v>
      </c>
      <c r="O314" s="470">
        <f>'d3'!O314-'d3-07'!O286</f>
        <v>0</v>
      </c>
      <c r="P314" s="470">
        <f>'d3'!P314-'d3-07'!P286</f>
        <v>0</v>
      </c>
      <c r="Q314" s="125"/>
      <c r="R314" s="930"/>
    </row>
    <row r="315" spans="1:18" ht="136.5" thickTop="1" thickBot="1" x14ac:dyDescent="0.25">
      <c r="A315" s="404" t="s">
        <v>993</v>
      </c>
      <c r="B315" s="404" t="s">
        <v>850</v>
      </c>
      <c r="C315" s="404"/>
      <c r="D315" s="404" t="s">
        <v>848</v>
      </c>
      <c r="E315" s="470">
        <f>'d3'!E315-'d3-07'!E287</f>
        <v>-150000</v>
      </c>
      <c r="F315" s="470">
        <f>'d3'!F315-'d3-07'!F287</f>
        <v>-150000</v>
      </c>
      <c r="G315" s="470">
        <f>'d3'!G315-'d3-07'!G287</f>
        <v>0</v>
      </c>
      <c r="H315" s="470">
        <f>'d3'!H315-'d3-07'!H287</f>
        <v>0</v>
      </c>
      <c r="I315" s="470">
        <f>'d3'!I315-'d3-07'!I287</f>
        <v>0</v>
      </c>
      <c r="J315" s="470">
        <f>'d3'!J315-'d3-07'!J287</f>
        <v>0</v>
      </c>
      <c r="K315" s="470">
        <f>'d3'!K315-'d3-07'!K287</f>
        <v>0</v>
      </c>
      <c r="L315" s="470">
        <f>'d3'!L315-'d3-07'!L287</f>
        <v>0</v>
      </c>
      <c r="M315" s="470">
        <f>'d3'!M315-'d3-07'!M287</f>
        <v>0</v>
      </c>
      <c r="N315" s="470">
        <f>'d3'!N315-'d3-07'!N287</f>
        <v>0</v>
      </c>
      <c r="O315" s="470">
        <f>'d3'!O315-'d3-07'!O287</f>
        <v>0</v>
      </c>
      <c r="P315" s="470">
        <f>'d3'!P315-'d3-07'!P287</f>
        <v>-150000</v>
      </c>
      <c r="Q315" s="125"/>
      <c r="R315" s="930"/>
    </row>
    <row r="316" spans="1:18" ht="93" thickTop="1" thickBot="1" x14ac:dyDescent="0.25">
      <c r="A316" s="921" t="s">
        <v>278</v>
      </c>
      <c r="B316" s="921" t="s">
        <v>279</v>
      </c>
      <c r="C316" s="921" t="s">
        <v>277</v>
      </c>
      <c r="D316" s="921" t="s">
        <v>276</v>
      </c>
      <c r="E316" s="470">
        <f>'d3'!E316-'d3-07'!E288</f>
        <v>-150000</v>
      </c>
      <c r="F316" s="470">
        <f>'d3'!F316-'d3-07'!F288</f>
        <v>-150000</v>
      </c>
      <c r="G316" s="470">
        <f>'d3'!G316-'d3-07'!G288</f>
        <v>0</v>
      </c>
      <c r="H316" s="470">
        <f>'d3'!H316-'d3-07'!H288</f>
        <v>0</v>
      </c>
      <c r="I316" s="470">
        <f>'d3'!I316-'d3-07'!I288</f>
        <v>0</v>
      </c>
      <c r="J316" s="470">
        <f>'d3'!J316-'d3-07'!J288</f>
        <v>0</v>
      </c>
      <c r="K316" s="470">
        <f>'d3'!K316-'d3-07'!K288</f>
        <v>0</v>
      </c>
      <c r="L316" s="470">
        <f>'d3'!L316-'d3-07'!L288</f>
        <v>0</v>
      </c>
      <c r="M316" s="470">
        <f>'d3'!M316-'d3-07'!M288</f>
        <v>0</v>
      </c>
      <c r="N316" s="470">
        <f>'d3'!N316-'d3-07'!N288</f>
        <v>0</v>
      </c>
      <c r="O316" s="470">
        <f>'d3'!O316-'d3-07'!O288</f>
        <v>0</v>
      </c>
      <c r="P316" s="470">
        <f>'d3'!P316-'d3-07'!P288</f>
        <v>-150000</v>
      </c>
      <c r="R316" s="930"/>
    </row>
    <row r="317" spans="1:18" ht="138.75" thickTop="1" thickBot="1" x14ac:dyDescent="0.25">
      <c r="A317" s="921" t="s">
        <v>270</v>
      </c>
      <c r="B317" s="921" t="s">
        <v>272</v>
      </c>
      <c r="C317" s="921" t="s">
        <v>231</v>
      </c>
      <c r="D317" s="921" t="s">
        <v>271</v>
      </c>
      <c r="E317" s="470">
        <f>'d3'!E317-'d3-07'!E289</f>
        <v>0</v>
      </c>
      <c r="F317" s="470">
        <f>'d3'!F317-'d3-07'!F289</f>
        <v>0</v>
      </c>
      <c r="G317" s="470">
        <f>'d3'!G317-'d3-07'!G289</f>
        <v>0</v>
      </c>
      <c r="H317" s="470">
        <f>'d3'!H317-'d3-07'!H289</f>
        <v>0</v>
      </c>
      <c r="I317" s="470">
        <f>'d3'!I317-'d3-07'!I289</f>
        <v>0</v>
      </c>
      <c r="J317" s="470">
        <f>'d3'!J317-'d3-07'!J289</f>
        <v>0</v>
      </c>
      <c r="K317" s="470">
        <f>'d3'!K317-'d3-07'!K289</f>
        <v>0</v>
      </c>
      <c r="L317" s="470">
        <f>'d3'!L317-'d3-07'!L289</f>
        <v>0</v>
      </c>
      <c r="M317" s="470">
        <f>'d3'!M317-'d3-07'!M289</f>
        <v>0</v>
      </c>
      <c r="N317" s="470">
        <f>'d3'!N317-'d3-07'!N289</f>
        <v>0</v>
      </c>
      <c r="O317" s="470">
        <f>'d3'!O317-'d3-07'!O289</f>
        <v>0</v>
      </c>
      <c r="P317" s="470">
        <f>'d3'!P317-'d3-07'!P289</f>
        <v>0</v>
      </c>
      <c r="R317" s="930"/>
    </row>
    <row r="318" spans="1:18" ht="47.25" thickTop="1" thickBot="1" x14ac:dyDescent="0.25">
      <c r="A318" s="365" t="s">
        <v>994</v>
      </c>
      <c r="B318" s="365" t="s">
        <v>853</v>
      </c>
      <c r="C318" s="365"/>
      <c r="D318" s="365" t="s">
        <v>851</v>
      </c>
      <c r="E318" s="470">
        <f>'d3'!E318-'d3-07'!E290</f>
        <v>0</v>
      </c>
      <c r="F318" s="470">
        <f>'d3'!F318-'d3-07'!F290</f>
        <v>0</v>
      </c>
      <c r="G318" s="470">
        <f>'d3'!G318-'d3-07'!G290</f>
        <v>0</v>
      </c>
      <c r="H318" s="470">
        <f>'d3'!H318-'d3-07'!H290</f>
        <v>0</v>
      </c>
      <c r="I318" s="470">
        <f>'d3'!I318-'d3-07'!I290</f>
        <v>0</v>
      </c>
      <c r="J318" s="470">
        <f>'d3'!J318-'d3-07'!J290</f>
        <v>0</v>
      </c>
      <c r="K318" s="470">
        <f>'d3'!K318-'d3-07'!K290</f>
        <v>0</v>
      </c>
      <c r="L318" s="470">
        <f>'d3'!L318-'d3-07'!L290</f>
        <v>0</v>
      </c>
      <c r="M318" s="470">
        <f>'d3'!M318-'d3-07'!M290</f>
        <v>0</v>
      </c>
      <c r="N318" s="470">
        <f>'d3'!N318-'d3-07'!N290</f>
        <v>0</v>
      </c>
      <c r="O318" s="470">
        <f>'d3'!O318-'d3-07'!O290</f>
        <v>0</v>
      </c>
      <c r="P318" s="470">
        <f>'d3'!P318-'d3-07'!P290</f>
        <v>0</v>
      </c>
      <c r="R318" s="930"/>
    </row>
    <row r="319" spans="1:18" ht="93" thickTop="1" thickBot="1" x14ac:dyDescent="0.25">
      <c r="A319" s="921" t="s">
        <v>274</v>
      </c>
      <c r="B319" s="921" t="s">
        <v>275</v>
      </c>
      <c r="C319" s="921" t="s">
        <v>184</v>
      </c>
      <c r="D319" s="921" t="s">
        <v>273</v>
      </c>
      <c r="E319" s="470">
        <f>'d3'!E319-'d3-07'!E291</f>
        <v>0</v>
      </c>
      <c r="F319" s="470">
        <f>'d3'!F319-'d3-07'!F291</f>
        <v>0</v>
      </c>
      <c r="G319" s="470">
        <f>'d3'!G319-'d3-07'!G291</f>
        <v>0</v>
      </c>
      <c r="H319" s="470">
        <f>'d3'!H319-'d3-07'!H291</f>
        <v>0</v>
      </c>
      <c r="I319" s="470">
        <f>'d3'!I319-'d3-07'!I291</f>
        <v>0</v>
      </c>
      <c r="J319" s="470">
        <f>'d3'!J319-'d3-07'!J291</f>
        <v>0</v>
      </c>
      <c r="K319" s="470">
        <f>'d3'!K319-'d3-07'!K291</f>
        <v>0</v>
      </c>
      <c r="L319" s="470">
        <f>'d3'!L319-'d3-07'!L291</f>
        <v>0</v>
      </c>
      <c r="M319" s="470">
        <f>'d3'!M319-'d3-07'!M291</f>
        <v>0</v>
      </c>
      <c r="N319" s="470">
        <f>'d3'!N319-'d3-07'!N291</f>
        <v>0</v>
      </c>
      <c r="O319" s="470">
        <f>'d3'!O319-'d3-07'!O291</f>
        <v>0</v>
      </c>
      <c r="P319" s="470">
        <f>'d3'!P319-'d3-07'!P291</f>
        <v>0</v>
      </c>
      <c r="R319" s="930" t="b">
        <f>K319='d6'!J306</f>
        <v>0</v>
      </c>
    </row>
    <row r="320" spans="1:18" ht="47.25" thickTop="1" thickBot="1" x14ac:dyDescent="0.25">
      <c r="A320" s="455" t="s">
        <v>1102</v>
      </c>
      <c r="B320" s="455" t="s">
        <v>861</v>
      </c>
      <c r="C320" s="455"/>
      <c r="D320" s="455" t="s">
        <v>862</v>
      </c>
      <c r="E320" s="470">
        <f>'d3'!E320-'d3-07'!E292</f>
        <v>0</v>
      </c>
      <c r="F320" s="470">
        <f>'d3'!F320-'d3-07'!F292</f>
        <v>0</v>
      </c>
      <c r="G320" s="470">
        <f>'d3'!G320-'d3-07'!G292</f>
        <v>0</v>
      </c>
      <c r="H320" s="470">
        <f>'d3'!H320-'d3-07'!H292</f>
        <v>0</v>
      </c>
      <c r="I320" s="470">
        <f>'d3'!I320-'d3-07'!I292</f>
        <v>0</v>
      </c>
      <c r="J320" s="470">
        <f>'d3'!J320-'d3-07'!J292</f>
        <v>700000</v>
      </c>
      <c r="K320" s="470">
        <f>'d3'!K320-'d3-07'!K292</f>
        <v>700000</v>
      </c>
      <c r="L320" s="470">
        <f>'d3'!L320-'d3-07'!L292</f>
        <v>0</v>
      </c>
      <c r="M320" s="470">
        <f>'d3'!M320-'d3-07'!M292</f>
        <v>0</v>
      </c>
      <c r="N320" s="470">
        <f>'d3'!N320-'d3-07'!N292</f>
        <v>0</v>
      </c>
      <c r="O320" s="470">
        <f>'d3'!O320-'d3-07'!O292</f>
        <v>700000</v>
      </c>
      <c r="P320" s="470">
        <f>'d3'!P320-'d3-07'!P292</f>
        <v>700000</v>
      </c>
      <c r="R320" s="930"/>
    </row>
    <row r="321" spans="1:18" ht="271.5" thickTop="1" thickBot="1" x14ac:dyDescent="0.25">
      <c r="A321" s="404" t="s">
        <v>1103</v>
      </c>
      <c r="B321" s="404" t="s">
        <v>864</v>
      </c>
      <c r="C321" s="404"/>
      <c r="D321" s="404" t="s">
        <v>865</v>
      </c>
      <c r="E321" s="470">
        <f>'d3'!E321-'d3-07'!E293</f>
        <v>0</v>
      </c>
      <c r="F321" s="470">
        <f>'d3'!F321-'d3-07'!F293</f>
        <v>0</v>
      </c>
      <c r="G321" s="470">
        <f>'d3'!G321-'d3-07'!G293</f>
        <v>0</v>
      </c>
      <c r="H321" s="470">
        <f>'d3'!H321-'d3-07'!H293</f>
        <v>0</v>
      </c>
      <c r="I321" s="470">
        <f>'d3'!I321-'d3-07'!I293</f>
        <v>0</v>
      </c>
      <c r="J321" s="470">
        <f>'d3'!J321-'d3-07'!J293</f>
        <v>700000</v>
      </c>
      <c r="K321" s="470">
        <f>'d3'!K321-'d3-07'!K293</f>
        <v>700000</v>
      </c>
      <c r="L321" s="470">
        <f>'d3'!L321-'d3-07'!L293</f>
        <v>0</v>
      </c>
      <c r="M321" s="470">
        <f>'d3'!M321-'d3-07'!M293</f>
        <v>0</v>
      </c>
      <c r="N321" s="470">
        <f>'d3'!N321-'d3-07'!N293</f>
        <v>0</v>
      </c>
      <c r="O321" s="470">
        <f>'d3'!O321-'d3-07'!O293</f>
        <v>700000</v>
      </c>
      <c r="P321" s="470">
        <f>'d3'!P321-'d3-07'!P293</f>
        <v>700000</v>
      </c>
      <c r="R321" s="930"/>
    </row>
    <row r="322" spans="1:18" ht="93" thickTop="1" thickBot="1" x14ac:dyDescent="0.25">
      <c r="A322" s="921" t="s">
        <v>1104</v>
      </c>
      <c r="B322" s="921" t="s">
        <v>389</v>
      </c>
      <c r="C322" s="921" t="s">
        <v>45</v>
      </c>
      <c r="D322" s="921" t="s">
        <v>390</v>
      </c>
      <c r="E322" s="470">
        <f>'d3'!E322-'d3-07'!E294</f>
        <v>0</v>
      </c>
      <c r="F322" s="470">
        <f>'d3'!F322-'d3-07'!F294</f>
        <v>0</v>
      </c>
      <c r="G322" s="470">
        <f>'d3'!G322-'d3-07'!G294</f>
        <v>0</v>
      </c>
      <c r="H322" s="470">
        <f>'d3'!H322-'d3-07'!H294</f>
        <v>0</v>
      </c>
      <c r="I322" s="470">
        <f>'d3'!I322-'d3-07'!I294</f>
        <v>0</v>
      </c>
      <c r="J322" s="470">
        <f>'d3'!J322-'d3-07'!J294</f>
        <v>700000</v>
      </c>
      <c r="K322" s="470">
        <f>'d3'!K322-'d3-07'!K294</f>
        <v>700000</v>
      </c>
      <c r="L322" s="470">
        <f>'d3'!L322-'d3-07'!L294</f>
        <v>0</v>
      </c>
      <c r="M322" s="470">
        <f>'d3'!M322-'d3-07'!M294</f>
        <v>0</v>
      </c>
      <c r="N322" s="470">
        <f>'d3'!N322-'d3-07'!N294</f>
        <v>0</v>
      </c>
      <c r="O322" s="470">
        <f>'d3'!O322-'d3-07'!O294</f>
        <v>700000</v>
      </c>
      <c r="P322" s="470">
        <f>'d3'!P322-'d3-07'!P294</f>
        <v>700000</v>
      </c>
      <c r="R322" s="930" t="b">
        <f>K322='d6'!J307</f>
        <v>0</v>
      </c>
    </row>
    <row r="323" spans="1:18" ht="226.5" thickTop="1" thickBot="1" x14ac:dyDescent="0.25">
      <c r="A323" s="853" t="s">
        <v>178</v>
      </c>
      <c r="B323" s="853"/>
      <c r="C323" s="853"/>
      <c r="D323" s="854" t="s">
        <v>1061</v>
      </c>
      <c r="E323" s="855">
        <f>E324</f>
        <v>-138500</v>
      </c>
      <c r="F323" s="856">
        <f t="shared" ref="F323:G323" si="69">F324</f>
        <v>-138500</v>
      </c>
      <c r="G323" s="856">
        <f t="shared" si="69"/>
        <v>-40000</v>
      </c>
      <c r="H323" s="856">
        <f>H324</f>
        <v>-14500</v>
      </c>
      <c r="I323" s="856">
        <f t="shared" ref="I323" si="70">I324</f>
        <v>0</v>
      </c>
      <c r="J323" s="855">
        <f>J324</f>
        <v>0</v>
      </c>
      <c r="K323" s="856">
        <f>K324</f>
        <v>0</v>
      </c>
      <c r="L323" s="856">
        <f>L324</f>
        <v>0</v>
      </c>
      <c r="M323" s="856">
        <f t="shared" ref="M323" si="71">M324</f>
        <v>0</v>
      </c>
      <c r="N323" s="856">
        <f>N324</f>
        <v>0</v>
      </c>
      <c r="O323" s="855">
        <f>O324</f>
        <v>0</v>
      </c>
      <c r="P323" s="856">
        <f t="shared" ref="P323" si="72">P324</f>
        <v>-138500</v>
      </c>
    </row>
    <row r="324" spans="1:18" ht="181.5" thickTop="1" thickBot="1" x14ac:dyDescent="0.25">
      <c r="A324" s="857" t="s">
        <v>179</v>
      </c>
      <c r="B324" s="857"/>
      <c r="C324" s="857"/>
      <c r="D324" s="858" t="s">
        <v>1060</v>
      </c>
      <c r="E324" s="859">
        <f>E325+E328</f>
        <v>-138500</v>
      </c>
      <c r="F324" s="859">
        <f t="shared" ref="F324:I324" si="73">F325+F328</f>
        <v>-138500</v>
      </c>
      <c r="G324" s="859">
        <f t="shared" si="73"/>
        <v>-40000</v>
      </c>
      <c r="H324" s="859">
        <f t="shared" si="73"/>
        <v>-14500</v>
      </c>
      <c r="I324" s="859">
        <f t="shared" si="73"/>
        <v>0</v>
      </c>
      <c r="J324" s="859">
        <f>L324+O324</f>
        <v>0</v>
      </c>
      <c r="K324" s="859">
        <f t="shared" ref="K324:O324" si="74">K325+K328</f>
        <v>0</v>
      </c>
      <c r="L324" s="859">
        <f t="shared" si="74"/>
        <v>0</v>
      </c>
      <c r="M324" s="859">
        <f t="shared" si="74"/>
        <v>0</v>
      </c>
      <c r="N324" s="859">
        <f t="shared" si="74"/>
        <v>0</v>
      </c>
      <c r="O324" s="859">
        <f t="shared" si="74"/>
        <v>0</v>
      </c>
      <c r="P324" s="859">
        <f t="shared" ref="P324" si="75">E324+J324</f>
        <v>-138500</v>
      </c>
      <c r="Q324" s="125" t="b">
        <f>P324=P331+P334+P326+P332+P333+P327</f>
        <v>1</v>
      </c>
      <c r="R324" s="930" t="b">
        <f>K324='d6'!J308</f>
        <v>0</v>
      </c>
    </row>
    <row r="325" spans="1:18" ht="47.25" thickTop="1" thickBot="1" x14ac:dyDescent="0.25">
      <c r="A325" s="173" t="s">
        <v>995</v>
      </c>
      <c r="B325" s="455" t="s">
        <v>843</v>
      </c>
      <c r="C325" s="455"/>
      <c r="D325" s="455" t="s">
        <v>844</v>
      </c>
      <c r="E325" s="470">
        <f>'d3'!E325-'d3-07'!E297</f>
        <v>-138500</v>
      </c>
      <c r="F325" s="470">
        <f>'d3'!F325-'d3-07'!F297</f>
        <v>-138500</v>
      </c>
      <c r="G325" s="470">
        <f>'d3'!G325-'d3-07'!G297</f>
        <v>-40000</v>
      </c>
      <c r="H325" s="470">
        <f>'d3'!H325-'d3-07'!H297</f>
        <v>-14500</v>
      </c>
      <c r="I325" s="470">
        <f>'d3'!I325-'d3-07'!I297</f>
        <v>0</v>
      </c>
      <c r="J325" s="470">
        <f>'d3'!J325-'d3-07'!J297</f>
        <v>0</v>
      </c>
      <c r="K325" s="470">
        <f>'d3'!K325-'d3-07'!K297</f>
        <v>0</v>
      </c>
      <c r="L325" s="470">
        <f>'d3'!L325-'d3-07'!L297</f>
        <v>0</v>
      </c>
      <c r="M325" s="470">
        <f>'d3'!M325-'d3-07'!M297</f>
        <v>0</v>
      </c>
      <c r="N325" s="470">
        <f>'d3'!N325-'d3-07'!N297</f>
        <v>0</v>
      </c>
      <c r="O325" s="470">
        <f>'d3'!O325-'d3-07'!O297</f>
        <v>0</v>
      </c>
      <c r="P325" s="470">
        <f>'d3'!P325-'d3-07'!P297</f>
        <v>-138500</v>
      </c>
      <c r="Q325" s="125"/>
      <c r="R325" s="930"/>
    </row>
    <row r="326" spans="1:18" s="99" customFormat="1" ht="230.25" thickTop="1" thickBot="1" x14ac:dyDescent="0.25">
      <c r="A326" s="927" t="s">
        <v>450</v>
      </c>
      <c r="B326" s="927" t="s">
        <v>254</v>
      </c>
      <c r="C326" s="927" t="s">
        <v>252</v>
      </c>
      <c r="D326" s="927" t="s">
        <v>253</v>
      </c>
      <c r="E326" s="470">
        <f>'d3'!E326-'d3-07'!E298</f>
        <v>-138500</v>
      </c>
      <c r="F326" s="470">
        <f>'d3'!F326-'d3-07'!F298</f>
        <v>-138500</v>
      </c>
      <c r="G326" s="470">
        <f>'d3'!G326-'d3-07'!G298</f>
        <v>-40000</v>
      </c>
      <c r="H326" s="470">
        <f>'d3'!H326-'d3-07'!H298</f>
        <v>-14500</v>
      </c>
      <c r="I326" s="470">
        <f>'d3'!I326-'d3-07'!I298</f>
        <v>0</v>
      </c>
      <c r="J326" s="470">
        <f>'d3'!J326-'d3-07'!J298</f>
        <v>0</v>
      </c>
      <c r="K326" s="470">
        <f>'d3'!K326-'d3-07'!K298</f>
        <v>0</v>
      </c>
      <c r="L326" s="470">
        <f>'d3'!L326-'d3-07'!L298</f>
        <v>0</v>
      </c>
      <c r="M326" s="470">
        <f>'d3'!M326-'d3-07'!M298</f>
        <v>0</v>
      </c>
      <c r="N326" s="470">
        <f>'d3'!N326-'d3-07'!N298</f>
        <v>0</v>
      </c>
      <c r="O326" s="470">
        <f>'d3'!O326-'d3-07'!O298</f>
        <v>0</v>
      </c>
      <c r="P326" s="470">
        <f>'d3'!P326-'d3-07'!P298</f>
        <v>-138500</v>
      </c>
      <c r="Q326" s="258"/>
      <c r="R326" s="930" t="b">
        <f>K326='d6'!J310</f>
        <v>0</v>
      </c>
    </row>
    <row r="327" spans="1:18" s="99" customFormat="1" ht="184.5" thickTop="1" thickBot="1" x14ac:dyDescent="0.25">
      <c r="A327" s="921" t="s">
        <v>791</v>
      </c>
      <c r="B327" s="921" t="s">
        <v>388</v>
      </c>
      <c r="C327" s="921" t="s">
        <v>778</v>
      </c>
      <c r="D327" s="921" t="s">
        <v>779</v>
      </c>
      <c r="E327" s="470">
        <f>'d3'!E327-'d3-07'!E299</f>
        <v>0</v>
      </c>
      <c r="F327" s="470">
        <f>'d3'!F327-'d3-07'!F299</f>
        <v>0</v>
      </c>
      <c r="G327" s="470">
        <f>'d3'!G327-'d3-07'!G299</f>
        <v>0</v>
      </c>
      <c r="H327" s="470">
        <f>'d3'!H327-'d3-07'!H299</f>
        <v>0</v>
      </c>
      <c r="I327" s="470">
        <f>'d3'!I327-'d3-07'!I299</f>
        <v>0</v>
      </c>
      <c r="J327" s="470">
        <f>'d3'!J327-'d3-07'!J299</f>
        <v>0</v>
      </c>
      <c r="K327" s="470">
        <f>'d3'!K327-'d3-07'!K299</f>
        <v>0</v>
      </c>
      <c r="L327" s="470">
        <f>'d3'!L327-'d3-07'!L299</f>
        <v>0</v>
      </c>
      <c r="M327" s="470">
        <f>'d3'!M327-'d3-07'!M299</f>
        <v>0</v>
      </c>
      <c r="N327" s="470">
        <f>'d3'!N327-'d3-07'!N299</f>
        <v>0</v>
      </c>
      <c r="O327" s="470">
        <f>'d3'!O327-'d3-07'!O299</f>
        <v>0</v>
      </c>
      <c r="P327" s="470">
        <f>'d3'!P327-'d3-07'!P299</f>
        <v>0</v>
      </c>
      <c r="Q327" s="258"/>
      <c r="R327" s="930"/>
    </row>
    <row r="328" spans="1:18" s="99" customFormat="1" ht="47.25" thickTop="1" thickBot="1" x14ac:dyDescent="0.25">
      <c r="A328" s="173" t="s">
        <v>996</v>
      </c>
      <c r="B328" s="455" t="s">
        <v>855</v>
      </c>
      <c r="C328" s="455"/>
      <c r="D328" s="455" t="s">
        <v>856</v>
      </c>
      <c r="E328" s="470">
        <f>'d3'!E328-'d3-07'!E300</f>
        <v>0</v>
      </c>
      <c r="F328" s="470">
        <f>'d3'!F328-'d3-07'!F300</f>
        <v>0</v>
      </c>
      <c r="G328" s="470">
        <f>'d3'!G328-'d3-07'!G300</f>
        <v>0</v>
      </c>
      <c r="H328" s="470">
        <f>'d3'!H328-'d3-07'!H300</f>
        <v>0</v>
      </c>
      <c r="I328" s="470">
        <f>'d3'!I328-'d3-07'!I300</f>
        <v>0</v>
      </c>
      <c r="J328" s="470">
        <f>'d3'!J328-'d3-07'!J300</f>
        <v>0</v>
      </c>
      <c r="K328" s="470">
        <f>'d3'!K328-'d3-07'!K300</f>
        <v>0</v>
      </c>
      <c r="L328" s="470">
        <f>'d3'!L328-'d3-07'!L300</f>
        <v>0</v>
      </c>
      <c r="M328" s="470">
        <f>'d3'!M328-'d3-07'!M300</f>
        <v>0</v>
      </c>
      <c r="N328" s="470">
        <f>'d3'!N328-'d3-07'!N300</f>
        <v>0</v>
      </c>
      <c r="O328" s="470">
        <f>'d3'!O328-'d3-07'!O300</f>
        <v>0</v>
      </c>
      <c r="P328" s="470">
        <f>'d3'!P328-'d3-07'!P300</f>
        <v>0</v>
      </c>
      <c r="Q328" s="258"/>
      <c r="R328" s="930"/>
    </row>
    <row r="329" spans="1:18" s="99" customFormat="1" ht="91.5" thickTop="1" thickBot="1" x14ac:dyDescent="0.25">
      <c r="A329" s="450" t="s">
        <v>997</v>
      </c>
      <c r="B329" s="404" t="s">
        <v>998</v>
      </c>
      <c r="C329" s="404"/>
      <c r="D329" s="404" t="s">
        <v>999</v>
      </c>
      <c r="E329" s="470">
        <f>'d3'!E329-'d3-07'!E301</f>
        <v>0</v>
      </c>
      <c r="F329" s="470">
        <f>'d3'!F329-'d3-07'!F301</f>
        <v>0</v>
      </c>
      <c r="G329" s="470">
        <f>'d3'!G329-'d3-07'!G301</f>
        <v>0</v>
      </c>
      <c r="H329" s="470">
        <f>'d3'!H329-'d3-07'!H301</f>
        <v>0</v>
      </c>
      <c r="I329" s="470">
        <f>'d3'!I329-'d3-07'!I301</f>
        <v>0</v>
      </c>
      <c r="J329" s="470">
        <f>'d3'!J329-'d3-07'!J301</f>
        <v>0</v>
      </c>
      <c r="K329" s="470">
        <f>'d3'!K329-'d3-07'!K301</f>
        <v>0</v>
      </c>
      <c r="L329" s="470">
        <f>'d3'!L329-'d3-07'!L301</f>
        <v>0</v>
      </c>
      <c r="M329" s="470">
        <f>'d3'!M329-'d3-07'!M301</f>
        <v>0</v>
      </c>
      <c r="N329" s="470">
        <f>'d3'!N329-'d3-07'!N301</f>
        <v>0</v>
      </c>
      <c r="O329" s="470">
        <f>'d3'!O329-'d3-07'!O301</f>
        <v>0</v>
      </c>
      <c r="P329" s="470">
        <f>'d3'!P329-'d3-07'!P301</f>
        <v>0</v>
      </c>
      <c r="Q329" s="258"/>
      <c r="R329" s="930"/>
    </row>
    <row r="330" spans="1:18" s="99" customFormat="1" ht="138.75" thickTop="1" thickBot="1" x14ac:dyDescent="0.25">
      <c r="A330" s="365" t="s">
        <v>1000</v>
      </c>
      <c r="B330" s="365" t="s">
        <v>1001</v>
      </c>
      <c r="C330" s="365"/>
      <c r="D330" s="365" t="s">
        <v>1002</v>
      </c>
      <c r="E330" s="470">
        <f>'d3'!E330-'d3-07'!E302</f>
        <v>0</v>
      </c>
      <c r="F330" s="470">
        <f>'d3'!F330-'d3-07'!F302</f>
        <v>0</v>
      </c>
      <c r="G330" s="470">
        <f>'d3'!G330-'d3-07'!G302</f>
        <v>0</v>
      </c>
      <c r="H330" s="470">
        <f>'d3'!H330-'d3-07'!H302</f>
        <v>0</v>
      </c>
      <c r="I330" s="470">
        <f>'d3'!I330-'d3-07'!I302</f>
        <v>0</v>
      </c>
      <c r="J330" s="470">
        <f>'d3'!J330-'d3-07'!J302</f>
        <v>0</v>
      </c>
      <c r="K330" s="470">
        <f>'d3'!K330-'d3-07'!K302</f>
        <v>0</v>
      </c>
      <c r="L330" s="470">
        <f>'d3'!L330-'d3-07'!L302</f>
        <v>0</v>
      </c>
      <c r="M330" s="470">
        <f>'d3'!M330-'d3-07'!M302</f>
        <v>0</v>
      </c>
      <c r="N330" s="470">
        <f>'d3'!N330-'d3-07'!N302</f>
        <v>0</v>
      </c>
      <c r="O330" s="470">
        <f>'d3'!O330-'d3-07'!O302</f>
        <v>0</v>
      </c>
      <c r="P330" s="470">
        <f>'d3'!P330-'d3-07'!P302</f>
        <v>0</v>
      </c>
      <c r="Q330" s="258"/>
      <c r="R330" s="930"/>
    </row>
    <row r="331" spans="1:18" s="99" customFormat="1" ht="138.75" thickTop="1" thickBot="1" x14ac:dyDescent="0.25">
      <c r="A331" s="921" t="s">
        <v>328</v>
      </c>
      <c r="B331" s="921" t="s">
        <v>329</v>
      </c>
      <c r="C331" s="921" t="s">
        <v>54</v>
      </c>
      <c r="D331" s="921" t="s">
        <v>55</v>
      </c>
      <c r="E331" s="470">
        <f>'d3'!E331-'d3-07'!E303</f>
        <v>0</v>
      </c>
      <c r="F331" s="470">
        <f>'d3'!F331-'d3-07'!F303</f>
        <v>0</v>
      </c>
      <c r="G331" s="470">
        <f>'d3'!G331-'d3-07'!G303</f>
        <v>0</v>
      </c>
      <c r="H331" s="470">
        <f>'d3'!H331-'d3-07'!H303</f>
        <v>0</v>
      </c>
      <c r="I331" s="470">
        <f>'d3'!I331-'d3-07'!I303</f>
        <v>0</v>
      </c>
      <c r="J331" s="470">
        <f>'d3'!J331-'d3-07'!J303</f>
        <v>0</v>
      </c>
      <c r="K331" s="470">
        <f>'d3'!K331-'d3-07'!K303</f>
        <v>0</v>
      </c>
      <c r="L331" s="470">
        <f>'d3'!L331-'d3-07'!L303</f>
        <v>0</v>
      </c>
      <c r="M331" s="470">
        <f>'d3'!M331-'d3-07'!M303</f>
        <v>0</v>
      </c>
      <c r="N331" s="470">
        <f>'d3'!N331-'d3-07'!N303</f>
        <v>0</v>
      </c>
      <c r="O331" s="470">
        <f>'d3'!O331-'d3-07'!O303</f>
        <v>0</v>
      </c>
      <c r="P331" s="470">
        <f>'d3'!P331-'d3-07'!P303</f>
        <v>0</v>
      </c>
      <c r="Q331" s="125" t="b">
        <f>J331='d9'!F13+'d9'!F14+'d9'!F15+'d9'!F16</f>
        <v>0</v>
      </c>
      <c r="R331" s="201"/>
    </row>
    <row r="332" spans="1:18" s="99" customFormat="1" ht="47.25" thickTop="1" thickBot="1" x14ac:dyDescent="0.25">
      <c r="A332" s="921" t="s">
        <v>508</v>
      </c>
      <c r="B332" s="921" t="s">
        <v>509</v>
      </c>
      <c r="C332" s="921" t="s">
        <v>507</v>
      </c>
      <c r="D332" s="921" t="s">
        <v>510</v>
      </c>
      <c r="E332" s="470">
        <f>'d3'!E332-'d3-07'!E304</f>
        <v>0</v>
      </c>
      <c r="F332" s="470">
        <f>'d3'!F332-'d3-07'!F304</f>
        <v>0</v>
      </c>
      <c r="G332" s="470">
        <f>'d3'!G332-'d3-07'!G304</f>
        <v>0</v>
      </c>
      <c r="H332" s="470">
        <f>'d3'!H332-'d3-07'!H304</f>
        <v>0</v>
      </c>
      <c r="I332" s="470">
        <f>'d3'!I332-'d3-07'!I304</f>
        <v>0</v>
      </c>
      <c r="J332" s="470">
        <f>'d3'!J332-'d3-07'!J304</f>
        <v>0</v>
      </c>
      <c r="K332" s="470">
        <f>'d3'!K332-'d3-07'!K304</f>
        <v>0</v>
      </c>
      <c r="L332" s="470">
        <f>'d3'!L332-'d3-07'!L304</f>
        <v>0</v>
      </c>
      <c r="M332" s="470">
        <f>'d3'!M332-'d3-07'!M304</f>
        <v>0</v>
      </c>
      <c r="N332" s="470">
        <f>'d3'!N332-'d3-07'!N304</f>
        <v>0</v>
      </c>
      <c r="O332" s="470">
        <f>'d3'!O332-'d3-07'!O304</f>
        <v>0</v>
      </c>
      <c r="P332" s="470">
        <f>'d3'!P332-'d3-07'!P304</f>
        <v>0</v>
      </c>
      <c r="Q332" s="125" t="b">
        <f>J332='d9'!F17+'d9'!F18</f>
        <v>0</v>
      </c>
      <c r="R332" s="201"/>
    </row>
    <row r="333" spans="1:18" s="99" customFormat="1" ht="93" thickTop="1" thickBot="1" x14ac:dyDescent="0.25">
      <c r="A333" s="921" t="s">
        <v>569</v>
      </c>
      <c r="B333" s="921" t="s">
        <v>567</v>
      </c>
      <c r="C333" s="921" t="s">
        <v>570</v>
      </c>
      <c r="D333" s="921" t="s">
        <v>568</v>
      </c>
      <c r="E333" s="470">
        <f>'d3'!E333-'d3-07'!E305</f>
        <v>0</v>
      </c>
      <c r="F333" s="470">
        <f>'d3'!F333-'d3-07'!F305</f>
        <v>0</v>
      </c>
      <c r="G333" s="470">
        <f>'d3'!G333-'d3-07'!G305</f>
        <v>0</v>
      </c>
      <c r="H333" s="470">
        <f>'d3'!H333-'d3-07'!H305</f>
        <v>0</v>
      </c>
      <c r="I333" s="470">
        <f>'d3'!I333-'d3-07'!I305</f>
        <v>0</v>
      </c>
      <c r="J333" s="470">
        <f>'d3'!J333-'d3-07'!J305</f>
        <v>0</v>
      </c>
      <c r="K333" s="470">
        <f>'d3'!K333-'d3-07'!K305</f>
        <v>0</v>
      </c>
      <c r="L333" s="470">
        <f>'d3'!L333-'d3-07'!L305</f>
        <v>0</v>
      </c>
      <c r="M333" s="470">
        <f>'d3'!M333-'d3-07'!M305</f>
        <v>0</v>
      </c>
      <c r="N333" s="470">
        <f>'d3'!N333-'d3-07'!N305</f>
        <v>0</v>
      </c>
      <c r="O333" s="470">
        <f>'d3'!O333-'d3-07'!O305</f>
        <v>0</v>
      </c>
      <c r="P333" s="470">
        <f>'d3'!P333-'d3-07'!P305</f>
        <v>0</v>
      </c>
      <c r="Q333" s="125" t="b">
        <f>J333='d9'!F19+'d9'!F20+'d9'!F21</f>
        <v>0</v>
      </c>
      <c r="R333" s="201"/>
    </row>
    <row r="334" spans="1:18" s="99" customFormat="1" ht="93" thickTop="1" thickBot="1" x14ac:dyDescent="0.25">
      <c r="A334" s="921" t="s">
        <v>330</v>
      </c>
      <c r="B334" s="921" t="s">
        <v>331</v>
      </c>
      <c r="C334" s="921" t="s">
        <v>56</v>
      </c>
      <c r="D334" s="921" t="s">
        <v>511</v>
      </c>
      <c r="E334" s="470">
        <f>'d3'!E334-'d3-07'!E306</f>
        <v>0</v>
      </c>
      <c r="F334" s="470">
        <f>'d3'!F334-'d3-07'!F306</f>
        <v>0</v>
      </c>
      <c r="G334" s="470">
        <f>'d3'!G334-'d3-07'!G306</f>
        <v>0</v>
      </c>
      <c r="H334" s="470">
        <f>'d3'!H334-'d3-07'!H306</f>
        <v>0</v>
      </c>
      <c r="I334" s="470">
        <f>'d3'!I334-'d3-07'!I306</f>
        <v>0</v>
      </c>
      <c r="J334" s="470">
        <f>'d3'!J334-'d3-07'!J306</f>
        <v>0</v>
      </c>
      <c r="K334" s="470">
        <f>'d3'!K334-'d3-07'!K306</f>
        <v>0</v>
      </c>
      <c r="L334" s="470">
        <f>'d3'!L334-'d3-07'!L306</f>
        <v>0</v>
      </c>
      <c r="M334" s="470">
        <f>'d3'!M334-'d3-07'!M306</f>
        <v>0</v>
      </c>
      <c r="N334" s="470">
        <f>'d3'!N334-'d3-07'!N306</f>
        <v>0</v>
      </c>
      <c r="O334" s="470">
        <f>'d3'!O334-'d3-07'!O306</f>
        <v>0</v>
      </c>
      <c r="P334" s="470">
        <f>'d3'!P334-'d3-07'!P306</f>
        <v>0</v>
      </c>
      <c r="Q334" s="125" t="b">
        <f>J334='d9'!F22+'d9'!F23+'d9'!F24+'d9'!F25+'d9'!F26+'d9'!F27+'d9'!F28+1700000</f>
        <v>0</v>
      </c>
      <c r="R334" s="201"/>
    </row>
    <row r="335" spans="1:18" ht="136.5" thickTop="1" thickBot="1" x14ac:dyDescent="0.25">
      <c r="A335" s="853" t="s">
        <v>176</v>
      </c>
      <c r="B335" s="853"/>
      <c r="C335" s="853"/>
      <c r="D335" s="854" t="s">
        <v>1073</v>
      </c>
      <c r="E335" s="855">
        <f>E336</f>
        <v>26500</v>
      </c>
      <c r="F335" s="856">
        <f t="shared" ref="F335:G335" si="76">F336</f>
        <v>26500</v>
      </c>
      <c r="G335" s="856">
        <f t="shared" si="76"/>
        <v>0</v>
      </c>
      <c r="H335" s="856">
        <f>H336</f>
        <v>26500</v>
      </c>
      <c r="I335" s="856">
        <f t="shared" ref="I335" si="77">I336</f>
        <v>0</v>
      </c>
      <c r="J335" s="855">
        <f>J336</f>
        <v>0</v>
      </c>
      <c r="K335" s="856">
        <f>K336</f>
        <v>0</v>
      </c>
      <c r="L335" s="856">
        <f>L336</f>
        <v>0</v>
      </c>
      <c r="M335" s="856">
        <f t="shared" ref="M335" si="78">M336</f>
        <v>0</v>
      </c>
      <c r="N335" s="856">
        <f>N336</f>
        <v>0</v>
      </c>
      <c r="O335" s="855">
        <f>O336</f>
        <v>0</v>
      </c>
      <c r="P335" s="856">
        <f t="shared" ref="P335" si="79">P336</f>
        <v>26500</v>
      </c>
    </row>
    <row r="336" spans="1:18" ht="181.5" thickTop="1" thickBot="1" x14ac:dyDescent="0.25">
      <c r="A336" s="857" t="s">
        <v>177</v>
      </c>
      <c r="B336" s="857"/>
      <c r="C336" s="857"/>
      <c r="D336" s="858" t="s">
        <v>1072</v>
      </c>
      <c r="E336" s="859">
        <f>E337+E339</f>
        <v>26500</v>
      </c>
      <c r="F336" s="859">
        <f t="shared" ref="F336:I336" si="80">F337+F339</f>
        <v>26500</v>
      </c>
      <c r="G336" s="859">
        <f t="shared" si="80"/>
        <v>0</v>
      </c>
      <c r="H336" s="859">
        <f t="shared" si="80"/>
        <v>26500</v>
      </c>
      <c r="I336" s="859">
        <f t="shared" si="80"/>
        <v>0</v>
      </c>
      <c r="J336" s="859">
        <f>L336+O336</f>
        <v>0</v>
      </c>
      <c r="K336" s="859">
        <f t="shared" ref="K336:O336" si="81">K337+K339</f>
        <v>0</v>
      </c>
      <c r="L336" s="859">
        <f t="shared" si="81"/>
        <v>0</v>
      </c>
      <c r="M336" s="859">
        <f t="shared" si="81"/>
        <v>0</v>
      </c>
      <c r="N336" s="859">
        <f t="shared" si="81"/>
        <v>0</v>
      </c>
      <c r="O336" s="859">
        <f t="shared" si="81"/>
        <v>0</v>
      </c>
      <c r="P336" s="859">
        <f>E336+J336</f>
        <v>26500</v>
      </c>
      <c r="Q336" s="125" t="b">
        <f>P336=P341+P343+P338</f>
        <v>1</v>
      </c>
      <c r="R336" s="125" t="b">
        <f>K336='d6'!J311</f>
        <v>0</v>
      </c>
    </row>
    <row r="337" spans="1:19" ht="47.25" thickTop="1" thickBot="1" x14ac:dyDescent="0.25">
      <c r="A337" s="173" t="s">
        <v>1003</v>
      </c>
      <c r="B337" s="455" t="s">
        <v>843</v>
      </c>
      <c r="C337" s="455"/>
      <c r="D337" s="455" t="s">
        <v>844</v>
      </c>
      <c r="E337" s="470">
        <f>'d3'!E337-'d3-07'!E309</f>
        <v>26500</v>
      </c>
      <c r="F337" s="470">
        <f>'d3'!F337-'d3-07'!F309</f>
        <v>26500</v>
      </c>
      <c r="G337" s="470">
        <f>'d3'!G337-'d3-07'!G309</f>
        <v>0</v>
      </c>
      <c r="H337" s="470">
        <f>'d3'!H337-'d3-07'!H309</f>
        <v>26500</v>
      </c>
      <c r="I337" s="470">
        <f>'d3'!I337-'d3-07'!I309</f>
        <v>0</v>
      </c>
      <c r="J337" s="470">
        <f>'d3'!J337-'d3-07'!J309</f>
        <v>0</v>
      </c>
      <c r="K337" s="470">
        <f>'d3'!K337-'d3-07'!K309</f>
        <v>0</v>
      </c>
      <c r="L337" s="470">
        <f>'d3'!L337-'d3-07'!L309</f>
        <v>0</v>
      </c>
      <c r="M337" s="470">
        <f>'d3'!M337-'d3-07'!M309</f>
        <v>0</v>
      </c>
      <c r="N337" s="470">
        <f>'d3'!N337-'d3-07'!N309</f>
        <v>0</v>
      </c>
      <c r="O337" s="470">
        <f>'d3'!O337-'d3-07'!O309</f>
        <v>0</v>
      </c>
      <c r="P337" s="470">
        <f>'d3'!P337-'d3-07'!P309</f>
        <v>26500</v>
      </c>
      <c r="Q337" s="125"/>
      <c r="R337" s="125"/>
    </row>
    <row r="338" spans="1:19" ht="230.25" thickTop="1" thickBot="1" x14ac:dyDescent="0.25">
      <c r="A338" s="927" t="s">
        <v>446</v>
      </c>
      <c r="B338" s="927" t="s">
        <v>254</v>
      </c>
      <c r="C338" s="927" t="s">
        <v>252</v>
      </c>
      <c r="D338" s="927" t="s">
        <v>253</v>
      </c>
      <c r="E338" s="470">
        <f>'d3'!E338-'d3-07'!E310</f>
        <v>26500</v>
      </c>
      <c r="F338" s="470">
        <f>'d3'!F338-'d3-07'!F310</f>
        <v>26500</v>
      </c>
      <c r="G338" s="470">
        <f>'d3'!G338-'d3-07'!G310</f>
        <v>0</v>
      </c>
      <c r="H338" s="470">
        <f>'d3'!H338-'d3-07'!H310</f>
        <v>26500</v>
      </c>
      <c r="I338" s="470">
        <f>'d3'!I338-'d3-07'!I310</f>
        <v>0</v>
      </c>
      <c r="J338" s="470">
        <f>'d3'!J338-'d3-07'!J310</f>
        <v>0</v>
      </c>
      <c r="K338" s="470">
        <f>'d3'!K338-'d3-07'!K310</f>
        <v>0</v>
      </c>
      <c r="L338" s="470">
        <f>'d3'!L338-'d3-07'!L310</f>
        <v>0</v>
      </c>
      <c r="M338" s="470">
        <f>'d3'!M338-'d3-07'!M310</f>
        <v>0</v>
      </c>
      <c r="N338" s="470">
        <f>'d3'!N338-'d3-07'!N310</f>
        <v>0</v>
      </c>
      <c r="O338" s="470">
        <f>'d3'!O338-'d3-07'!O310</f>
        <v>0</v>
      </c>
      <c r="P338" s="470">
        <f>'d3'!P338-'d3-07'!P310</f>
        <v>26500</v>
      </c>
      <c r="R338" s="125" t="b">
        <f>K338='d6'!J313</f>
        <v>0</v>
      </c>
    </row>
    <row r="339" spans="1:19" ht="47.25" thickTop="1" thickBot="1" x14ac:dyDescent="0.25">
      <c r="A339" s="173" t="s">
        <v>1004</v>
      </c>
      <c r="B339" s="455" t="s">
        <v>908</v>
      </c>
      <c r="C339" s="921"/>
      <c r="D339" s="455" t="s">
        <v>955</v>
      </c>
      <c r="E339" s="470">
        <f>'d3'!E339-'d3-07'!E311</f>
        <v>0</v>
      </c>
      <c r="F339" s="470">
        <f>'d3'!F339-'d3-07'!F311</f>
        <v>0</v>
      </c>
      <c r="G339" s="470">
        <f>'d3'!G339-'d3-07'!G311</f>
        <v>0</v>
      </c>
      <c r="H339" s="470">
        <f>'d3'!H339-'d3-07'!H311</f>
        <v>0</v>
      </c>
      <c r="I339" s="470">
        <f>'d3'!I339-'d3-07'!I311</f>
        <v>0</v>
      </c>
      <c r="J339" s="470">
        <f>'d3'!J339-'d3-07'!J311</f>
        <v>0</v>
      </c>
      <c r="K339" s="470">
        <f>'d3'!K339-'d3-07'!K311</f>
        <v>0</v>
      </c>
      <c r="L339" s="470">
        <f>'d3'!L339-'d3-07'!L311</f>
        <v>0</v>
      </c>
      <c r="M339" s="470">
        <f>'d3'!M339-'d3-07'!M311</f>
        <v>0</v>
      </c>
      <c r="N339" s="470">
        <f>'d3'!N339-'d3-07'!N311</f>
        <v>0</v>
      </c>
      <c r="O339" s="470">
        <f>'d3'!O339-'d3-07'!O311</f>
        <v>0</v>
      </c>
      <c r="P339" s="470">
        <f>'d3'!P339-'d3-07'!P311</f>
        <v>0</v>
      </c>
      <c r="Q339" s="912"/>
      <c r="R339" s="197"/>
    </row>
    <row r="340" spans="1:19" ht="91.5" thickTop="1" thickBot="1" x14ac:dyDescent="0.25">
      <c r="A340" s="450" t="s">
        <v>1005</v>
      </c>
      <c r="B340" s="450" t="s">
        <v>1006</v>
      </c>
      <c r="C340" s="450"/>
      <c r="D340" s="450" t="s">
        <v>1007</v>
      </c>
      <c r="E340" s="470">
        <f>'d3'!E340-'d3-07'!E312</f>
        <v>0</v>
      </c>
      <c r="F340" s="470">
        <f>'d3'!F340-'d3-07'!F312</f>
        <v>0</v>
      </c>
      <c r="G340" s="470">
        <f>'d3'!G340-'d3-07'!G312</f>
        <v>0</v>
      </c>
      <c r="H340" s="470">
        <f>'d3'!H340-'d3-07'!H312</f>
        <v>0</v>
      </c>
      <c r="I340" s="470">
        <f>'d3'!I340-'d3-07'!I312</f>
        <v>0</v>
      </c>
      <c r="J340" s="470">
        <f>'d3'!J340-'d3-07'!J312</f>
        <v>0</v>
      </c>
      <c r="K340" s="470">
        <f>'d3'!K340-'d3-07'!K312</f>
        <v>0</v>
      </c>
      <c r="L340" s="470">
        <f>'d3'!L340-'d3-07'!L312</f>
        <v>0</v>
      </c>
      <c r="M340" s="470">
        <f>'d3'!M340-'d3-07'!M312</f>
        <v>0</v>
      </c>
      <c r="N340" s="470">
        <f>'d3'!N340-'d3-07'!N312</f>
        <v>0</v>
      </c>
      <c r="O340" s="470">
        <f>'d3'!O340-'d3-07'!O312</f>
        <v>0</v>
      </c>
      <c r="P340" s="470">
        <f>'d3'!P340-'d3-07'!P312</f>
        <v>0</v>
      </c>
      <c r="Q340" s="912"/>
      <c r="R340" s="197"/>
    </row>
    <row r="341" spans="1:19" ht="93" thickTop="1" thickBot="1" x14ac:dyDescent="0.25">
      <c r="A341" s="927" t="s">
        <v>325</v>
      </c>
      <c r="B341" s="927" t="s">
        <v>326</v>
      </c>
      <c r="C341" s="927" t="s">
        <v>327</v>
      </c>
      <c r="D341" s="927" t="s">
        <v>497</v>
      </c>
      <c r="E341" s="470">
        <f>'d3'!E341-'d3-07'!E313</f>
        <v>0</v>
      </c>
      <c r="F341" s="470">
        <f>'d3'!F341-'d3-07'!F313</f>
        <v>0</v>
      </c>
      <c r="G341" s="470">
        <f>'d3'!G341-'d3-07'!G313</f>
        <v>0</v>
      </c>
      <c r="H341" s="470">
        <f>'d3'!H341-'d3-07'!H313</f>
        <v>0</v>
      </c>
      <c r="I341" s="470">
        <f>'d3'!I341-'d3-07'!I313</f>
        <v>0</v>
      </c>
      <c r="J341" s="470">
        <f>'d3'!J341-'d3-07'!J313</f>
        <v>0</v>
      </c>
      <c r="K341" s="470">
        <f>'d3'!K341-'d3-07'!K313</f>
        <v>0</v>
      </c>
      <c r="L341" s="470">
        <f>'d3'!L341-'d3-07'!L313</f>
        <v>0</v>
      </c>
      <c r="M341" s="470">
        <f>'d3'!M341-'d3-07'!M313</f>
        <v>0</v>
      </c>
      <c r="N341" s="470">
        <f>'d3'!N341-'d3-07'!N313</f>
        <v>0</v>
      </c>
      <c r="O341" s="470">
        <f>'d3'!O341-'d3-07'!O313</f>
        <v>0</v>
      </c>
      <c r="P341" s="470">
        <f>'d3'!P341-'d3-07'!P313</f>
        <v>0</v>
      </c>
      <c r="R341" s="125" t="b">
        <f>K341='d6'!J314+'d6'!J315</f>
        <v>0</v>
      </c>
    </row>
    <row r="342" spans="1:19" ht="136.5" thickTop="1" thickBot="1" x14ac:dyDescent="0.25">
      <c r="A342" s="450" t="s">
        <v>1008</v>
      </c>
      <c r="B342" s="450" t="s">
        <v>850</v>
      </c>
      <c r="C342" s="927"/>
      <c r="D342" s="450" t="s">
        <v>1009</v>
      </c>
      <c r="E342" s="470">
        <f>'d3'!E342-'d3-07'!E314</f>
        <v>0</v>
      </c>
      <c r="F342" s="470">
        <f>'d3'!F342-'d3-07'!F314</f>
        <v>0</v>
      </c>
      <c r="G342" s="470">
        <f>'d3'!G342-'d3-07'!G314</f>
        <v>0</v>
      </c>
      <c r="H342" s="470">
        <f>'d3'!H342-'d3-07'!H314</f>
        <v>0</v>
      </c>
      <c r="I342" s="470">
        <f>'d3'!I342-'d3-07'!I314</f>
        <v>0</v>
      </c>
      <c r="J342" s="470">
        <f>'d3'!J342-'d3-07'!J314</f>
        <v>0</v>
      </c>
      <c r="K342" s="470">
        <f>'d3'!K342-'d3-07'!K314</f>
        <v>0</v>
      </c>
      <c r="L342" s="470">
        <f>'d3'!L342-'d3-07'!L314</f>
        <v>0</v>
      </c>
      <c r="M342" s="470">
        <f>'d3'!M342-'d3-07'!M314</f>
        <v>0</v>
      </c>
      <c r="N342" s="470">
        <f>'d3'!N342-'d3-07'!N314</f>
        <v>0</v>
      </c>
      <c r="O342" s="470">
        <f>'d3'!O342-'d3-07'!O314</f>
        <v>0</v>
      </c>
      <c r="P342" s="470">
        <f>'d3'!P342-'d3-07'!P314</f>
        <v>0</v>
      </c>
      <c r="Q342" s="912"/>
    </row>
    <row r="343" spans="1:19" ht="138.75" thickTop="1" thickBot="1" x14ac:dyDescent="0.25">
      <c r="A343" s="927" t="s">
        <v>394</v>
      </c>
      <c r="B343" s="927" t="s">
        <v>395</v>
      </c>
      <c r="C343" s="927" t="s">
        <v>184</v>
      </c>
      <c r="D343" s="927" t="s">
        <v>396</v>
      </c>
      <c r="E343" s="470">
        <f>'d3'!E343-'d3-07'!E315</f>
        <v>0</v>
      </c>
      <c r="F343" s="470">
        <f>'d3'!F343-'d3-07'!F315</f>
        <v>0</v>
      </c>
      <c r="G343" s="470">
        <f>'d3'!G343-'d3-07'!G315</f>
        <v>0</v>
      </c>
      <c r="H343" s="470">
        <f>'d3'!H343-'d3-07'!H315</f>
        <v>0</v>
      </c>
      <c r="I343" s="470">
        <f>'d3'!I343-'d3-07'!I315</f>
        <v>0</v>
      </c>
      <c r="J343" s="470">
        <f>'d3'!J343-'d3-07'!J315</f>
        <v>0</v>
      </c>
      <c r="K343" s="470">
        <f>'d3'!K343-'d3-07'!K315</f>
        <v>0</v>
      </c>
      <c r="L343" s="470">
        <f>'d3'!L343-'d3-07'!L315</f>
        <v>0</v>
      </c>
      <c r="M343" s="470">
        <f>'d3'!M343-'d3-07'!M315</f>
        <v>0</v>
      </c>
      <c r="N343" s="470">
        <f>'d3'!N343-'d3-07'!N315</f>
        <v>0</v>
      </c>
      <c r="O343" s="470">
        <f>'d3'!O343-'d3-07'!O315</f>
        <v>0</v>
      </c>
      <c r="P343" s="470">
        <f>'d3'!P343-'d3-07'!P315</f>
        <v>0</v>
      </c>
      <c r="R343" s="125" t="b">
        <f>K343='d6'!J316</f>
        <v>0</v>
      </c>
    </row>
    <row r="344" spans="1:19" ht="136.5" thickTop="1" thickBot="1" x14ac:dyDescent="0.25">
      <c r="A344" s="853" t="s">
        <v>182</v>
      </c>
      <c r="B344" s="853"/>
      <c r="C344" s="853"/>
      <c r="D344" s="854" t="s">
        <v>27</v>
      </c>
      <c r="E344" s="855">
        <f>E345</f>
        <v>402267.1799999997</v>
      </c>
      <c r="F344" s="856">
        <f t="shared" ref="F344:G344" si="82">F345</f>
        <v>402267.1799999997</v>
      </c>
      <c r="G344" s="856">
        <f t="shared" si="82"/>
        <v>-100000</v>
      </c>
      <c r="H344" s="856">
        <f>H345</f>
        <v>26800</v>
      </c>
      <c r="I344" s="856">
        <f t="shared" ref="I344" si="83">I345</f>
        <v>0</v>
      </c>
      <c r="J344" s="855">
        <f>J345</f>
        <v>0</v>
      </c>
      <c r="K344" s="856">
        <f>K345</f>
        <v>0</v>
      </c>
      <c r="L344" s="856">
        <f>L345</f>
        <v>0</v>
      </c>
      <c r="M344" s="856">
        <f t="shared" ref="M344" si="84">M345</f>
        <v>0</v>
      </c>
      <c r="N344" s="856">
        <f>N345</f>
        <v>0</v>
      </c>
      <c r="O344" s="855">
        <f>O345</f>
        <v>0</v>
      </c>
      <c r="P344" s="856">
        <f t="shared" ref="P344" si="85">P345</f>
        <v>402267.1799999997</v>
      </c>
    </row>
    <row r="345" spans="1:19" ht="136.5" thickTop="1" thickBot="1" x14ac:dyDescent="0.25">
      <c r="A345" s="857" t="s">
        <v>183</v>
      </c>
      <c r="B345" s="857"/>
      <c r="C345" s="857"/>
      <c r="D345" s="858" t="s">
        <v>42</v>
      </c>
      <c r="E345" s="859">
        <f>E346+E349+E353</f>
        <v>402267.1799999997</v>
      </c>
      <c r="F345" s="859">
        <f t="shared" ref="F345:I345" si="86">F346+F349+F353</f>
        <v>402267.1799999997</v>
      </c>
      <c r="G345" s="859">
        <f t="shared" si="86"/>
        <v>-100000</v>
      </c>
      <c r="H345" s="859">
        <f t="shared" si="86"/>
        <v>26800</v>
      </c>
      <c r="I345" s="859">
        <f t="shared" si="86"/>
        <v>0</v>
      </c>
      <c r="J345" s="859">
        <f>L345+O345</f>
        <v>0</v>
      </c>
      <c r="K345" s="859">
        <f t="shared" ref="K345:O345" si="87">K346+K349+K353</f>
        <v>0</v>
      </c>
      <c r="L345" s="859">
        <f t="shared" si="87"/>
        <v>0</v>
      </c>
      <c r="M345" s="859">
        <f t="shared" si="87"/>
        <v>0</v>
      </c>
      <c r="N345" s="859">
        <f t="shared" si="87"/>
        <v>0</v>
      </c>
      <c r="O345" s="859">
        <f t="shared" si="87"/>
        <v>0</v>
      </c>
      <c r="P345" s="859">
        <f>E345+J345</f>
        <v>402267.1799999997</v>
      </c>
      <c r="Q345" s="125" t="b">
        <f>P345=P350+P352+P355+P347+P348</f>
        <v>1</v>
      </c>
      <c r="R345" s="125" t="b">
        <f>K345='d6'!J317</f>
        <v>0</v>
      </c>
    </row>
    <row r="346" spans="1:19" ht="47.25" thickTop="1" thickBot="1" x14ac:dyDescent="0.25">
      <c r="A346" s="173" t="s">
        <v>1010</v>
      </c>
      <c r="B346" s="455" t="s">
        <v>843</v>
      </c>
      <c r="C346" s="455"/>
      <c r="D346" s="455" t="s">
        <v>844</v>
      </c>
      <c r="E346" s="470">
        <f>'d3'!E346-'d3-07'!E318</f>
        <v>-153200</v>
      </c>
      <c r="F346" s="470">
        <f>'d3'!F346-'d3-07'!F318</f>
        <v>-153200</v>
      </c>
      <c r="G346" s="470">
        <f>'d3'!G346-'d3-07'!G318</f>
        <v>-100000</v>
      </c>
      <c r="H346" s="470">
        <f>'d3'!H346-'d3-07'!H318</f>
        <v>26800</v>
      </c>
      <c r="I346" s="470">
        <f>'d3'!I346-'d3-07'!I318</f>
        <v>0</v>
      </c>
      <c r="J346" s="470">
        <f>'d3'!J346-'d3-07'!J318</f>
        <v>0</v>
      </c>
      <c r="K346" s="470">
        <f>'d3'!K346-'d3-07'!K318</f>
        <v>0</v>
      </c>
      <c r="L346" s="470">
        <f>'d3'!L346-'d3-07'!L318</f>
        <v>0</v>
      </c>
      <c r="M346" s="470">
        <f>'d3'!M346-'d3-07'!M318</f>
        <v>0</v>
      </c>
      <c r="N346" s="470">
        <f>'d3'!N346-'d3-07'!N318</f>
        <v>0</v>
      </c>
      <c r="O346" s="470">
        <f>'d3'!O346-'d3-07'!O318</f>
        <v>0</v>
      </c>
      <c r="P346" s="470">
        <f>'d3'!P346-'d3-07'!P318</f>
        <v>-153200</v>
      </c>
      <c r="Q346" s="125"/>
      <c r="R346" s="198"/>
    </row>
    <row r="347" spans="1:19" ht="230.25" thickTop="1" thickBot="1" x14ac:dyDescent="0.25">
      <c r="A347" s="921" t="s">
        <v>448</v>
      </c>
      <c r="B347" s="921" t="s">
        <v>254</v>
      </c>
      <c r="C347" s="921" t="s">
        <v>252</v>
      </c>
      <c r="D347" s="921" t="s">
        <v>253</v>
      </c>
      <c r="E347" s="470">
        <f>'d3'!E347-'d3-07'!E319</f>
        <v>-153200</v>
      </c>
      <c r="F347" s="470">
        <f>'d3'!F347-'d3-07'!F319</f>
        <v>-153200</v>
      </c>
      <c r="G347" s="470">
        <f>'d3'!G347-'d3-07'!G319</f>
        <v>-100000</v>
      </c>
      <c r="H347" s="470">
        <f>'d3'!H347-'d3-07'!H319</f>
        <v>26800</v>
      </c>
      <c r="I347" s="470">
        <f>'d3'!I347-'d3-07'!I319</f>
        <v>0</v>
      </c>
      <c r="J347" s="470">
        <f>'d3'!J347-'d3-07'!J319</f>
        <v>0</v>
      </c>
      <c r="K347" s="470">
        <f>'d3'!K347-'d3-07'!K319</f>
        <v>0</v>
      </c>
      <c r="L347" s="470">
        <f>'d3'!L347-'d3-07'!L319</f>
        <v>0</v>
      </c>
      <c r="M347" s="470">
        <f>'d3'!M347-'d3-07'!M319</f>
        <v>0</v>
      </c>
      <c r="N347" s="470">
        <f>'d3'!N347-'d3-07'!N319</f>
        <v>0</v>
      </c>
      <c r="O347" s="470">
        <f>'d3'!O347-'d3-07'!O319</f>
        <v>0</v>
      </c>
      <c r="P347" s="470">
        <f>'d3'!P347-'d3-07'!P319</f>
        <v>-153200</v>
      </c>
      <c r="Q347" s="125" t="b">
        <f>K347='d6'!J319</f>
        <v>0</v>
      </c>
      <c r="R347" s="198"/>
      <c r="S347" s="197">
        <f>'d6'!J319</f>
        <v>40000</v>
      </c>
    </row>
    <row r="348" spans="1:19" ht="184.5" thickTop="1" thickBot="1" x14ac:dyDescent="0.25">
      <c r="A348" s="921" t="s">
        <v>792</v>
      </c>
      <c r="B348" s="921" t="s">
        <v>388</v>
      </c>
      <c r="C348" s="921" t="s">
        <v>778</v>
      </c>
      <c r="D348" s="921" t="s">
        <v>779</v>
      </c>
      <c r="E348" s="470">
        <f>'d3'!E348-'d3-07'!E320</f>
        <v>0</v>
      </c>
      <c r="F348" s="470">
        <f>'d3'!F348-'d3-07'!F320</f>
        <v>0</v>
      </c>
      <c r="G348" s="470">
        <f>'d3'!G348-'d3-07'!G320</f>
        <v>0</v>
      </c>
      <c r="H348" s="470">
        <f>'d3'!H348-'d3-07'!H320</f>
        <v>0</v>
      </c>
      <c r="I348" s="470">
        <f>'d3'!I348-'d3-07'!I320</f>
        <v>0</v>
      </c>
      <c r="J348" s="470">
        <f>'d3'!J348-'d3-07'!J320</f>
        <v>0</v>
      </c>
      <c r="K348" s="470">
        <f>'d3'!K348-'d3-07'!K320</f>
        <v>0</v>
      </c>
      <c r="L348" s="470">
        <f>'d3'!L348-'d3-07'!L320</f>
        <v>0</v>
      </c>
      <c r="M348" s="470">
        <f>'d3'!M348-'d3-07'!M320</f>
        <v>0</v>
      </c>
      <c r="N348" s="470">
        <f>'d3'!N348-'d3-07'!N320</f>
        <v>0</v>
      </c>
      <c r="O348" s="470">
        <f>'d3'!O348-'d3-07'!O320</f>
        <v>0</v>
      </c>
      <c r="P348" s="470">
        <f>'d3'!P348-'d3-07'!P320</f>
        <v>0</v>
      </c>
      <c r="Q348" s="197"/>
      <c r="R348" s="198"/>
    </row>
    <row r="349" spans="1:19" ht="47.25" thickTop="1" thickBot="1" x14ac:dyDescent="0.25">
      <c r="A349" s="173" t="s">
        <v>1011</v>
      </c>
      <c r="B349" s="455" t="s">
        <v>855</v>
      </c>
      <c r="C349" s="455"/>
      <c r="D349" s="455" t="s">
        <v>856</v>
      </c>
      <c r="E349" s="470">
        <f>'d3'!E349-'d3-07'!E321</f>
        <v>555467.1799999997</v>
      </c>
      <c r="F349" s="470">
        <f>'d3'!F349-'d3-07'!F321</f>
        <v>555467.1799999997</v>
      </c>
      <c r="G349" s="470">
        <f>'d3'!G349-'d3-07'!G321</f>
        <v>0</v>
      </c>
      <c r="H349" s="470">
        <f>'d3'!H349-'d3-07'!H321</f>
        <v>0</v>
      </c>
      <c r="I349" s="470">
        <f>'d3'!I349-'d3-07'!I321</f>
        <v>0</v>
      </c>
      <c r="J349" s="470">
        <f>'d3'!J349-'d3-07'!J321</f>
        <v>0</v>
      </c>
      <c r="K349" s="470">
        <f>'d3'!K349-'d3-07'!K321</f>
        <v>0</v>
      </c>
      <c r="L349" s="470">
        <f>'d3'!L349-'d3-07'!L321</f>
        <v>0</v>
      </c>
      <c r="M349" s="470">
        <f>'d3'!M349-'d3-07'!M321</f>
        <v>0</v>
      </c>
      <c r="N349" s="470">
        <f>'d3'!N349-'d3-07'!N321</f>
        <v>0</v>
      </c>
      <c r="O349" s="470">
        <f>'d3'!O349-'d3-07'!O321</f>
        <v>0</v>
      </c>
      <c r="P349" s="470">
        <f>'d3'!P349-'d3-07'!P321</f>
        <v>555467.1799999997</v>
      </c>
      <c r="Q349" s="197"/>
      <c r="R349" s="198"/>
    </row>
    <row r="350" spans="1:19" ht="91.5" thickTop="1" thickBot="1" x14ac:dyDescent="0.25">
      <c r="A350" s="472">
        <v>3718600</v>
      </c>
      <c r="B350" s="472">
        <v>8600</v>
      </c>
      <c r="C350" s="404" t="s">
        <v>388</v>
      </c>
      <c r="D350" s="472" t="s">
        <v>488</v>
      </c>
      <c r="E350" s="470">
        <f>'d3'!E350-'d3-07'!E322</f>
        <v>555467.1799999997</v>
      </c>
      <c r="F350" s="470">
        <f>'d3'!F350-'d3-07'!F322</f>
        <v>555467.1799999997</v>
      </c>
      <c r="G350" s="470">
        <f>'d3'!G350-'d3-07'!G322</f>
        <v>0</v>
      </c>
      <c r="H350" s="470">
        <f>'d3'!H350-'d3-07'!H322</f>
        <v>0</v>
      </c>
      <c r="I350" s="470">
        <f>'d3'!I350-'d3-07'!I322</f>
        <v>0</v>
      </c>
      <c r="J350" s="470">
        <f>'d3'!J350-'d3-07'!J322</f>
        <v>0</v>
      </c>
      <c r="K350" s="470">
        <f>'d3'!K350-'d3-07'!K322</f>
        <v>0</v>
      </c>
      <c r="L350" s="470">
        <f>'d3'!L350-'d3-07'!L322</f>
        <v>0</v>
      </c>
      <c r="M350" s="470">
        <f>'d3'!M350-'d3-07'!M322</f>
        <v>0</v>
      </c>
      <c r="N350" s="470">
        <f>'d3'!N350-'d3-07'!N322</f>
        <v>0</v>
      </c>
      <c r="O350" s="470">
        <f>'d3'!O350-'d3-07'!O322</f>
        <v>0</v>
      </c>
      <c r="P350" s="470">
        <f>'d3'!P350-'d3-07'!P322</f>
        <v>555467.1799999997</v>
      </c>
    </row>
    <row r="351" spans="1:19" ht="46.5" thickTop="1" thickBot="1" x14ac:dyDescent="0.25">
      <c r="A351" s="472">
        <v>3718700</v>
      </c>
      <c r="B351" s="472">
        <v>8700</v>
      </c>
      <c r="C351" s="404"/>
      <c r="D351" s="472" t="s">
        <v>1012</v>
      </c>
      <c r="E351" s="470">
        <f>'d3'!E351-'d3-07'!E323</f>
        <v>0</v>
      </c>
      <c r="F351" s="470">
        <f>'d3'!F351-'d3-07'!F323</f>
        <v>0</v>
      </c>
      <c r="G351" s="470">
        <f>'d3'!G351-'d3-07'!G323</f>
        <v>0</v>
      </c>
      <c r="H351" s="470">
        <f>'d3'!H351-'d3-07'!H323</f>
        <v>0</v>
      </c>
      <c r="I351" s="470">
        <f>'d3'!I351-'d3-07'!I323</f>
        <v>0</v>
      </c>
      <c r="J351" s="470">
        <f>'d3'!J351-'d3-07'!J323</f>
        <v>0</v>
      </c>
      <c r="K351" s="470">
        <f>'d3'!K351-'d3-07'!K323</f>
        <v>0</v>
      </c>
      <c r="L351" s="470">
        <f>'d3'!L351-'d3-07'!L323</f>
        <v>0</v>
      </c>
      <c r="M351" s="470">
        <f>'d3'!M351-'d3-07'!M323</f>
        <v>0</v>
      </c>
      <c r="N351" s="470">
        <f>'d3'!N351-'d3-07'!N323</f>
        <v>0</v>
      </c>
      <c r="O351" s="470">
        <f>'d3'!O351-'d3-07'!O323</f>
        <v>0</v>
      </c>
      <c r="P351" s="470">
        <f>'d3'!P351-'d3-07'!P323</f>
        <v>0</v>
      </c>
    </row>
    <row r="352" spans="1:19" ht="93" thickTop="1" thickBot="1" x14ac:dyDescent="0.25">
      <c r="A352" s="339">
        <v>3718710</v>
      </c>
      <c r="B352" s="339">
        <v>8710</v>
      </c>
      <c r="C352" s="921" t="s">
        <v>44</v>
      </c>
      <c r="D352" s="337" t="s">
        <v>798</v>
      </c>
      <c r="E352" s="470">
        <f>'d3'!E352-'d3-07'!E324</f>
        <v>0</v>
      </c>
      <c r="F352" s="470">
        <f>'d3'!F352-'d3-07'!F324</f>
        <v>0</v>
      </c>
      <c r="G352" s="470">
        <f>'d3'!G352-'d3-07'!G324</f>
        <v>0</v>
      </c>
      <c r="H352" s="470">
        <f>'d3'!H352-'d3-07'!H324</f>
        <v>0</v>
      </c>
      <c r="I352" s="470">
        <f>'d3'!I352-'d3-07'!I324</f>
        <v>0</v>
      </c>
      <c r="J352" s="470">
        <f>'d3'!J352-'d3-07'!J324</f>
        <v>0</v>
      </c>
      <c r="K352" s="470">
        <f>'d3'!K352-'d3-07'!K324</f>
        <v>0</v>
      </c>
      <c r="L352" s="470">
        <f>'d3'!L352-'d3-07'!L324</f>
        <v>0</v>
      </c>
      <c r="M352" s="470">
        <f>'d3'!M352-'d3-07'!M324</f>
        <v>0</v>
      </c>
      <c r="N352" s="470">
        <f>'d3'!N352-'d3-07'!N324</f>
        <v>0</v>
      </c>
      <c r="O352" s="470">
        <f>'d3'!O352-'d3-07'!O324</f>
        <v>0</v>
      </c>
      <c r="P352" s="470">
        <f>'d3'!P352-'d3-07'!P324</f>
        <v>0</v>
      </c>
    </row>
    <row r="353" spans="1:18" ht="46.5" thickTop="1" thickBot="1" x14ac:dyDescent="0.25">
      <c r="A353" s="455" t="s">
        <v>1013</v>
      </c>
      <c r="B353" s="455" t="s">
        <v>861</v>
      </c>
      <c r="C353" s="455"/>
      <c r="D353" s="455" t="s">
        <v>862</v>
      </c>
      <c r="E353" s="470">
        <f>'d3'!E353-'d3-07'!E325</f>
        <v>0</v>
      </c>
      <c r="F353" s="470">
        <f>'d3'!F353-'d3-07'!F325</f>
        <v>0</v>
      </c>
      <c r="G353" s="470">
        <f>'d3'!G353-'d3-07'!G325</f>
        <v>0</v>
      </c>
      <c r="H353" s="470">
        <f>'d3'!H353-'d3-07'!H325</f>
        <v>0</v>
      </c>
      <c r="I353" s="470">
        <f>'d3'!I353-'d3-07'!I325</f>
        <v>0</v>
      </c>
      <c r="J353" s="470">
        <f>'d3'!J353-'d3-07'!J325</f>
        <v>0</v>
      </c>
      <c r="K353" s="470">
        <f>'d3'!K353-'d3-07'!K325</f>
        <v>0</v>
      </c>
      <c r="L353" s="470">
        <f>'d3'!L353-'d3-07'!L325</f>
        <v>0</v>
      </c>
      <c r="M353" s="470">
        <f>'d3'!M353-'d3-07'!M325</f>
        <v>0</v>
      </c>
      <c r="N353" s="470">
        <f>'d3'!N353-'d3-07'!N325</f>
        <v>0</v>
      </c>
      <c r="O353" s="470">
        <f>'d3'!O353-'d3-07'!O325</f>
        <v>0</v>
      </c>
      <c r="P353" s="470">
        <f>'d3'!P353-'d3-07'!P325</f>
        <v>0</v>
      </c>
    </row>
    <row r="354" spans="1:18" ht="91.5" thickTop="1" thickBot="1" x14ac:dyDescent="0.25">
      <c r="A354" s="472">
        <v>3719100</v>
      </c>
      <c r="B354" s="404" t="s">
        <v>1015</v>
      </c>
      <c r="C354" s="404"/>
      <c r="D354" s="404" t="s">
        <v>1014</v>
      </c>
      <c r="E354" s="470">
        <f>'d3'!E354-'d3-07'!E326</f>
        <v>0</v>
      </c>
      <c r="F354" s="470">
        <f>'d3'!F354-'d3-07'!F326</f>
        <v>0</v>
      </c>
      <c r="G354" s="470">
        <f>'d3'!G354-'d3-07'!G326</f>
        <v>0</v>
      </c>
      <c r="H354" s="470">
        <f>'d3'!H354-'d3-07'!H326</f>
        <v>0</v>
      </c>
      <c r="I354" s="470">
        <f>'d3'!I354-'d3-07'!I326</f>
        <v>0</v>
      </c>
      <c r="J354" s="470">
        <f>'d3'!J354-'d3-07'!J326</f>
        <v>0</v>
      </c>
      <c r="K354" s="470">
        <f>'d3'!K354-'d3-07'!K326</f>
        <v>0</v>
      </c>
      <c r="L354" s="470">
        <f>'d3'!L354-'d3-07'!L326</f>
        <v>0</v>
      </c>
      <c r="M354" s="470">
        <f>'d3'!M354-'d3-07'!M326</f>
        <v>0</v>
      </c>
      <c r="N354" s="470">
        <f>'d3'!N354-'d3-07'!N326</f>
        <v>0</v>
      </c>
      <c r="O354" s="470">
        <f>'d3'!O354-'d3-07'!O326</f>
        <v>0</v>
      </c>
      <c r="P354" s="470">
        <f>'d3'!P354-'d3-07'!P326</f>
        <v>0</v>
      </c>
    </row>
    <row r="355" spans="1:18" ht="47.25" thickTop="1" thickBot="1" x14ac:dyDescent="0.25">
      <c r="A355" s="339">
        <v>3719110</v>
      </c>
      <c r="B355" s="339">
        <v>9110</v>
      </c>
      <c r="C355" s="921" t="s">
        <v>45</v>
      </c>
      <c r="D355" s="337" t="s">
        <v>487</v>
      </c>
      <c r="E355" s="470">
        <f>'d3'!E355-'d3-07'!E327</f>
        <v>0</v>
      </c>
      <c r="F355" s="470">
        <f>'d3'!F355-'d3-07'!F327</f>
        <v>0</v>
      </c>
      <c r="G355" s="470">
        <f>'d3'!G355-'d3-07'!G327</f>
        <v>0</v>
      </c>
      <c r="H355" s="470">
        <f>'d3'!H355-'d3-07'!H327</f>
        <v>0</v>
      </c>
      <c r="I355" s="470">
        <f>'d3'!I355-'d3-07'!I327</f>
        <v>0</v>
      </c>
      <c r="J355" s="470">
        <f>'d3'!J355-'d3-07'!J327</f>
        <v>0</v>
      </c>
      <c r="K355" s="470">
        <f>'d3'!K355-'d3-07'!K327</f>
        <v>0</v>
      </c>
      <c r="L355" s="470">
        <f>'d3'!L355-'d3-07'!L327</f>
        <v>0</v>
      </c>
      <c r="M355" s="470">
        <f>'d3'!M355-'d3-07'!M327</f>
        <v>0</v>
      </c>
      <c r="N355" s="470">
        <f>'d3'!N355-'d3-07'!N327</f>
        <v>0</v>
      </c>
      <c r="O355" s="470">
        <f>'d3'!O355-'d3-07'!O327</f>
        <v>0</v>
      </c>
      <c r="P355" s="470">
        <f>'d3'!P355-'d3-07'!P327</f>
        <v>0</v>
      </c>
    </row>
    <row r="356" spans="1:18" ht="159.75" customHeight="1" thickTop="1" thickBot="1" x14ac:dyDescent="0.25">
      <c r="A356" s="246" t="s">
        <v>408</v>
      </c>
      <c r="B356" s="246" t="s">
        <v>408</v>
      </c>
      <c r="C356" s="246" t="s">
        <v>408</v>
      </c>
      <c r="D356" s="247" t="s">
        <v>418</v>
      </c>
      <c r="E356" s="340">
        <f t="shared" ref="E356:P356" si="88">E17+E42+E190+E89+E113+E170++E268+E290+E345+E311+E324+E336+E298+E239+E220</f>
        <v>32921549.18</v>
      </c>
      <c r="F356" s="340">
        <f t="shared" si="88"/>
        <v>32921549.18</v>
      </c>
      <c r="G356" s="340">
        <f t="shared" si="88"/>
        <v>-1605165.9699999988</v>
      </c>
      <c r="H356" s="340">
        <f t="shared" si="88"/>
        <v>29429257</v>
      </c>
      <c r="I356" s="340">
        <f t="shared" si="88"/>
        <v>0</v>
      </c>
      <c r="J356" s="340">
        <f t="shared" si="88"/>
        <v>35828306.129999995</v>
      </c>
      <c r="K356" s="340">
        <f t="shared" si="88"/>
        <v>33086056.129999984</v>
      </c>
      <c r="L356" s="340">
        <f t="shared" si="88"/>
        <v>2430036</v>
      </c>
      <c r="M356" s="340">
        <f t="shared" si="88"/>
        <v>1021459</v>
      </c>
      <c r="N356" s="340">
        <f t="shared" si="88"/>
        <v>4099570</v>
      </c>
      <c r="O356" s="340">
        <f t="shared" si="88"/>
        <v>33398270.129999995</v>
      </c>
      <c r="P356" s="340">
        <f t="shared" si="88"/>
        <v>68749855.310000002</v>
      </c>
      <c r="Q356" s="38" t="b">
        <f>K356='d6'!J320</f>
        <v>0</v>
      </c>
      <c r="R356" s="38" t="b">
        <f>P356=J356+E356</f>
        <v>1</v>
      </c>
    </row>
    <row r="357" spans="1:18" ht="46.5" thickTop="1" x14ac:dyDescent="0.2">
      <c r="A357" s="1071" t="s">
        <v>542</v>
      </c>
      <c r="B357" s="1072"/>
      <c r="C357" s="1072"/>
      <c r="D357" s="1072"/>
      <c r="E357" s="1072"/>
      <c r="F357" s="1072"/>
      <c r="G357" s="1072"/>
      <c r="H357" s="1072"/>
      <c r="I357" s="1072"/>
      <c r="J357" s="1072"/>
      <c r="K357" s="1072"/>
      <c r="L357" s="1072"/>
      <c r="M357" s="1072"/>
      <c r="N357" s="1072"/>
      <c r="O357" s="1072"/>
      <c r="P357" s="1072"/>
      <c r="Q357" s="203"/>
    </row>
    <row r="358" spans="1:18" ht="60.75" hidden="1" x14ac:dyDescent="0.2">
      <c r="A358" s="916"/>
      <c r="B358" s="917"/>
      <c r="C358" s="917"/>
      <c r="D358" s="917"/>
      <c r="E358" s="78">
        <f>F358</f>
        <v>2777867445.6599998</v>
      </c>
      <c r="F358" s="78">
        <f>((77438986.82+'d2'!E19+((((2638170564+6058967+642850)-'d4'!F17+'d2'!E28)+16026676.66+1406835-100000)+9712966))+553900)+32015839.18</f>
        <v>2777867445.6599998</v>
      </c>
      <c r="G358" s="78">
        <f>(828700-600000+9997450+1414400+359540+((354000+540000+1494859+80242670+1114143912+4186600+68381820+89280550+40854695+37511680)-3284345.53+1122300+879350))-5636312+6090001.03-2025200-32000-1655</f>
        <v>1446103014.5</v>
      </c>
      <c r="H358" s="78">
        <f>(67000+2735067+49875+1431+((6000+3000+20785+3339900+87477970+201540+2063407+3907125+2243165+730080+50000+6058967)-4296997.21+25300+63000-165000-635000+200000))+27531977+100000+282765+81165+1170490+357860-45000</f>
        <v>133625871.79000001</v>
      </c>
      <c r="I358" s="78">
        <v>0</v>
      </c>
      <c r="J358" s="78">
        <f>((-10623233.82+41402316+((((356021747.58+79713450)+73413409.53-123742.2+22276190+100000)+60000000+70000000)+26383129))+5835403.78+19271337.53)+5791564.82</f>
        <v>749461572.22000003</v>
      </c>
      <c r="K358" s="78">
        <f>((-10623233.82+41402316-2300000-1326174+((((356021747.58+79713450)-4201200-630900-155853885)+73413409.53-123742.2-1155966.58-127015.03-854238.96-95000+(22276190-1700000+100000)+60000000+70000000)+26383129))+5835403.78+19271337.53)+30898306.13-25106741.31-2242250-500000</f>
        <v>578474942.6500001</v>
      </c>
      <c r="L358" s="78">
        <f>(-230522+1326174+((4201200-49000)+630900+(155853885-1788820-106000))+78600-9947+1155966.58+854238.96-50000)+2242250+222586-34800</f>
        <v>164296711.54000002</v>
      </c>
      <c r="M358" s="78">
        <f>(332110+14400+(866362+41217060+104000+7345900))+1021459</f>
        <v>50901291</v>
      </c>
      <c r="N358" s="78">
        <f>(920000-18400+(308978+8654190+137000+257400))+4024610</f>
        <v>14283778</v>
      </c>
      <c r="O358" s="78">
        <f>((-10623233.82+41402316-2300000-1326174+2530522+((((356021747.58+79713450)-(4201200-49000)-630900-(155853885-1788820-106000))+16400+9947+(73413409.53-123742.2-95000-1155966.58-854238.96)+50000+(22276190+100000)+60000000+70000000)+26383129))+5835403.78+19271337.53)+30898306.13-25106741.31-2242250-500000-222586+34800</f>
        <v>584664860.67999995</v>
      </c>
      <c r="P358" s="78">
        <f>(((((2994192311.58+6058967+80356300)-'d4'!F20+'d2'!E28+(89440086.19-123742.2)+23683025+60000000+70000000)+36096095)+118841302.82+'d2'!E19-10623233.82)+4665403.78+1170000+19825237.53)+63124855.31-25660641.31</f>
        <v>3526985827.8800001</v>
      </c>
      <c r="Q358" s="38" t="b">
        <f>E358+J358=P358</f>
        <v>0</v>
      </c>
      <c r="R358" s="203"/>
    </row>
    <row r="359" spans="1:18" s="505" customFormat="1" ht="60.75" x14ac:dyDescent="0.2">
      <c r="A359" s="659"/>
      <c r="B359" s="660"/>
      <c r="C359" s="660"/>
      <c r="D359" s="660"/>
      <c r="E359" s="661"/>
      <c r="F359" s="661"/>
      <c r="G359" s="661"/>
      <c r="H359" s="661"/>
      <c r="I359" s="661"/>
      <c r="J359" s="661"/>
      <c r="K359" s="661"/>
      <c r="L359" s="661"/>
      <c r="M359" s="661"/>
      <c r="N359" s="661"/>
      <c r="O359" s="661"/>
      <c r="P359" s="661"/>
      <c r="Q359" s="662"/>
      <c r="R359" s="663"/>
    </row>
    <row r="360" spans="1:18" ht="75.75" customHeight="1" x14ac:dyDescent="0.65">
      <c r="A360" s="916"/>
      <c r="B360" s="917"/>
      <c r="C360" s="917"/>
      <c r="D360" s="931" t="s">
        <v>1280</v>
      </c>
      <c r="E360" s="658"/>
      <c r="F360" s="915"/>
      <c r="G360" s="658"/>
      <c r="H360" s="658"/>
      <c r="I360" s="123"/>
      <c r="J360" s="123"/>
      <c r="K360" s="658" t="s">
        <v>1211</v>
      </c>
      <c r="L360" s="123"/>
      <c r="M360" s="123"/>
      <c r="N360" s="123"/>
      <c r="O360" s="123"/>
      <c r="P360" s="123"/>
      <c r="Q360" s="203"/>
    </row>
    <row r="361" spans="1:18" ht="12.75" customHeight="1" x14ac:dyDescent="0.65">
      <c r="A361" s="916"/>
      <c r="B361" s="917"/>
      <c r="C361" s="917"/>
      <c r="D361" s="1004"/>
      <c r="E361" s="1004"/>
      <c r="F361" s="1004"/>
      <c r="G361" s="1004"/>
      <c r="H361" s="1004"/>
      <c r="I361" s="1004"/>
      <c r="J361" s="1004"/>
      <c r="K361" s="1004"/>
      <c r="L361" s="1004"/>
      <c r="M361" s="1004"/>
      <c r="N361" s="1004"/>
      <c r="O361" s="1004"/>
      <c r="P361" s="1004"/>
      <c r="Q361" s="203"/>
    </row>
    <row r="362" spans="1:18" ht="46.5" thickBot="1" x14ac:dyDescent="0.7">
      <c r="A362" s="916"/>
      <c r="B362" s="917"/>
      <c r="C362" s="917"/>
      <c r="D362" s="144" t="s">
        <v>606</v>
      </c>
      <c r="E362" s="915"/>
      <c r="F362" s="915"/>
      <c r="G362" s="915"/>
      <c r="H362" s="144"/>
      <c r="I362" s="123"/>
      <c r="J362" s="123"/>
      <c r="K362" s="144" t="s">
        <v>607</v>
      </c>
      <c r="L362" s="123"/>
      <c r="M362" s="123"/>
      <c r="N362" s="123"/>
      <c r="O362" s="123"/>
      <c r="P362" s="123"/>
      <c r="Q362" s="203"/>
    </row>
    <row r="363" spans="1:18" ht="47.25" thickTop="1" thickBot="1" x14ac:dyDescent="0.7">
      <c r="A363" s="923"/>
      <c r="B363" s="923"/>
      <c r="C363" s="923"/>
      <c r="D363" s="1004"/>
      <c r="E363" s="1004"/>
      <c r="F363" s="1004"/>
      <c r="G363" s="1004"/>
      <c r="H363" s="1004"/>
      <c r="I363" s="1004"/>
      <c r="J363" s="1004"/>
      <c r="K363" s="1004"/>
      <c r="L363" s="1004"/>
      <c r="M363" s="1004"/>
      <c r="N363" s="1004"/>
      <c r="O363" s="1004"/>
      <c r="P363" s="1004"/>
      <c r="Q363" s="340"/>
    </row>
    <row r="364" spans="1:18" ht="150.75" hidden="1" customHeight="1" x14ac:dyDescent="0.65">
      <c r="D364" s="1004" t="s">
        <v>608</v>
      </c>
      <c r="E364" s="1004"/>
      <c r="F364" s="1004"/>
      <c r="G364" s="1004"/>
      <c r="H364" s="1004"/>
      <c r="I364" s="1004"/>
      <c r="J364" s="1004"/>
      <c r="K364" s="1004"/>
      <c r="L364" s="1004"/>
      <c r="M364" s="1004"/>
      <c r="N364" s="1004"/>
      <c r="O364" s="1004"/>
      <c r="P364" s="1004"/>
    </row>
    <row r="365" spans="1:18" ht="95.25" customHeight="1" thickTop="1" x14ac:dyDescent="0.55000000000000004">
      <c r="G365" s="292"/>
      <c r="H365" s="292"/>
      <c r="Q365" s="195"/>
    </row>
    <row r="366" spans="1:18" hidden="1" x14ac:dyDescent="0.2">
      <c r="E366" s="4"/>
      <c r="F366" s="3"/>
      <c r="G366" s="292"/>
      <c r="H366" s="292"/>
      <c r="J366" s="4"/>
      <c r="K366" s="4"/>
    </row>
    <row r="367" spans="1:18" hidden="1" x14ac:dyDescent="0.2">
      <c r="E367" s="4"/>
      <c r="F367" s="3"/>
      <c r="G367" s="292"/>
      <c r="H367" s="292"/>
      <c r="J367" s="4"/>
      <c r="K367" s="4"/>
    </row>
    <row r="368" spans="1:18" ht="60.75" x14ac:dyDescent="0.2">
      <c r="E368" s="38" t="b">
        <f>E358=E356</f>
        <v>0</v>
      </c>
      <c r="F368" s="38" t="b">
        <f>F358=F356</f>
        <v>0</v>
      </c>
      <c r="G368" s="38" t="b">
        <f>G358=G356</f>
        <v>0</v>
      </c>
      <c r="H368" s="38" t="b">
        <f t="shared" ref="H368:O368" si="89">H358=H356</f>
        <v>0</v>
      </c>
      <c r="I368" s="38" t="b">
        <f>I358=I356</f>
        <v>1</v>
      </c>
      <c r="J368" s="38" t="b">
        <f>J358=J356</f>
        <v>0</v>
      </c>
      <c r="K368" s="38" t="b">
        <f>K358=K356</f>
        <v>0</v>
      </c>
      <c r="L368" s="38" t="b">
        <f t="shared" si="89"/>
        <v>0</v>
      </c>
      <c r="M368" s="38" t="b">
        <f t="shared" si="89"/>
        <v>0</v>
      </c>
      <c r="N368" s="38" t="b">
        <f t="shared" si="89"/>
        <v>0</v>
      </c>
      <c r="O368" s="38" t="b">
        <f t="shared" si="89"/>
        <v>0</v>
      </c>
      <c r="P368" s="38" t="b">
        <f>P358=P356</f>
        <v>0</v>
      </c>
    </row>
    <row r="369" spans="1:18" ht="61.5" x14ac:dyDescent="0.2">
      <c r="E369" s="38" t="b">
        <f>E356=F356</f>
        <v>1</v>
      </c>
      <c r="F369" s="886">
        <f>F352/E356*100</f>
        <v>0</v>
      </c>
      <c r="G369" s="887" t="s">
        <v>343</v>
      </c>
      <c r="H369" s="296"/>
      <c r="I369" s="126"/>
      <c r="J369" s="38" t="b">
        <f>J358=L358+O358</f>
        <v>0</v>
      </c>
      <c r="K369" s="127"/>
      <c r="L369" s="38"/>
      <c r="M369" s="126"/>
      <c r="N369" s="126"/>
      <c r="O369" s="38"/>
      <c r="P369" s="38" t="b">
        <f>E356+J356=P356</f>
        <v>1</v>
      </c>
    </row>
    <row r="370" spans="1:18" ht="60.75" x14ac:dyDescent="0.2">
      <c r="E370" s="128"/>
      <c r="F370" s="129"/>
      <c r="G370" s="128"/>
      <c r="H370" s="297"/>
      <c r="I370" s="128"/>
      <c r="J370" s="4"/>
      <c r="K370" s="4"/>
    </row>
    <row r="371" spans="1:18" ht="61.5" x14ac:dyDescent="0.2">
      <c r="A371" s="912"/>
      <c r="B371" s="912"/>
      <c r="C371" s="912"/>
      <c r="D371" s="6"/>
      <c r="E371" s="912"/>
      <c r="F371" s="45">
        <f>F352/P356*100</f>
        <v>0</v>
      </c>
      <c r="G371" s="45" t="s">
        <v>343</v>
      </c>
      <c r="H371" s="296"/>
      <c r="I371" s="6"/>
      <c r="J371" s="48">
        <f>J356-J358</f>
        <v>-713633266.09000003</v>
      </c>
      <c r="K371" s="48">
        <f>K356-K358</f>
        <v>-545388886.5200001</v>
      </c>
      <c r="L371" s="48"/>
      <c r="M371" s="48"/>
      <c r="N371" s="48"/>
      <c r="O371" s="48">
        <f>O356-O358</f>
        <v>-551266590.54999995</v>
      </c>
      <c r="P371" s="48"/>
    </row>
    <row r="372" spans="1:18" ht="61.5" x14ac:dyDescent="0.2">
      <c r="D372" s="6"/>
      <c r="E372" s="48"/>
      <c r="F372" s="130"/>
      <c r="G372" s="38"/>
      <c r="H372" s="296"/>
      <c r="I372" s="6"/>
      <c r="J372" s="48"/>
      <c r="K372" s="48"/>
      <c r="L372" s="102"/>
      <c r="P372" s="38"/>
      <c r="Q372" s="199"/>
      <c r="R372" s="202"/>
    </row>
    <row r="373" spans="1:18" ht="60.75" x14ac:dyDescent="0.2">
      <c r="A373" s="912"/>
      <c r="B373" s="912"/>
      <c r="C373" s="912"/>
      <c r="D373" s="6"/>
      <c r="E373" s="124"/>
      <c r="F373" s="124">
        <f>F358-F356</f>
        <v>2744945896.48</v>
      </c>
      <c r="G373" s="124"/>
      <c r="H373" s="124"/>
      <c r="I373" s="131"/>
      <c r="J373" s="124"/>
      <c r="K373" s="124"/>
      <c r="L373" s="124"/>
      <c r="M373" s="124"/>
      <c r="N373" s="124"/>
      <c r="O373" s="124"/>
      <c r="P373" s="124"/>
      <c r="Q373" s="199"/>
      <c r="R373" s="202"/>
    </row>
    <row r="374" spans="1:18" ht="60.75" x14ac:dyDescent="0.2">
      <c r="D374" s="6"/>
      <c r="E374" s="48"/>
      <c r="F374" s="68"/>
      <c r="G374" s="264"/>
      <c r="O374" s="38"/>
      <c r="P374" s="38"/>
    </row>
    <row r="375" spans="1:18" ht="60.75" x14ac:dyDescent="0.2">
      <c r="A375" s="912"/>
      <c r="B375" s="912"/>
      <c r="C375" s="912"/>
      <c r="D375" s="6"/>
      <c r="E375" s="48"/>
      <c r="F375" s="45"/>
      <c r="G375" s="102"/>
      <c r="I375" s="138"/>
      <c r="J375" s="4"/>
      <c r="K375" s="4"/>
      <c r="L375" s="912"/>
      <c r="M375" s="912"/>
      <c r="N375" s="912"/>
      <c r="O375" s="912"/>
      <c r="P375" s="38"/>
    </row>
    <row r="376" spans="1:18" ht="62.25" x14ac:dyDescent="0.8">
      <c r="A376" s="912"/>
      <c r="B376" s="912"/>
      <c r="C376" s="912"/>
      <c r="D376" s="912"/>
      <c r="E376" s="9"/>
      <c r="F376" s="45"/>
      <c r="J376" s="4"/>
      <c r="K376" s="4"/>
      <c r="L376" s="912"/>
      <c r="M376" s="912"/>
      <c r="N376" s="912"/>
      <c r="O376" s="912"/>
      <c r="P376" s="50"/>
    </row>
    <row r="377" spans="1:18" ht="45.75" x14ac:dyDescent="0.2">
      <c r="E377" s="103">
        <f>E352/E356</f>
        <v>0</v>
      </c>
      <c r="F377" s="68"/>
    </row>
    <row r="378" spans="1:18" ht="45.75" x14ac:dyDescent="0.2">
      <c r="A378" s="912"/>
      <c r="B378" s="912"/>
      <c r="C378" s="912"/>
      <c r="D378" s="912"/>
      <c r="E378" s="9"/>
      <c r="F378" s="45"/>
      <c r="L378" s="912"/>
      <c r="M378" s="912"/>
      <c r="N378" s="912"/>
      <c r="O378" s="912"/>
      <c r="P378" s="912"/>
    </row>
    <row r="379" spans="1:18" ht="45.75" x14ac:dyDescent="0.2">
      <c r="E379" s="10"/>
      <c r="F379" s="68"/>
    </row>
    <row r="380" spans="1:18" ht="45.75" x14ac:dyDescent="0.2">
      <c r="E380" s="10"/>
      <c r="F380" s="68"/>
    </row>
    <row r="381" spans="1:18" ht="45.75" x14ac:dyDescent="0.2">
      <c r="E381" s="10"/>
      <c r="F381" s="68"/>
    </row>
    <row r="382" spans="1:18" ht="45.75" x14ac:dyDescent="0.2">
      <c r="A382" s="912"/>
      <c r="B382" s="912"/>
      <c r="C382" s="912"/>
      <c r="D382" s="912"/>
      <c r="E382" s="10"/>
      <c r="F382" s="68"/>
      <c r="G382" s="912"/>
      <c r="H382" s="912"/>
      <c r="I382" s="912"/>
      <c r="J382" s="912"/>
      <c r="K382" s="912"/>
      <c r="L382" s="912"/>
      <c r="M382" s="912"/>
      <c r="N382" s="912"/>
      <c r="O382" s="912"/>
      <c r="P382" s="912"/>
    </row>
    <row r="383" spans="1:18" ht="45.75" x14ac:dyDescent="0.2">
      <c r="A383" s="912"/>
      <c r="B383" s="912"/>
      <c r="C383" s="912"/>
      <c r="D383" s="912"/>
      <c r="E383" s="10"/>
      <c r="F383" s="68"/>
      <c r="G383" s="912"/>
      <c r="H383" s="912"/>
      <c r="I383" s="912"/>
      <c r="J383" s="912"/>
      <c r="K383" s="912"/>
      <c r="L383" s="912"/>
      <c r="M383" s="912"/>
      <c r="N383" s="912"/>
      <c r="O383" s="912"/>
      <c r="P383" s="912"/>
    </row>
    <row r="384" spans="1:18" ht="45.75" x14ac:dyDescent="0.2">
      <c r="A384" s="912"/>
      <c r="B384" s="912"/>
      <c r="C384" s="912"/>
      <c r="D384" s="912"/>
      <c r="E384" s="10"/>
      <c r="F384" s="68"/>
      <c r="G384" s="912"/>
      <c r="H384" s="912"/>
      <c r="I384" s="912"/>
      <c r="J384" s="912"/>
      <c r="K384" s="912"/>
      <c r="L384" s="912"/>
      <c r="M384" s="912"/>
      <c r="N384" s="912"/>
      <c r="O384" s="912"/>
      <c r="P384" s="912"/>
    </row>
    <row r="385" spans="1:16" ht="45.75" x14ac:dyDescent="0.2">
      <c r="A385" s="912"/>
      <c r="B385" s="912"/>
      <c r="C385" s="912"/>
      <c r="D385" s="912"/>
      <c r="E385" s="10"/>
      <c r="F385" s="68"/>
      <c r="G385" s="912"/>
      <c r="H385" s="912"/>
      <c r="I385" s="912"/>
      <c r="J385" s="912"/>
      <c r="K385" s="912"/>
      <c r="L385" s="912"/>
      <c r="M385" s="912"/>
      <c r="N385" s="912"/>
      <c r="O385" s="912"/>
      <c r="P385" s="912"/>
    </row>
  </sheetData>
  <mergeCells count="186">
    <mergeCell ref="A357:P357"/>
    <mergeCell ref="D361:P361"/>
    <mergeCell ref="D363:P363"/>
    <mergeCell ref="D364:P364"/>
    <mergeCell ref="K287:K288"/>
    <mergeCell ref="L287:L288"/>
    <mergeCell ref="M287:M288"/>
    <mergeCell ref="N287:N288"/>
    <mergeCell ref="O287:O288"/>
    <mergeCell ref="P287:P288"/>
    <mergeCell ref="P260:P261"/>
    <mergeCell ref="A287:A288"/>
    <mergeCell ref="B287:B288"/>
    <mergeCell ref="C287:C288"/>
    <mergeCell ref="E287:E288"/>
    <mergeCell ref="F287:F288"/>
    <mergeCell ref="G287:G288"/>
    <mergeCell ref="H287:H288"/>
    <mergeCell ref="I287:I288"/>
    <mergeCell ref="J287:J288"/>
    <mergeCell ref="J260:J261"/>
    <mergeCell ref="K260:K261"/>
    <mergeCell ref="L260:L261"/>
    <mergeCell ref="M260:M261"/>
    <mergeCell ref="N260:N261"/>
    <mergeCell ref="O260:O261"/>
    <mergeCell ref="A260:A261"/>
    <mergeCell ref="B260:B261"/>
    <mergeCell ref="C260:C261"/>
    <mergeCell ref="E260:E261"/>
    <mergeCell ref="F260:F261"/>
    <mergeCell ref="G260:G261"/>
    <mergeCell ref="H260:H261"/>
    <mergeCell ref="I260:I261"/>
    <mergeCell ref="I236:I237"/>
    <mergeCell ref="N167:N168"/>
    <mergeCell ref="O167:O168"/>
    <mergeCell ref="P167:P168"/>
    <mergeCell ref="A236:A237"/>
    <mergeCell ref="B236:B237"/>
    <mergeCell ref="C236:C237"/>
    <mergeCell ref="E236:E237"/>
    <mergeCell ref="F236:F237"/>
    <mergeCell ref="G236:G237"/>
    <mergeCell ref="H236:H237"/>
    <mergeCell ref="H167:H168"/>
    <mergeCell ref="I167:I168"/>
    <mergeCell ref="J167:J168"/>
    <mergeCell ref="K167:K168"/>
    <mergeCell ref="L167:L168"/>
    <mergeCell ref="M167:M168"/>
    <mergeCell ref="O236:O237"/>
    <mergeCell ref="P236:P237"/>
    <mergeCell ref="J236:J237"/>
    <mergeCell ref="K236:K237"/>
    <mergeCell ref="L236:L237"/>
    <mergeCell ref="M236:M237"/>
    <mergeCell ref="N236:N237"/>
    <mergeCell ref="A167:A168"/>
    <mergeCell ref="B167:B168"/>
    <mergeCell ref="C167:C168"/>
    <mergeCell ref="E167:E168"/>
    <mergeCell ref="F167:F168"/>
    <mergeCell ref="G167:G168"/>
    <mergeCell ref="H151:H153"/>
    <mergeCell ref="I151:I153"/>
    <mergeCell ref="J151:J153"/>
    <mergeCell ref="R148:R150"/>
    <mergeCell ref="A151:A153"/>
    <mergeCell ref="B151:B153"/>
    <mergeCell ref="C151:C153"/>
    <mergeCell ref="E151:E153"/>
    <mergeCell ref="F151:F153"/>
    <mergeCell ref="G151:G153"/>
    <mergeCell ref="H148:H150"/>
    <mergeCell ref="I148:I150"/>
    <mergeCell ref="J148:J150"/>
    <mergeCell ref="K148:K150"/>
    <mergeCell ref="L148:L150"/>
    <mergeCell ref="M148:M150"/>
    <mergeCell ref="N151:N153"/>
    <mergeCell ref="O151:O153"/>
    <mergeCell ref="P151:P153"/>
    <mergeCell ref="R151:R153"/>
    <mergeCell ref="K151:K153"/>
    <mergeCell ref="L151:L153"/>
    <mergeCell ref="M151:M153"/>
    <mergeCell ref="A148:A150"/>
    <mergeCell ref="B148:B150"/>
    <mergeCell ref="C148:C150"/>
    <mergeCell ref="E148:E150"/>
    <mergeCell ref="F148:F150"/>
    <mergeCell ref="G148:G150"/>
    <mergeCell ref="H144:H147"/>
    <mergeCell ref="I144:I147"/>
    <mergeCell ref="J144:J147"/>
    <mergeCell ref="P141:P143"/>
    <mergeCell ref="N148:N150"/>
    <mergeCell ref="O148:O150"/>
    <mergeCell ref="P148:P150"/>
    <mergeCell ref="Q141:Q143"/>
    <mergeCell ref="R141:R143"/>
    <mergeCell ref="A144:A147"/>
    <mergeCell ref="B144:B147"/>
    <mergeCell ref="C144:C147"/>
    <mergeCell ref="E144:E147"/>
    <mergeCell ref="F144:F147"/>
    <mergeCell ref="G144:G147"/>
    <mergeCell ref="I141:I143"/>
    <mergeCell ref="J141:J143"/>
    <mergeCell ref="K141:K143"/>
    <mergeCell ref="L141:L143"/>
    <mergeCell ref="M141:M143"/>
    <mergeCell ref="N141:N143"/>
    <mergeCell ref="N144:N147"/>
    <mergeCell ref="O144:O147"/>
    <mergeCell ref="P144:P147"/>
    <mergeCell ref="R144:R147"/>
    <mergeCell ref="K144:K147"/>
    <mergeCell ref="L144:L147"/>
    <mergeCell ref="M144:M147"/>
    <mergeCell ref="N70:N71"/>
    <mergeCell ref="O70:O71"/>
    <mergeCell ref="P70:P71"/>
    <mergeCell ref="A141:A143"/>
    <mergeCell ref="B141:B143"/>
    <mergeCell ref="C141:C143"/>
    <mergeCell ref="E141:E143"/>
    <mergeCell ref="F141:F143"/>
    <mergeCell ref="G141:G143"/>
    <mergeCell ref="H141:H143"/>
    <mergeCell ref="H70:H71"/>
    <mergeCell ref="I70:I71"/>
    <mergeCell ref="J70:J71"/>
    <mergeCell ref="K70:K71"/>
    <mergeCell ref="L70:L71"/>
    <mergeCell ref="M70:M71"/>
    <mergeCell ref="A70:A71"/>
    <mergeCell ref="B70:B71"/>
    <mergeCell ref="C70:C71"/>
    <mergeCell ref="D70:D71"/>
    <mergeCell ref="E70:E71"/>
    <mergeCell ref="F70:F71"/>
    <mergeCell ref="G70:G71"/>
    <mergeCell ref="O141:O143"/>
    <mergeCell ref="A51:A52"/>
    <mergeCell ref="B51:B52"/>
    <mergeCell ref="C51:C52"/>
    <mergeCell ref="K30:K31"/>
    <mergeCell ref="L30:L31"/>
    <mergeCell ref="M30:M31"/>
    <mergeCell ref="N30:N31"/>
    <mergeCell ref="O30:O31"/>
    <mergeCell ref="P30:P31"/>
    <mergeCell ref="A30:A31"/>
    <mergeCell ref="B30:B31"/>
    <mergeCell ref="C30:C31"/>
    <mergeCell ref="E30:E31"/>
    <mergeCell ref="F30:F31"/>
    <mergeCell ref="G30:G31"/>
    <mergeCell ref="H30:H31"/>
    <mergeCell ref="I30:I31"/>
    <mergeCell ref="J30:J31"/>
    <mergeCell ref="A10:B10"/>
    <mergeCell ref="A12:A14"/>
    <mergeCell ref="B12:B14"/>
    <mergeCell ref="C12:C14"/>
    <mergeCell ref="D12:D14"/>
    <mergeCell ref="E12:I12"/>
    <mergeCell ref="N2:Q2"/>
    <mergeCell ref="N3:Q3"/>
    <mergeCell ref="O4:P4"/>
    <mergeCell ref="A6:P6"/>
    <mergeCell ref="A7:P7"/>
    <mergeCell ref="A9:B9"/>
    <mergeCell ref="J12:O12"/>
    <mergeCell ref="P12:P14"/>
    <mergeCell ref="E13:E14"/>
    <mergeCell ref="F13:F14"/>
    <mergeCell ref="G13:H13"/>
    <mergeCell ref="I13:I14"/>
    <mergeCell ref="J13:J14"/>
    <mergeCell ref="K13:K14"/>
    <mergeCell ref="L13:L14"/>
    <mergeCell ref="M13:N13"/>
    <mergeCell ref="O13:O14"/>
  </mergeCells>
  <conditionalFormatting sqref="Q345:Q346 Q348:R349 R347:S347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R338:R340 Q336:R337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R346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Q311:R315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Q300:Q309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R300:R309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Q298:Q299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R298:R299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R290:R291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Q290:Q296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R292:R296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R324:R325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R326:R330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Q324:Q330"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R316:R322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Q331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Q333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Q334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Q332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Q347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45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41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43">
    <cfRule type="iconSet" priority="1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horizontalDpi="4294967295" verticalDpi="4294967295" r:id="rId1"/>
  <headerFooter alignWithMargins="0">
    <oddFooter>&amp;C&amp;"Times New Roman Cyr,курсив"Сторінка &amp;P з &amp;N</oddFooter>
  </headerFooter>
  <rowBreaks count="3" manualBreakCount="3">
    <brk id="36" max="15" man="1"/>
    <brk id="69" max="15" man="1"/>
    <brk id="280" max="1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FF"/>
  </sheetPr>
  <dimension ref="A1:J128"/>
  <sheetViews>
    <sheetView showZeros="0" view="pageBreakPreview" topLeftCell="A109" zoomScaleSheetLayoutView="100" workbookViewId="0">
      <selection activeCell="C121" sqref="C121"/>
    </sheetView>
  </sheetViews>
  <sheetFormatPr defaultColWidth="6.85546875" defaultRowHeight="12.75" x14ac:dyDescent="0.2"/>
  <cols>
    <col min="1" max="1" width="10.140625" style="11" customWidth="1"/>
    <col min="2" max="2" width="40.42578125" style="11" customWidth="1"/>
    <col min="3" max="4" width="17.28515625" style="11" customWidth="1"/>
    <col min="5" max="5" width="15.7109375" style="11" customWidth="1"/>
    <col min="6" max="6" width="14.5703125" style="11" customWidth="1"/>
    <col min="7" max="7" width="15.28515625" style="11" bestFit="1" customWidth="1"/>
    <col min="8" max="252" width="7.85546875" style="11" customWidth="1"/>
    <col min="253" max="16384" width="6.85546875" style="11"/>
  </cols>
  <sheetData>
    <row r="1" spans="1:7" ht="15.75" x14ac:dyDescent="0.2">
      <c r="D1" s="999" t="s">
        <v>62</v>
      </c>
      <c r="E1" s="1000"/>
      <c r="F1" s="1000"/>
      <c r="G1" s="1000"/>
    </row>
    <row r="2" spans="1:7" ht="15.75" x14ac:dyDescent="0.2">
      <c r="C2" s="12"/>
      <c r="D2" s="999" t="s">
        <v>1389</v>
      </c>
      <c r="E2" s="1001"/>
      <c r="F2" s="1001"/>
      <c r="G2" s="1001"/>
    </row>
    <row r="3" spans="1:7" ht="6" customHeight="1" x14ac:dyDescent="0.2">
      <c r="C3" s="12"/>
      <c r="D3" s="999"/>
      <c r="E3" s="1001"/>
      <c r="F3" s="1001"/>
      <c r="G3" s="1001"/>
    </row>
    <row r="4" spans="1:7" ht="12.75" customHeight="1" x14ac:dyDescent="0.2">
      <c r="A4" s="1002"/>
      <c r="B4" s="1002"/>
      <c r="C4" s="1002"/>
      <c r="D4" s="1002"/>
      <c r="E4" s="1002"/>
    </row>
    <row r="5" spans="1:7" ht="20.25" x14ac:dyDescent="0.2">
      <c r="A5" s="1002" t="s">
        <v>614</v>
      </c>
      <c r="B5" s="1003"/>
      <c r="C5" s="1003"/>
      <c r="D5" s="1003"/>
      <c r="E5" s="1003"/>
      <c r="F5" s="1003"/>
    </row>
    <row r="6" spans="1:7" ht="20.25" x14ac:dyDescent="0.2">
      <c r="A6" s="913"/>
      <c r="B6" s="80" t="s">
        <v>631</v>
      </c>
      <c r="C6" s="913"/>
      <c r="D6" s="913"/>
      <c r="E6" s="913"/>
    </row>
    <row r="7" spans="1:7" ht="13.5" thickBot="1" x14ac:dyDescent="0.25">
      <c r="B7" s="751"/>
      <c r="C7" s="751"/>
      <c r="D7" s="751"/>
      <c r="E7" s="751"/>
      <c r="F7" s="751" t="s">
        <v>63</v>
      </c>
    </row>
    <row r="8" spans="1:7" ht="14.25" thickTop="1" thickBot="1" x14ac:dyDescent="0.25">
      <c r="A8" s="998" t="s">
        <v>64</v>
      </c>
      <c r="B8" s="998" t="s">
        <v>65</v>
      </c>
      <c r="C8" s="998" t="s">
        <v>410</v>
      </c>
      <c r="D8" s="998" t="s">
        <v>12</v>
      </c>
      <c r="E8" s="998" t="s">
        <v>57</v>
      </c>
      <c r="F8" s="998"/>
      <c r="G8" s="13"/>
    </row>
    <row r="9" spans="1:7" ht="39.75" thickTop="1" thickBot="1" x14ac:dyDescent="0.3">
      <c r="A9" s="998"/>
      <c r="B9" s="998"/>
      <c r="C9" s="998"/>
      <c r="D9" s="998"/>
      <c r="E9" s="914" t="s">
        <v>410</v>
      </c>
      <c r="F9" s="914" t="s">
        <v>454</v>
      </c>
      <c r="G9" s="14"/>
    </row>
    <row r="10" spans="1:7" ht="16.5" thickTop="1" thickBot="1" x14ac:dyDescent="0.3">
      <c r="A10" s="914">
        <v>1</v>
      </c>
      <c r="B10" s="914">
        <v>2</v>
      </c>
      <c r="C10" s="914">
        <v>3</v>
      </c>
      <c r="D10" s="914">
        <v>4</v>
      </c>
      <c r="E10" s="914">
        <v>5</v>
      </c>
      <c r="F10" s="914">
        <v>6</v>
      </c>
      <c r="G10" s="14"/>
    </row>
    <row r="11" spans="1:7" ht="25.5" customHeight="1" thickTop="1" thickBot="1" x14ac:dyDescent="0.25">
      <c r="A11" s="774">
        <v>10000000</v>
      </c>
      <c r="B11" s="774" t="s">
        <v>66</v>
      </c>
      <c r="C11" s="775">
        <f t="shared" ref="C11:C74" si="0">SUM(D11,E11)</f>
        <v>2276535678</v>
      </c>
      <c r="D11" s="775">
        <f>SUM(D12,D25,D31,D50,D20)</f>
        <v>2275904778</v>
      </c>
      <c r="E11" s="775">
        <f>SUM(E12,E25,E31,E50,E20)</f>
        <v>630900</v>
      </c>
      <c r="F11" s="775">
        <f>SUM(F12,F25,F31,F50,F20)</f>
        <v>0</v>
      </c>
      <c r="G11" s="15"/>
    </row>
    <row r="12" spans="1:7" ht="31.5" customHeight="1" thickTop="1" thickBot="1" x14ac:dyDescent="0.25">
      <c r="A12" s="914">
        <v>11000000</v>
      </c>
      <c r="B12" s="914" t="s">
        <v>67</v>
      </c>
      <c r="C12" s="942">
        <f t="shared" si="0"/>
        <v>1534000028</v>
      </c>
      <c r="D12" s="942">
        <f>SUM(D13,D18)</f>
        <v>1534000028</v>
      </c>
      <c r="E12" s="942"/>
      <c r="F12" s="942"/>
      <c r="G12" s="16"/>
    </row>
    <row r="13" spans="1:7" ht="24.75" customHeight="1" thickTop="1" thickBot="1" x14ac:dyDescent="0.25">
      <c r="A13" s="943">
        <v>11010000</v>
      </c>
      <c r="B13" s="944" t="s">
        <v>68</v>
      </c>
      <c r="C13" s="945">
        <f t="shared" si="0"/>
        <v>1533000028</v>
      </c>
      <c r="D13" s="945">
        <f>SUM(D14:D17)</f>
        <v>1533000028</v>
      </c>
      <c r="E13" s="945"/>
      <c r="F13" s="945"/>
      <c r="G13" s="16"/>
    </row>
    <row r="14" spans="1:7" ht="39.75" thickTop="1" thickBot="1" x14ac:dyDescent="0.25">
      <c r="A14" s="946">
        <v>11010100</v>
      </c>
      <c r="B14" s="947" t="s">
        <v>69</v>
      </c>
      <c r="C14" s="942">
        <f t="shared" si="0"/>
        <v>1274804070</v>
      </c>
      <c r="D14" s="948">
        <v>1274804070</v>
      </c>
      <c r="E14" s="948"/>
      <c r="F14" s="948"/>
      <c r="G14" s="16"/>
    </row>
    <row r="15" spans="1:7" ht="65.25" thickTop="1" thickBot="1" x14ac:dyDescent="0.25">
      <c r="A15" s="946">
        <v>11010200</v>
      </c>
      <c r="B15" s="947" t="s">
        <v>70</v>
      </c>
      <c r="C15" s="942">
        <f t="shared" si="0"/>
        <v>202378000</v>
      </c>
      <c r="D15" s="948">
        <v>202378000</v>
      </c>
      <c r="E15" s="948"/>
      <c r="F15" s="948"/>
      <c r="G15" s="16"/>
    </row>
    <row r="16" spans="1:7" ht="39.75" thickTop="1" thickBot="1" x14ac:dyDescent="0.25">
      <c r="A16" s="946">
        <v>11010400</v>
      </c>
      <c r="B16" s="947" t="s">
        <v>71</v>
      </c>
      <c r="C16" s="942">
        <f t="shared" si="0"/>
        <v>33686300</v>
      </c>
      <c r="D16" s="948">
        <v>33686300</v>
      </c>
      <c r="E16" s="948"/>
      <c r="F16" s="948"/>
      <c r="G16" s="16"/>
    </row>
    <row r="17" spans="1:7" ht="39.75" thickTop="1" thickBot="1" x14ac:dyDescent="0.3">
      <c r="A17" s="946">
        <v>11010500</v>
      </c>
      <c r="B17" s="947" t="s">
        <v>72</v>
      </c>
      <c r="C17" s="942">
        <f t="shared" si="0"/>
        <v>22131658</v>
      </c>
      <c r="D17" s="948">
        <v>22131658</v>
      </c>
      <c r="E17" s="948"/>
      <c r="F17" s="948"/>
      <c r="G17" s="14"/>
    </row>
    <row r="18" spans="1:7" ht="28.5" customHeight="1" thickTop="1" thickBot="1" x14ac:dyDescent="0.25">
      <c r="A18" s="943">
        <v>11020000</v>
      </c>
      <c r="B18" s="944" t="s">
        <v>73</v>
      </c>
      <c r="C18" s="945">
        <f>SUM(D18,E18)</f>
        <v>1000000</v>
      </c>
      <c r="D18" s="949">
        <f>D19</f>
        <v>1000000</v>
      </c>
      <c r="E18" s="949"/>
      <c r="F18" s="949"/>
      <c r="G18" s="15"/>
    </row>
    <row r="19" spans="1:7" ht="27" thickTop="1" thickBot="1" x14ac:dyDescent="0.3">
      <c r="A19" s="946">
        <v>11020200</v>
      </c>
      <c r="B19" s="950" t="s">
        <v>74</v>
      </c>
      <c r="C19" s="942">
        <f>SUM(D19,E19)</f>
        <v>1000000</v>
      </c>
      <c r="D19" s="948">
        <v>1000000</v>
      </c>
      <c r="E19" s="951"/>
      <c r="F19" s="948"/>
      <c r="G19" s="14"/>
    </row>
    <row r="20" spans="1:7" ht="27" thickTop="1" thickBot="1" x14ac:dyDescent="0.3">
      <c r="A20" s="914">
        <v>13000000</v>
      </c>
      <c r="B20" s="952" t="s">
        <v>615</v>
      </c>
      <c r="C20" s="942">
        <f>D20+E20</f>
        <v>1053000</v>
      </c>
      <c r="D20" s="942">
        <f>SUM(D21,D23)</f>
        <v>1053000</v>
      </c>
      <c r="E20" s="951"/>
      <c r="F20" s="948"/>
      <c r="G20" s="14"/>
    </row>
    <row r="21" spans="1:7" ht="28.5" thickTop="1" thickBot="1" x14ac:dyDescent="0.3">
      <c r="A21" s="943">
        <v>13010000</v>
      </c>
      <c r="B21" s="953" t="s">
        <v>616</v>
      </c>
      <c r="C21" s="945">
        <f>D21+E21</f>
        <v>1052400</v>
      </c>
      <c r="D21" s="945">
        <f>SUM(D22)</f>
        <v>1052400</v>
      </c>
      <c r="E21" s="949"/>
      <c r="F21" s="945"/>
      <c r="G21" s="14"/>
    </row>
    <row r="22" spans="1:7" ht="65.25" thickTop="1" thickBot="1" x14ac:dyDescent="0.3">
      <c r="A22" s="946">
        <v>13010200</v>
      </c>
      <c r="B22" s="954" t="s">
        <v>617</v>
      </c>
      <c r="C22" s="942">
        <f t="shared" ref="C22:C25" si="1">D22+E22</f>
        <v>1052400</v>
      </c>
      <c r="D22" s="948">
        <v>1052400</v>
      </c>
      <c r="E22" s="951"/>
      <c r="F22" s="948"/>
      <c r="G22" s="14"/>
    </row>
    <row r="23" spans="1:7" ht="16.5" thickTop="1" thickBot="1" x14ac:dyDescent="0.3">
      <c r="A23" s="943">
        <v>13030000</v>
      </c>
      <c r="B23" s="955" t="s">
        <v>618</v>
      </c>
      <c r="C23" s="945">
        <f>D23+E23</f>
        <v>600</v>
      </c>
      <c r="D23" s="945">
        <f>SUM(D24)</f>
        <v>600</v>
      </c>
      <c r="E23" s="949"/>
      <c r="F23" s="945"/>
      <c r="G23" s="14"/>
    </row>
    <row r="24" spans="1:7" ht="39.75" thickTop="1" thickBot="1" x14ac:dyDescent="0.3">
      <c r="A24" s="946">
        <v>13030100</v>
      </c>
      <c r="B24" s="954" t="s">
        <v>619</v>
      </c>
      <c r="C24" s="942">
        <f t="shared" si="1"/>
        <v>600</v>
      </c>
      <c r="D24" s="948">
        <v>600</v>
      </c>
      <c r="E24" s="951"/>
      <c r="F24" s="948"/>
      <c r="G24" s="14"/>
    </row>
    <row r="25" spans="1:7" ht="26.25" customHeight="1" thickTop="1" thickBot="1" x14ac:dyDescent="0.3">
      <c r="A25" s="914">
        <v>14000000</v>
      </c>
      <c r="B25" s="952" t="s">
        <v>622</v>
      </c>
      <c r="C25" s="942">
        <f t="shared" si="1"/>
        <v>162376900</v>
      </c>
      <c r="D25" s="942">
        <f>SUM(D26,D28,D30)</f>
        <v>162376900</v>
      </c>
      <c r="E25" s="956"/>
      <c r="F25" s="948"/>
      <c r="G25" s="14"/>
    </row>
    <row r="26" spans="1:7" ht="30" customHeight="1" thickTop="1" thickBot="1" x14ac:dyDescent="0.3">
      <c r="A26" s="943">
        <v>14020000</v>
      </c>
      <c r="B26" s="953" t="s">
        <v>775</v>
      </c>
      <c r="C26" s="945">
        <f>SUM(D26,E26)</f>
        <v>17500000</v>
      </c>
      <c r="D26" s="945">
        <f>SUM(D27,E27)</f>
        <v>17500000</v>
      </c>
      <c r="E26" s="949"/>
      <c r="F26" s="957"/>
      <c r="G26" s="14"/>
    </row>
    <row r="27" spans="1:7" ht="16.5" thickTop="1" thickBot="1" x14ac:dyDescent="0.3">
      <c r="A27" s="946">
        <v>14021900</v>
      </c>
      <c r="B27" s="950" t="s">
        <v>774</v>
      </c>
      <c r="C27" s="948">
        <f>SUM(D27,E27)</f>
        <v>17500000</v>
      </c>
      <c r="D27" s="948">
        <v>17500000</v>
      </c>
      <c r="E27" s="956"/>
      <c r="F27" s="948"/>
      <c r="G27" s="14"/>
    </row>
    <row r="28" spans="1:7" ht="42" thickTop="1" thickBot="1" x14ac:dyDescent="0.3">
      <c r="A28" s="943">
        <v>14030000</v>
      </c>
      <c r="B28" s="953" t="s">
        <v>776</v>
      </c>
      <c r="C28" s="945">
        <f>SUM(D28,E28)</f>
        <v>65500000</v>
      </c>
      <c r="D28" s="945">
        <f>SUM(D29,E29)</f>
        <v>65500000</v>
      </c>
      <c r="E28" s="949"/>
      <c r="F28" s="957"/>
      <c r="G28" s="14"/>
    </row>
    <row r="29" spans="1:7" ht="16.5" thickTop="1" thickBot="1" x14ac:dyDescent="0.3">
      <c r="A29" s="946">
        <v>14031900</v>
      </c>
      <c r="B29" s="950" t="s">
        <v>774</v>
      </c>
      <c r="C29" s="948">
        <f>SUM(D29,E29)</f>
        <v>65500000</v>
      </c>
      <c r="D29" s="948">
        <v>65500000</v>
      </c>
      <c r="E29" s="956"/>
      <c r="F29" s="948"/>
      <c r="G29" s="14"/>
    </row>
    <row r="30" spans="1:7" ht="42" thickTop="1" thickBot="1" x14ac:dyDescent="0.25">
      <c r="A30" s="943">
        <v>14040000</v>
      </c>
      <c r="B30" s="944" t="s">
        <v>1390</v>
      </c>
      <c r="C30" s="945">
        <f>SUM(D30,E30)</f>
        <v>79376900</v>
      </c>
      <c r="D30" s="945">
        <v>79376900</v>
      </c>
      <c r="E30" s="957"/>
      <c r="F30" s="957"/>
      <c r="G30" s="17"/>
    </row>
    <row r="31" spans="1:7" ht="29.25" customHeight="1" thickTop="1" thickBot="1" x14ac:dyDescent="0.3">
      <c r="A31" s="914">
        <v>18000000</v>
      </c>
      <c r="B31" s="914" t="s">
        <v>75</v>
      </c>
      <c r="C31" s="942">
        <f t="shared" si="0"/>
        <v>578474850</v>
      </c>
      <c r="D31" s="942">
        <f>SUM(D32,D43,D46)</f>
        <v>578474850</v>
      </c>
      <c r="E31" s="942"/>
      <c r="F31" s="942"/>
      <c r="G31" s="14"/>
    </row>
    <row r="32" spans="1:7" ht="16.5" thickTop="1" thickBot="1" x14ac:dyDescent="0.3">
      <c r="A32" s="943">
        <v>18010000</v>
      </c>
      <c r="B32" s="958" t="s">
        <v>76</v>
      </c>
      <c r="C32" s="945">
        <f>SUM(D32,E32)</f>
        <v>208416150</v>
      </c>
      <c r="D32" s="945">
        <f>SUM(D33:D42)</f>
        <v>208416150</v>
      </c>
      <c r="E32" s="945"/>
      <c r="F32" s="945"/>
      <c r="G32" s="14"/>
    </row>
    <row r="33" spans="1:7" ht="52.5" thickTop="1" thickBot="1" x14ac:dyDescent="0.3">
      <c r="A33" s="946">
        <v>18010100</v>
      </c>
      <c r="B33" s="959" t="s">
        <v>77</v>
      </c>
      <c r="C33" s="942">
        <f t="shared" si="0"/>
        <v>253400</v>
      </c>
      <c r="D33" s="948">
        <v>253400</v>
      </c>
      <c r="E33" s="948"/>
      <c r="F33" s="948"/>
      <c r="G33" s="14"/>
    </row>
    <row r="34" spans="1:7" ht="52.5" thickTop="1" thickBot="1" x14ac:dyDescent="0.3">
      <c r="A34" s="946">
        <v>18010200</v>
      </c>
      <c r="B34" s="959" t="s">
        <v>78</v>
      </c>
      <c r="C34" s="942">
        <f t="shared" si="0"/>
        <v>14364650</v>
      </c>
      <c r="D34" s="948">
        <v>14364650</v>
      </c>
      <c r="E34" s="948"/>
      <c r="F34" s="948"/>
      <c r="G34" s="14"/>
    </row>
    <row r="35" spans="1:7" ht="52.5" thickTop="1" thickBot="1" x14ac:dyDescent="0.3">
      <c r="A35" s="946">
        <v>18010300</v>
      </c>
      <c r="B35" s="959" t="s">
        <v>79</v>
      </c>
      <c r="C35" s="942">
        <f t="shared" si="0"/>
        <v>2316000</v>
      </c>
      <c r="D35" s="948">
        <v>2316000</v>
      </c>
      <c r="E35" s="948"/>
      <c r="F35" s="948"/>
      <c r="G35" s="14"/>
    </row>
    <row r="36" spans="1:7" ht="52.5" thickTop="1" thickBot="1" x14ac:dyDescent="0.3">
      <c r="A36" s="946">
        <v>18010400</v>
      </c>
      <c r="B36" s="959" t="s">
        <v>80</v>
      </c>
      <c r="C36" s="942">
        <f t="shared" si="0"/>
        <v>12860800</v>
      </c>
      <c r="D36" s="948">
        <v>12860800</v>
      </c>
      <c r="E36" s="948"/>
      <c r="F36" s="948"/>
      <c r="G36" s="14"/>
    </row>
    <row r="37" spans="1:7" ht="16.5" thickTop="1" thickBot="1" x14ac:dyDescent="0.3">
      <c r="A37" s="946">
        <v>18010500</v>
      </c>
      <c r="B37" s="950" t="s">
        <v>81</v>
      </c>
      <c r="C37" s="942">
        <f t="shared" si="0"/>
        <v>38400000</v>
      </c>
      <c r="D37" s="948">
        <v>38400000</v>
      </c>
      <c r="E37" s="948"/>
      <c r="F37" s="948"/>
      <c r="G37" s="14"/>
    </row>
    <row r="38" spans="1:7" ht="16.5" thickTop="1" thickBot="1" x14ac:dyDescent="0.3">
      <c r="A38" s="946">
        <v>18010600</v>
      </c>
      <c r="B38" s="959" t="s">
        <v>82</v>
      </c>
      <c r="C38" s="942">
        <f t="shared" si="0"/>
        <v>107104000</v>
      </c>
      <c r="D38" s="948">
        <v>107104000</v>
      </c>
      <c r="E38" s="948"/>
      <c r="F38" s="948"/>
      <c r="G38" s="14"/>
    </row>
    <row r="39" spans="1:7" ht="16.5" thickTop="1" thickBot="1" x14ac:dyDescent="0.3">
      <c r="A39" s="946">
        <v>18010700</v>
      </c>
      <c r="B39" s="959" t="s">
        <v>83</v>
      </c>
      <c r="C39" s="942">
        <f t="shared" si="0"/>
        <v>2433200</v>
      </c>
      <c r="D39" s="948">
        <v>2433200</v>
      </c>
      <c r="E39" s="948"/>
      <c r="F39" s="948"/>
      <c r="G39" s="14"/>
    </row>
    <row r="40" spans="1:7" ht="16.5" thickTop="1" thickBot="1" x14ac:dyDescent="0.3">
      <c r="A40" s="946">
        <v>18010900</v>
      </c>
      <c r="B40" s="959" t="s">
        <v>84</v>
      </c>
      <c r="C40" s="942">
        <f t="shared" si="0"/>
        <v>29984100</v>
      </c>
      <c r="D40" s="948">
        <v>29984100</v>
      </c>
      <c r="E40" s="948"/>
      <c r="F40" s="948"/>
      <c r="G40" s="14"/>
    </row>
    <row r="41" spans="1:7" ht="15.75" thickTop="1" thickBot="1" x14ac:dyDescent="0.25">
      <c r="A41" s="946">
        <v>18011000</v>
      </c>
      <c r="B41" s="959" t="s">
        <v>85</v>
      </c>
      <c r="C41" s="942">
        <f t="shared" si="0"/>
        <v>400000</v>
      </c>
      <c r="D41" s="948">
        <v>400000</v>
      </c>
      <c r="E41" s="948"/>
      <c r="F41" s="948"/>
      <c r="G41" s="15"/>
    </row>
    <row r="42" spans="1:7" ht="16.5" thickTop="1" thickBot="1" x14ac:dyDescent="0.3">
      <c r="A42" s="946">
        <v>18011100</v>
      </c>
      <c r="B42" s="959" t="s">
        <v>86</v>
      </c>
      <c r="C42" s="942">
        <f t="shared" si="0"/>
        <v>300000</v>
      </c>
      <c r="D42" s="948">
        <v>300000</v>
      </c>
      <c r="E42" s="948"/>
      <c r="F42" s="948"/>
      <c r="G42" s="14"/>
    </row>
    <row r="43" spans="1:7" ht="16.5" thickTop="1" thickBot="1" x14ac:dyDescent="0.3">
      <c r="A43" s="943">
        <v>18030000</v>
      </c>
      <c r="B43" s="958" t="s">
        <v>87</v>
      </c>
      <c r="C43" s="945">
        <f>SUM(D43,E43)</f>
        <v>620000</v>
      </c>
      <c r="D43" s="945">
        <f>SUM(D44:D45)</f>
        <v>620000</v>
      </c>
      <c r="E43" s="945"/>
      <c r="F43" s="945"/>
      <c r="G43" s="14"/>
    </row>
    <row r="44" spans="1:7" ht="27" thickTop="1" thickBot="1" x14ac:dyDescent="0.3">
      <c r="A44" s="946">
        <v>18030100</v>
      </c>
      <c r="B44" s="959" t="s">
        <v>88</v>
      </c>
      <c r="C44" s="942">
        <f>SUM(D44,E44)</f>
        <v>385000</v>
      </c>
      <c r="D44" s="948">
        <v>385000</v>
      </c>
      <c r="E44" s="948"/>
      <c r="F44" s="948"/>
      <c r="G44" s="14"/>
    </row>
    <row r="45" spans="1:7" ht="27" thickTop="1" thickBot="1" x14ac:dyDescent="0.3">
      <c r="A45" s="946">
        <v>18030200</v>
      </c>
      <c r="B45" s="959" t="s">
        <v>89</v>
      </c>
      <c r="C45" s="942">
        <f>SUM(D45,E45)</f>
        <v>235000</v>
      </c>
      <c r="D45" s="948">
        <v>235000</v>
      </c>
      <c r="E45" s="948"/>
      <c r="F45" s="948"/>
      <c r="G45" s="14"/>
    </row>
    <row r="46" spans="1:7" ht="16.5" thickTop="1" thickBot="1" x14ac:dyDescent="0.3">
      <c r="A46" s="943">
        <v>18050000</v>
      </c>
      <c r="B46" s="958" t="s">
        <v>90</v>
      </c>
      <c r="C46" s="945">
        <f>SUM(D46,E46)</f>
        <v>369438700</v>
      </c>
      <c r="D46" s="945">
        <f>SUM(D47:D49)</f>
        <v>369438700</v>
      </c>
      <c r="E46" s="957"/>
      <c r="F46" s="957"/>
      <c r="G46" s="14"/>
    </row>
    <row r="47" spans="1:7" ht="16.5" thickTop="1" thickBot="1" x14ac:dyDescent="0.3">
      <c r="A47" s="946">
        <v>18050300</v>
      </c>
      <c r="B47" s="947" t="s">
        <v>1391</v>
      </c>
      <c r="C47" s="942">
        <f t="shared" si="0"/>
        <v>65570000</v>
      </c>
      <c r="D47" s="948">
        <v>65570000</v>
      </c>
      <c r="E47" s="948"/>
      <c r="F47" s="948"/>
      <c r="G47" s="14"/>
    </row>
    <row r="48" spans="1:7" ht="15.75" thickTop="1" thickBot="1" x14ac:dyDescent="0.25">
      <c r="A48" s="946">
        <v>18050400</v>
      </c>
      <c r="B48" s="959" t="s">
        <v>91</v>
      </c>
      <c r="C48" s="942">
        <f t="shared" si="0"/>
        <v>299857530</v>
      </c>
      <c r="D48" s="948">
        <v>299857530</v>
      </c>
      <c r="E48" s="948"/>
      <c r="F48" s="948"/>
      <c r="G48" s="15"/>
    </row>
    <row r="49" spans="1:7" ht="65.25" thickTop="1" thickBot="1" x14ac:dyDescent="0.25">
      <c r="A49" s="946">
        <v>18050500</v>
      </c>
      <c r="B49" s="959" t="s">
        <v>630</v>
      </c>
      <c r="C49" s="942">
        <f t="shared" si="0"/>
        <v>4011170</v>
      </c>
      <c r="D49" s="948">
        <v>4011170</v>
      </c>
      <c r="E49" s="948"/>
      <c r="F49" s="948"/>
      <c r="G49" s="152"/>
    </row>
    <row r="50" spans="1:7" ht="31.5" customHeight="1" thickTop="1" thickBot="1" x14ac:dyDescent="0.25">
      <c r="A50" s="914">
        <v>19000000</v>
      </c>
      <c r="B50" s="960" t="s">
        <v>623</v>
      </c>
      <c r="C50" s="942">
        <f t="shared" si="0"/>
        <v>630900</v>
      </c>
      <c r="D50" s="942"/>
      <c r="E50" s="942">
        <f>SUM(E52:E54)</f>
        <v>630900</v>
      </c>
      <c r="F50" s="948"/>
      <c r="G50" s="15"/>
    </row>
    <row r="51" spans="1:7" ht="16.5" thickTop="1" thickBot="1" x14ac:dyDescent="0.3">
      <c r="A51" s="943">
        <v>1901000</v>
      </c>
      <c r="B51" s="944" t="s">
        <v>92</v>
      </c>
      <c r="C51" s="945">
        <f t="shared" si="0"/>
        <v>630900</v>
      </c>
      <c r="D51" s="945">
        <f>SUM(D52:D54)</f>
        <v>0</v>
      </c>
      <c r="E51" s="945">
        <f>SUM(E52:E54)</f>
        <v>630900</v>
      </c>
      <c r="F51" s="945"/>
      <c r="G51" s="14"/>
    </row>
    <row r="52" spans="1:7" ht="52.5" thickTop="1" thickBot="1" x14ac:dyDescent="0.3">
      <c r="A52" s="946">
        <v>19010100</v>
      </c>
      <c r="B52" s="947" t="s">
        <v>624</v>
      </c>
      <c r="C52" s="942">
        <f t="shared" si="0"/>
        <v>255750</v>
      </c>
      <c r="D52" s="948"/>
      <c r="E52" s="948">
        <v>255750</v>
      </c>
      <c r="F52" s="948"/>
      <c r="G52" s="14"/>
    </row>
    <row r="53" spans="1:7" ht="27" thickTop="1" thickBot="1" x14ac:dyDescent="0.25">
      <c r="A53" s="946">
        <v>19010200</v>
      </c>
      <c r="B53" s="947" t="s">
        <v>93</v>
      </c>
      <c r="C53" s="942">
        <f t="shared" si="0"/>
        <v>120000</v>
      </c>
      <c r="D53" s="948"/>
      <c r="E53" s="948">
        <v>120000</v>
      </c>
      <c r="F53" s="948"/>
      <c r="G53" s="17"/>
    </row>
    <row r="54" spans="1:7" ht="52.5" thickTop="1" thickBot="1" x14ac:dyDescent="0.3">
      <c r="A54" s="946">
        <v>19010300</v>
      </c>
      <c r="B54" s="947" t="s">
        <v>94</v>
      </c>
      <c r="C54" s="942">
        <f t="shared" si="0"/>
        <v>255150</v>
      </c>
      <c r="D54" s="948"/>
      <c r="E54" s="948">
        <v>255150</v>
      </c>
      <c r="F54" s="948"/>
      <c r="G54" s="14"/>
    </row>
    <row r="55" spans="1:7" ht="30" customHeight="1" thickTop="1" thickBot="1" x14ac:dyDescent="0.3">
      <c r="A55" s="774">
        <v>20000000</v>
      </c>
      <c r="B55" s="774" t="s">
        <v>95</v>
      </c>
      <c r="C55" s="775">
        <f t="shared" si="0"/>
        <v>211503035</v>
      </c>
      <c r="D55" s="775">
        <f>SUM(D56,D64,D74,D79)</f>
        <v>49227964</v>
      </c>
      <c r="E55" s="775">
        <f>SUM(E56,E64,E74,E79)</f>
        <v>162275071</v>
      </c>
      <c r="F55" s="775">
        <f>SUM(F56,F64,F74,F79)</f>
        <v>5000012</v>
      </c>
      <c r="G55" s="14"/>
    </row>
    <row r="56" spans="1:7" ht="27" thickTop="1" thickBot="1" x14ac:dyDescent="0.3">
      <c r="A56" s="914">
        <v>21000000</v>
      </c>
      <c r="B56" s="914" t="s">
        <v>625</v>
      </c>
      <c r="C56" s="942">
        <f t="shared" si="0"/>
        <v>13876004</v>
      </c>
      <c r="D56" s="942">
        <f>SUM(D57,D60,D59)</f>
        <v>13876004</v>
      </c>
      <c r="E56" s="942"/>
      <c r="F56" s="942"/>
      <c r="G56" s="14"/>
    </row>
    <row r="57" spans="1:7" ht="55.5" thickTop="1" thickBot="1" x14ac:dyDescent="0.3">
      <c r="A57" s="943">
        <v>21010000</v>
      </c>
      <c r="B57" s="953" t="s">
        <v>626</v>
      </c>
      <c r="C57" s="945">
        <f t="shared" si="0"/>
        <v>568800</v>
      </c>
      <c r="D57" s="945">
        <f>D58</f>
        <v>568800</v>
      </c>
      <c r="E57" s="945"/>
      <c r="F57" s="945"/>
      <c r="G57" s="14"/>
    </row>
    <row r="58" spans="1:7" ht="52.5" thickTop="1" thickBot="1" x14ac:dyDescent="0.3">
      <c r="A58" s="946">
        <v>21010300</v>
      </c>
      <c r="B58" s="950" t="s">
        <v>96</v>
      </c>
      <c r="C58" s="942">
        <f t="shared" si="0"/>
        <v>568800</v>
      </c>
      <c r="D58" s="948">
        <v>568800</v>
      </c>
      <c r="E58" s="948"/>
      <c r="F58" s="948"/>
      <c r="G58" s="14"/>
    </row>
    <row r="59" spans="1:7" ht="28.5" thickTop="1" thickBot="1" x14ac:dyDescent="0.3">
      <c r="A59" s="943">
        <v>21050000</v>
      </c>
      <c r="B59" s="953" t="s">
        <v>97</v>
      </c>
      <c r="C59" s="945">
        <f t="shared" si="0"/>
        <v>2500000</v>
      </c>
      <c r="D59" s="945">
        <v>2500000</v>
      </c>
      <c r="E59" s="945"/>
      <c r="F59" s="945"/>
      <c r="G59" s="14"/>
    </row>
    <row r="60" spans="1:7" ht="15" thickTop="1" thickBot="1" x14ac:dyDescent="0.25">
      <c r="A60" s="943">
        <v>21080000</v>
      </c>
      <c r="B60" s="953" t="s">
        <v>1392</v>
      </c>
      <c r="C60" s="945">
        <f t="shared" si="0"/>
        <v>10807204</v>
      </c>
      <c r="D60" s="949">
        <f>SUM(D61:D63)</f>
        <v>10807204</v>
      </c>
      <c r="E60" s="945"/>
      <c r="F60" s="945"/>
      <c r="G60" s="17"/>
    </row>
    <row r="61" spans="1:7" ht="16.5" thickTop="1" thickBot="1" x14ac:dyDescent="0.3">
      <c r="A61" s="946">
        <v>21081100</v>
      </c>
      <c r="B61" s="961" t="s">
        <v>98</v>
      </c>
      <c r="C61" s="942">
        <f t="shared" si="0"/>
        <v>507204</v>
      </c>
      <c r="D61" s="951">
        <v>507204</v>
      </c>
      <c r="E61" s="948"/>
      <c r="F61" s="948"/>
      <c r="G61" s="14"/>
    </row>
    <row r="62" spans="1:7" ht="52.5" thickTop="1" thickBot="1" x14ac:dyDescent="0.3">
      <c r="A62" s="946">
        <v>21081500</v>
      </c>
      <c r="B62" s="947" t="s">
        <v>99</v>
      </c>
      <c r="C62" s="942">
        <f t="shared" si="0"/>
        <v>800000</v>
      </c>
      <c r="D62" s="951">
        <v>800000</v>
      </c>
      <c r="E62" s="948"/>
      <c r="F62" s="948"/>
      <c r="G62" s="14"/>
    </row>
    <row r="63" spans="1:7" ht="16.5" thickTop="1" thickBot="1" x14ac:dyDescent="0.3">
      <c r="A63" s="946">
        <v>21081700</v>
      </c>
      <c r="B63" s="947" t="s">
        <v>401</v>
      </c>
      <c r="C63" s="942">
        <f t="shared" si="0"/>
        <v>9500000</v>
      </c>
      <c r="D63" s="951">
        <v>9500000</v>
      </c>
      <c r="E63" s="948"/>
      <c r="F63" s="948"/>
      <c r="G63" s="49"/>
    </row>
    <row r="64" spans="1:7" ht="27" thickTop="1" thickBot="1" x14ac:dyDescent="0.3">
      <c r="A64" s="914">
        <v>22000000</v>
      </c>
      <c r="B64" s="914" t="s">
        <v>100</v>
      </c>
      <c r="C64" s="942">
        <f t="shared" si="0"/>
        <v>28391960</v>
      </c>
      <c r="D64" s="942">
        <f>SUM(D65,D69,D71)</f>
        <v>28391960</v>
      </c>
      <c r="E64" s="948"/>
      <c r="F64" s="948"/>
      <c r="G64" s="14"/>
    </row>
    <row r="65" spans="1:7" ht="24.75" customHeight="1" thickTop="1" thickBot="1" x14ac:dyDescent="0.3">
      <c r="A65" s="943">
        <v>22010000</v>
      </c>
      <c r="B65" s="944" t="s">
        <v>627</v>
      </c>
      <c r="C65" s="945">
        <f t="shared" si="0"/>
        <v>19380100</v>
      </c>
      <c r="D65" s="945">
        <f>SUM(D66:D68)</f>
        <v>19380100</v>
      </c>
      <c r="E65" s="945"/>
      <c r="F65" s="945"/>
      <c r="G65" s="14"/>
    </row>
    <row r="66" spans="1:7" ht="39.75" thickTop="1" thickBot="1" x14ac:dyDescent="0.3">
      <c r="A66" s="946">
        <v>22010300</v>
      </c>
      <c r="B66" s="947" t="s">
        <v>161</v>
      </c>
      <c r="C66" s="942">
        <f t="shared" si="0"/>
        <v>1000000</v>
      </c>
      <c r="D66" s="948">
        <v>1000000</v>
      </c>
      <c r="E66" s="948"/>
      <c r="F66" s="948"/>
      <c r="G66" s="14"/>
    </row>
    <row r="67" spans="1:7" ht="16.5" thickTop="1" thickBot="1" x14ac:dyDescent="0.3">
      <c r="A67" s="946">
        <v>22012500</v>
      </c>
      <c r="B67" s="947" t="s">
        <v>102</v>
      </c>
      <c r="C67" s="942">
        <f t="shared" si="0"/>
        <v>16852400</v>
      </c>
      <c r="D67" s="948">
        <v>16852400</v>
      </c>
      <c r="E67" s="948"/>
      <c r="F67" s="948"/>
      <c r="G67" s="14"/>
    </row>
    <row r="68" spans="1:7" ht="27" thickTop="1" thickBot="1" x14ac:dyDescent="0.3">
      <c r="A68" s="946">
        <v>22012600</v>
      </c>
      <c r="B68" s="947" t="s">
        <v>101</v>
      </c>
      <c r="C68" s="942">
        <f>SUM(D68,E68)</f>
        <v>1527700</v>
      </c>
      <c r="D68" s="948">
        <v>1527700</v>
      </c>
      <c r="E68" s="948"/>
      <c r="F68" s="948"/>
      <c r="G68" s="14"/>
    </row>
    <row r="69" spans="1:7" ht="42" thickTop="1" thickBot="1" x14ac:dyDescent="0.3">
      <c r="A69" s="943">
        <v>2208000</v>
      </c>
      <c r="B69" s="944" t="s">
        <v>628</v>
      </c>
      <c r="C69" s="945">
        <f t="shared" si="0"/>
        <v>8500000</v>
      </c>
      <c r="D69" s="945">
        <v>8500000</v>
      </c>
      <c r="E69" s="945"/>
      <c r="F69" s="945"/>
      <c r="G69" s="14"/>
    </row>
    <row r="70" spans="1:7" ht="52.5" thickTop="1" thickBot="1" x14ac:dyDescent="0.3">
      <c r="A70" s="946">
        <v>22080400</v>
      </c>
      <c r="B70" s="961" t="s">
        <v>103</v>
      </c>
      <c r="C70" s="942">
        <f t="shared" si="0"/>
        <v>8500000</v>
      </c>
      <c r="D70" s="948">
        <v>8500000</v>
      </c>
      <c r="E70" s="948"/>
      <c r="F70" s="948"/>
      <c r="G70" s="14"/>
    </row>
    <row r="71" spans="1:7" ht="16.5" thickTop="1" thickBot="1" x14ac:dyDescent="0.3">
      <c r="A71" s="943">
        <v>22090000</v>
      </c>
      <c r="B71" s="962" t="s">
        <v>104</v>
      </c>
      <c r="C71" s="945">
        <f t="shared" si="0"/>
        <v>511860</v>
      </c>
      <c r="D71" s="945">
        <f>SUM(D72:D73)</f>
        <v>511860</v>
      </c>
      <c r="E71" s="945"/>
      <c r="F71" s="945"/>
      <c r="G71" s="14"/>
    </row>
    <row r="72" spans="1:7" ht="52.5" thickTop="1" thickBot="1" x14ac:dyDescent="0.3">
      <c r="A72" s="946">
        <v>22090100</v>
      </c>
      <c r="B72" s="959" t="s">
        <v>105</v>
      </c>
      <c r="C72" s="942">
        <f t="shared" si="0"/>
        <v>400260</v>
      </c>
      <c r="D72" s="948">
        <v>400260</v>
      </c>
      <c r="E72" s="948"/>
      <c r="F72" s="948"/>
      <c r="G72" s="14"/>
    </row>
    <row r="73" spans="1:7" ht="39.75" thickTop="1" thickBot="1" x14ac:dyDescent="0.25">
      <c r="A73" s="946">
        <v>22090400</v>
      </c>
      <c r="B73" s="959" t="s">
        <v>106</v>
      </c>
      <c r="C73" s="942">
        <f t="shared" si="0"/>
        <v>111600</v>
      </c>
      <c r="D73" s="948">
        <v>111600</v>
      </c>
      <c r="E73" s="948"/>
      <c r="F73" s="948"/>
      <c r="G73" s="16"/>
    </row>
    <row r="74" spans="1:7" ht="27" customHeight="1" thickTop="1" thickBot="1" x14ac:dyDescent="0.3">
      <c r="A74" s="914">
        <v>24000000</v>
      </c>
      <c r="B74" s="963" t="s">
        <v>107</v>
      </c>
      <c r="C74" s="942">
        <f t="shared" si="0"/>
        <v>11960012</v>
      </c>
      <c r="D74" s="956">
        <f>D75+D76+D78+D77</f>
        <v>6960000</v>
      </c>
      <c r="E74" s="956">
        <f>E75+E76+E78+E77</f>
        <v>5000012</v>
      </c>
      <c r="F74" s="956">
        <f>F75+F76+F78+F77</f>
        <v>5000012</v>
      </c>
      <c r="G74" s="14"/>
    </row>
    <row r="75" spans="1:7" ht="16.5" thickTop="1" thickBot="1" x14ac:dyDescent="0.3">
      <c r="A75" s="946">
        <v>24060300</v>
      </c>
      <c r="B75" s="947" t="s">
        <v>108</v>
      </c>
      <c r="C75" s="942">
        <f t="shared" ref="C75:C92" si="2">SUM(D75,E75)</f>
        <v>4500000</v>
      </c>
      <c r="D75" s="951">
        <v>4500000</v>
      </c>
      <c r="E75" s="951"/>
      <c r="F75" s="951"/>
      <c r="G75" s="14"/>
    </row>
    <row r="76" spans="1:7" ht="65.25" thickTop="1" thickBot="1" x14ac:dyDescent="0.3">
      <c r="A76" s="946">
        <v>24062200</v>
      </c>
      <c r="B76" s="947" t="s">
        <v>402</v>
      </c>
      <c r="C76" s="942">
        <f t="shared" si="2"/>
        <v>2460000</v>
      </c>
      <c r="D76" s="951">
        <v>2460000</v>
      </c>
      <c r="E76" s="951"/>
      <c r="F76" s="951"/>
      <c r="G76" s="14"/>
    </row>
    <row r="77" spans="1:7" ht="39.75" thickTop="1" thickBot="1" x14ac:dyDescent="0.3">
      <c r="A77" s="946">
        <v>24110700</v>
      </c>
      <c r="B77" s="964" t="s">
        <v>723</v>
      </c>
      <c r="C77" s="942">
        <f t="shared" si="2"/>
        <v>12</v>
      </c>
      <c r="D77" s="951"/>
      <c r="E77" s="951">
        <v>12</v>
      </c>
      <c r="F77" s="951">
        <v>12</v>
      </c>
      <c r="G77" s="14"/>
    </row>
    <row r="78" spans="1:7" ht="27" thickTop="1" thickBot="1" x14ac:dyDescent="0.25">
      <c r="A78" s="946">
        <v>24170000</v>
      </c>
      <c r="B78" s="950" t="s">
        <v>109</v>
      </c>
      <c r="C78" s="942">
        <f t="shared" si="2"/>
        <v>5000000</v>
      </c>
      <c r="D78" s="951"/>
      <c r="E78" s="951">
        <v>5000000</v>
      </c>
      <c r="F78" s="951">
        <v>5000000</v>
      </c>
      <c r="G78" s="15"/>
    </row>
    <row r="79" spans="1:7" ht="16.5" thickTop="1" thickBot="1" x14ac:dyDescent="0.3">
      <c r="A79" s="914">
        <v>25000000</v>
      </c>
      <c r="B79" s="965" t="s">
        <v>110</v>
      </c>
      <c r="C79" s="942">
        <f t="shared" si="2"/>
        <v>157275059</v>
      </c>
      <c r="D79" s="956">
        <f>SUM(D80:D84,)</f>
        <v>0</v>
      </c>
      <c r="E79" s="956">
        <f>SUM(E80)</f>
        <v>157275059</v>
      </c>
      <c r="F79" s="956"/>
      <c r="G79" s="14"/>
    </row>
    <row r="80" spans="1:7" ht="42" thickTop="1" thickBot="1" x14ac:dyDescent="0.3">
      <c r="A80" s="943">
        <v>25010000</v>
      </c>
      <c r="B80" s="953" t="s">
        <v>111</v>
      </c>
      <c r="C80" s="945">
        <f t="shared" si="2"/>
        <v>157275059</v>
      </c>
      <c r="D80" s="949">
        <v>0</v>
      </c>
      <c r="E80" s="949">
        <f>SUM(E81:E84)</f>
        <v>157275059</v>
      </c>
      <c r="F80" s="949"/>
      <c r="G80" s="14"/>
    </row>
    <row r="81" spans="1:7" ht="27" thickTop="1" thickBot="1" x14ac:dyDescent="0.3">
      <c r="A81" s="946">
        <v>25010100</v>
      </c>
      <c r="B81" s="950" t="s">
        <v>112</v>
      </c>
      <c r="C81" s="942">
        <f t="shared" si="2"/>
        <v>144438629</v>
      </c>
      <c r="D81" s="951"/>
      <c r="E81" s="951">
        <v>144438629</v>
      </c>
      <c r="F81" s="951"/>
      <c r="G81" s="14"/>
    </row>
    <row r="82" spans="1:7" ht="27" thickTop="1" thickBot="1" x14ac:dyDescent="0.3">
      <c r="A82" s="946">
        <v>25010200</v>
      </c>
      <c r="B82" s="950" t="s">
        <v>113</v>
      </c>
      <c r="C82" s="942">
        <f t="shared" si="2"/>
        <v>10585664</v>
      </c>
      <c r="D82" s="951"/>
      <c r="E82" s="951">
        <v>10585664</v>
      </c>
      <c r="F82" s="951"/>
      <c r="G82" s="14"/>
    </row>
    <row r="83" spans="1:7" ht="16.5" thickTop="1" thickBot="1" x14ac:dyDescent="0.3">
      <c r="A83" s="946">
        <v>25010300</v>
      </c>
      <c r="B83" s="950" t="s">
        <v>114</v>
      </c>
      <c r="C83" s="942">
        <f t="shared" si="2"/>
        <v>2197266</v>
      </c>
      <c r="D83" s="951"/>
      <c r="E83" s="951">
        <v>2197266</v>
      </c>
      <c r="F83" s="951"/>
      <c r="G83" s="14"/>
    </row>
    <row r="84" spans="1:7" ht="39.75" thickTop="1" thickBot="1" x14ac:dyDescent="0.3">
      <c r="A84" s="946">
        <v>25010400</v>
      </c>
      <c r="B84" s="950" t="s">
        <v>115</v>
      </c>
      <c r="C84" s="942">
        <f t="shared" si="2"/>
        <v>53500</v>
      </c>
      <c r="D84" s="951"/>
      <c r="E84" s="951">
        <v>53500</v>
      </c>
      <c r="F84" s="951"/>
      <c r="G84" s="14"/>
    </row>
    <row r="85" spans="1:7" ht="29.25" customHeight="1" thickTop="1" thickBot="1" x14ac:dyDescent="0.25">
      <c r="A85" s="774">
        <v>30000000</v>
      </c>
      <c r="B85" s="774" t="s">
        <v>116</v>
      </c>
      <c r="C85" s="775">
        <f t="shared" si="2"/>
        <v>16447343</v>
      </c>
      <c r="D85" s="775">
        <f>SUM(D86)+D90</f>
        <v>25000</v>
      </c>
      <c r="E85" s="775">
        <f>SUM(E86)+E90</f>
        <v>16422343</v>
      </c>
      <c r="F85" s="775">
        <f>SUM(F89:F90)</f>
        <v>16422343</v>
      </c>
      <c r="G85" s="16"/>
    </row>
    <row r="86" spans="1:7" ht="27" customHeight="1" thickTop="1" thickBot="1" x14ac:dyDescent="0.3">
      <c r="A86" s="914">
        <v>31000000</v>
      </c>
      <c r="B86" s="914" t="s">
        <v>117</v>
      </c>
      <c r="C86" s="942">
        <f>SUM(D86,E86)</f>
        <v>3710000</v>
      </c>
      <c r="D86" s="942">
        <f>D87+D89</f>
        <v>25000</v>
      </c>
      <c r="E86" s="942">
        <f>E87+E89</f>
        <v>3685000</v>
      </c>
      <c r="F86" s="942">
        <f>F87+F89</f>
        <v>3685000</v>
      </c>
      <c r="G86" s="14"/>
    </row>
    <row r="87" spans="1:7" ht="82.5" thickTop="1" thickBot="1" x14ac:dyDescent="0.3">
      <c r="A87" s="943">
        <v>3101000</v>
      </c>
      <c r="B87" s="944" t="s">
        <v>629</v>
      </c>
      <c r="C87" s="945">
        <f>SUM(D87,E87)</f>
        <v>25000</v>
      </c>
      <c r="D87" s="949">
        <f>D88</f>
        <v>25000</v>
      </c>
      <c r="E87" s="945"/>
      <c r="F87" s="945"/>
      <c r="G87" s="14"/>
    </row>
    <row r="88" spans="1:7" ht="78" thickTop="1" thickBot="1" x14ac:dyDescent="0.3">
      <c r="A88" s="946">
        <v>31010200</v>
      </c>
      <c r="B88" s="950" t="s">
        <v>118</v>
      </c>
      <c r="C88" s="942">
        <f>SUM(D88,E88)</f>
        <v>25000</v>
      </c>
      <c r="D88" s="951">
        <v>25000</v>
      </c>
      <c r="E88" s="951"/>
      <c r="F88" s="951"/>
      <c r="G88" s="14"/>
    </row>
    <row r="89" spans="1:7" ht="55.5" thickTop="1" thickBot="1" x14ac:dyDescent="0.3">
      <c r="A89" s="943">
        <v>31030000</v>
      </c>
      <c r="B89" s="953" t="s">
        <v>119</v>
      </c>
      <c r="C89" s="949">
        <f t="shared" si="2"/>
        <v>3685000</v>
      </c>
      <c r="D89" s="949"/>
      <c r="E89" s="949">
        <v>3685000</v>
      </c>
      <c r="F89" s="949">
        <v>3685000</v>
      </c>
      <c r="G89" s="14"/>
    </row>
    <row r="90" spans="1:7" ht="27" thickTop="1" thickBot="1" x14ac:dyDescent="0.3">
      <c r="A90" s="914">
        <v>33000000</v>
      </c>
      <c r="B90" s="914" t="s">
        <v>120</v>
      </c>
      <c r="C90" s="942">
        <f t="shared" si="2"/>
        <v>12737343</v>
      </c>
      <c r="D90" s="945"/>
      <c r="E90" s="945">
        <f>SUM(E91)</f>
        <v>12737343</v>
      </c>
      <c r="F90" s="945">
        <f>SUM(F91)</f>
        <v>12737343</v>
      </c>
      <c r="G90" s="14"/>
    </row>
    <row r="91" spans="1:7" ht="16.5" thickTop="1" thickBot="1" x14ac:dyDescent="0.3">
      <c r="A91" s="943">
        <v>33010000</v>
      </c>
      <c r="B91" s="944" t="s">
        <v>121</v>
      </c>
      <c r="C91" s="945">
        <f>SUM(D91,E91)</f>
        <v>12737343</v>
      </c>
      <c r="D91" s="945"/>
      <c r="E91" s="945">
        <f>SUM(E92,E93)</f>
        <v>12737343</v>
      </c>
      <c r="F91" s="945">
        <f>SUM(F92,F93)</f>
        <v>12737343</v>
      </c>
      <c r="G91" s="14"/>
    </row>
    <row r="92" spans="1:7" ht="52.5" thickTop="1" thickBot="1" x14ac:dyDescent="0.3">
      <c r="A92" s="946">
        <v>33010100</v>
      </c>
      <c r="B92" s="950" t="s">
        <v>368</v>
      </c>
      <c r="C92" s="956">
        <f t="shared" si="2"/>
        <v>11477846</v>
      </c>
      <c r="D92" s="951"/>
      <c r="E92" s="951">
        <v>11477846</v>
      </c>
      <c r="F92" s="951">
        <v>11477846</v>
      </c>
      <c r="G92" s="14"/>
    </row>
    <row r="93" spans="1:7" ht="52.5" thickTop="1" thickBot="1" x14ac:dyDescent="0.3">
      <c r="A93" s="946">
        <v>33010200</v>
      </c>
      <c r="B93" s="950" t="s">
        <v>122</v>
      </c>
      <c r="C93" s="956">
        <f>SUM(D93,E93)</f>
        <v>1259497</v>
      </c>
      <c r="D93" s="951"/>
      <c r="E93" s="951">
        <v>1259497</v>
      </c>
      <c r="F93" s="951">
        <v>1259497</v>
      </c>
      <c r="G93" s="14"/>
    </row>
    <row r="94" spans="1:7" ht="27" customHeight="1" thickTop="1" thickBot="1" x14ac:dyDescent="0.3">
      <c r="A94" s="774">
        <v>50000000</v>
      </c>
      <c r="B94" s="774" t="s">
        <v>532</v>
      </c>
      <c r="C94" s="775">
        <f>SUM(D94,E94)</f>
        <v>6501200</v>
      </c>
      <c r="D94" s="775"/>
      <c r="E94" s="775">
        <f>SUM(E95)</f>
        <v>6501200</v>
      </c>
      <c r="F94" s="775"/>
      <c r="G94" s="14"/>
    </row>
    <row r="95" spans="1:7" ht="52.5" thickTop="1" thickBot="1" x14ac:dyDescent="0.3">
      <c r="A95" s="914">
        <v>50110000</v>
      </c>
      <c r="B95" s="966" t="s">
        <v>123</v>
      </c>
      <c r="C95" s="942">
        <f t="shared" ref="C95:C119" si="3">SUM(D95,E95)</f>
        <v>6501200</v>
      </c>
      <c r="D95" s="948"/>
      <c r="E95" s="942">
        <v>6501200</v>
      </c>
      <c r="F95" s="948"/>
      <c r="G95" s="14"/>
    </row>
    <row r="96" spans="1:7" ht="45.75" customHeight="1" thickTop="1" thickBot="1" x14ac:dyDescent="0.25">
      <c r="A96" s="805"/>
      <c r="B96" s="808" t="s">
        <v>533</v>
      </c>
      <c r="C96" s="806">
        <f t="shared" si="3"/>
        <v>2510987256</v>
      </c>
      <c r="D96" s="807">
        <f>D94+D85+D55+D11</f>
        <v>2325157742</v>
      </c>
      <c r="E96" s="807">
        <f>E94+E85+E55+E11</f>
        <v>185829514</v>
      </c>
      <c r="F96" s="807">
        <f>F94+F85+F55+F11</f>
        <v>21422355</v>
      </c>
      <c r="G96" s="15"/>
    </row>
    <row r="97" spans="1:7" ht="34.5" customHeight="1" thickTop="1" thickBot="1" x14ac:dyDescent="0.25">
      <c r="A97" s="774">
        <v>40000000</v>
      </c>
      <c r="B97" s="774" t="s">
        <v>455</v>
      </c>
      <c r="C97" s="775">
        <f t="shared" si="3"/>
        <v>791884323</v>
      </c>
      <c r="D97" s="775">
        <f>SUM(D100,D98)</f>
        <v>770184323</v>
      </c>
      <c r="E97" s="775">
        <f>SUM(E100,E98)</f>
        <v>21700000</v>
      </c>
      <c r="F97" s="775">
        <f>SUM(F100,F98)</f>
        <v>20000000</v>
      </c>
      <c r="G97" s="15"/>
    </row>
    <row r="98" spans="1:7" ht="27" thickTop="1" thickBot="1" x14ac:dyDescent="0.25">
      <c r="A98" s="914">
        <v>41040000</v>
      </c>
      <c r="B98" s="952" t="s">
        <v>370</v>
      </c>
      <c r="C98" s="942">
        <f t="shared" si="3"/>
        <v>12117934</v>
      </c>
      <c r="D98" s="956">
        <f>D99</f>
        <v>12117934</v>
      </c>
      <c r="E98" s="956"/>
      <c r="F98" s="956"/>
      <c r="G98" s="15"/>
    </row>
    <row r="99" spans="1:7" ht="65.25" thickTop="1" thickBot="1" x14ac:dyDescent="0.25">
      <c r="A99" s="946">
        <v>41040200</v>
      </c>
      <c r="B99" s="950" t="s">
        <v>369</v>
      </c>
      <c r="C99" s="942">
        <f t="shared" si="3"/>
        <v>12117934</v>
      </c>
      <c r="D99" s="951">
        <v>12117934</v>
      </c>
      <c r="E99" s="956"/>
      <c r="F99" s="956"/>
      <c r="G99" s="15"/>
    </row>
    <row r="100" spans="1:7" ht="23.25" customHeight="1" thickTop="1" thickBot="1" x14ac:dyDescent="0.25">
      <c r="A100" s="914">
        <v>41000000</v>
      </c>
      <c r="B100" s="914" t="s">
        <v>124</v>
      </c>
      <c r="C100" s="942">
        <f t="shared" si="3"/>
        <v>779766389</v>
      </c>
      <c r="D100" s="956">
        <f>SUM(D101,D107)</f>
        <v>758066389</v>
      </c>
      <c r="E100" s="956">
        <f>SUM(E101,E107)</f>
        <v>21700000</v>
      </c>
      <c r="F100" s="956">
        <f>SUM(F101,F107)</f>
        <v>20000000</v>
      </c>
      <c r="G100" s="15"/>
    </row>
    <row r="101" spans="1:7" ht="27" thickTop="1" thickBot="1" x14ac:dyDescent="0.3">
      <c r="A101" s="914">
        <v>41030000</v>
      </c>
      <c r="B101" s="965" t="s">
        <v>470</v>
      </c>
      <c r="C101" s="942">
        <f t="shared" si="3"/>
        <v>720933995</v>
      </c>
      <c r="D101" s="956">
        <f>SUM(D102:D106)</f>
        <v>720933995</v>
      </c>
      <c r="E101" s="956">
        <f>SUM(E103:E106)</f>
        <v>0</v>
      </c>
      <c r="F101" s="951"/>
      <c r="G101" s="14"/>
    </row>
    <row r="102" spans="1:7" ht="52.5" thickTop="1" thickBot="1" x14ac:dyDescent="0.3">
      <c r="A102" s="946">
        <v>41032300</v>
      </c>
      <c r="B102" s="947" t="s">
        <v>1294</v>
      </c>
      <c r="C102" s="942">
        <f t="shared" si="3"/>
        <v>25000000</v>
      </c>
      <c r="D102" s="951">
        <v>25000000</v>
      </c>
      <c r="E102" s="956"/>
      <c r="F102" s="951"/>
      <c r="G102" s="14"/>
    </row>
    <row r="103" spans="1:7" ht="27" thickTop="1" thickBot="1" x14ac:dyDescent="0.3">
      <c r="A103" s="946">
        <v>41033900</v>
      </c>
      <c r="B103" s="947" t="s">
        <v>125</v>
      </c>
      <c r="C103" s="942">
        <f t="shared" si="3"/>
        <v>623112400</v>
      </c>
      <c r="D103" s="948">
        <v>623112400</v>
      </c>
      <c r="E103" s="951"/>
      <c r="F103" s="951"/>
      <c r="G103" s="14"/>
    </row>
    <row r="104" spans="1:7" ht="52.5" thickTop="1" thickBot="1" x14ac:dyDescent="0.3">
      <c r="A104" s="946">
        <v>41035500</v>
      </c>
      <c r="B104" s="947" t="s">
        <v>1296</v>
      </c>
      <c r="C104" s="942">
        <f t="shared" si="3"/>
        <v>250000</v>
      </c>
      <c r="D104" s="948">
        <v>250000</v>
      </c>
      <c r="E104" s="951"/>
      <c r="F104" s="951"/>
      <c r="G104" s="14"/>
    </row>
    <row r="105" spans="1:7" ht="65.25" thickTop="1" thickBot="1" x14ac:dyDescent="0.3">
      <c r="A105" s="946">
        <v>41035600</v>
      </c>
      <c r="B105" s="947" t="s">
        <v>1338</v>
      </c>
      <c r="C105" s="942">
        <f t="shared" si="3"/>
        <v>2571595</v>
      </c>
      <c r="D105" s="948">
        <v>2571595</v>
      </c>
      <c r="E105" s="951"/>
      <c r="F105" s="951"/>
      <c r="G105" s="14"/>
    </row>
    <row r="106" spans="1:7" ht="42.75" customHeight="1" thickTop="1" thickBot="1" x14ac:dyDescent="0.3">
      <c r="A106" s="946">
        <v>41035700</v>
      </c>
      <c r="B106" s="947" t="s">
        <v>1281</v>
      </c>
      <c r="C106" s="942">
        <f t="shared" si="3"/>
        <v>70000000</v>
      </c>
      <c r="D106" s="948">
        <v>70000000</v>
      </c>
      <c r="E106" s="951"/>
      <c r="F106" s="951"/>
      <c r="G106" s="14"/>
    </row>
    <row r="107" spans="1:7" ht="36.75" customHeight="1" thickTop="1" thickBot="1" x14ac:dyDescent="0.3">
      <c r="A107" s="914">
        <v>41050000</v>
      </c>
      <c r="B107" s="965" t="s">
        <v>517</v>
      </c>
      <c r="C107" s="942">
        <f>SUM(D107,E107)</f>
        <v>58832394</v>
      </c>
      <c r="D107" s="942">
        <f>SUM(D108:D115)</f>
        <v>37132394</v>
      </c>
      <c r="E107" s="942">
        <f>SUM(E108:E115)</f>
        <v>21700000</v>
      </c>
      <c r="F107" s="942">
        <f>SUM(F108:F115)</f>
        <v>20000000</v>
      </c>
      <c r="G107" s="14"/>
    </row>
    <row r="108" spans="1:7" ht="39.75" thickTop="1" thickBot="1" x14ac:dyDescent="0.3">
      <c r="A108" s="946">
        <v>41051000</v>
      </c>
      <c r="B108" s="947" t="s">
        <v>518</v>
      </c>
      <c r="C108" s="942">
        <f>SUM(D108,E108)</f>
        <v>7340558</v>
      </c>
      <c r="D108" s="948">
        <v>7340558</v>
      </c>
      <c r="E108" s="951"/>
      <c r="F108" s="951"/>
      <c r="G108" s="14"/>
    </row>
    <row r="109" spans="1:7" ht="52.5" thickTop="1" thickBot="1" x14ac:dyDescent="0.3">
      <c r="A109" s="946">
        <v>41051200</v>
      </c>
      <c r="B109" s="947" t="s">
        <v>772</v>
      </c>
      <c r="C109" s="942">
        <f>SUM(D109,E109)</f>
        <v>7118182</v>
      </c>
      <c r="D109" s="948">
        <v>7118182</v>
      </c>
      <c r="E109" s="951"/>
      <c r="F109" s="951"/>
      <c r="G109" s="14"/>
    </row>
    <row r="110" spans="1:7" ht="65.25" thickTop="1" thickBot="1" x14ac:dyDescent="0.3">
      <c r="A110" s="946">
        <v>41051400</v>
      </c>
      <c r="B110" s="947" t="s">
        <v>1299</v>
      </c>
      <c r="C110" s="942">
        <f>SUM(D110,E110)</f>
        <v>6063695</v>
      </c>
      <c r="D110" s="948">
        <v>6063695</v>
      </c>
      <c r="E110" s="951"/>
      <c r="F110" s="951"/>
      <c r="G110" s="14"/>
    </row>
    <row r="111" spans="1:7" ht="65.25" thickTop="1" thickBot="1" x14ac:dyDescent="0.3">
      <c r="A111" s="946">
        <v>41051700</v>
      </c>
      <c r="B111" s="947" t="s">
        <v>1219</v>
      </c>
      <c r="C111" s="942">
        <f t="shared" si="3"/>
        <v>1648625</v>
      </c>
      <c r="D111" s="948">
        <v>1648625</v>
      </c>
      <c r="E111" s="951"/>
      <c r="F111" s="951"/>
      <c r="G111" s="14"/>
    </row>
    <row r="112" spans="1:7" ht="90.75" hidden="1" thickTop="1" thickBot="1" x14ac:dyDescent="0.3">
      <c r="A112" s="946">
        <v>41056600</v>
      </c>
      <c r="B112" s="947" t="s">
        <v>1362</v>
      </c>
      <c r="C112" s="942">
        <f t="shared" si="3"/>
        <v>0</v>
      </c>
      <c r="D112" s="948">
        <f>10623233.82-10623233.82</f>
        <v>0</v>
      </c>
      <c r="E112" s="951"/>
      <c r="F112" s="951"/>
      <c r="G112" s="14"/>
    </row>
    <row r="113" spans="1:10" ht="52.5" thickTop="1" thickBot="1" x14ac:dyDescent="0.25">
      <c r="A113" s="946">
        <v>41055000</v>
      </c>
      <c r="B113" s="947" t="s">
        <v>1500</v>
      </c>
      <c r="C113" s="942">
        <f t="shared" si="3"/>
        <v>14254000</v>
      </c>
      <c r="D113" s="948">
        <v>14254000</v>
      </c>
      <c r="E113" s="951"/>
      <c r="F113" s="951"/>
      <c r="G113" s="15"/>
    </row>
    <row r="114" spans="1:10" ht="27" thickTop="1" thickBot="1" x14ac:dyDescent="0.25">
      <c r="A114" s="946">
        <v>41053600</v>
      </c>
      <c r="B114" s="947" t="s">
        <v>1221</v>
      </c>
      <c r="C114" s="942">
        <f t="shared" si="3"/>
        <v>1700000</v>
      </c>
      <c r="D114" s="948"/>
      <c r="E114" s="951">
        <v>1700000</v>
      </c>
      <c r="F114" s="951"/>
      <c r="G114" s="15"/>
    </row>
    <row r="115" spans="1:10" ht="27" thickTop="1" thickBot="1" x14ac:dyDescent="0.25">
      <c r="A115" s="946">
        <v>41053900</v>
      </c>
      <c r="B115" s="947" t="s">
        <v>1092</v>
      </c>
      <c r="C115" s="942">
        <f t="shared" si="3"/>
        <v>20707334</v>
      </c>
      <c r="D115" s="948">
        <f>SUM(D116:D119)</f>
        <v>707334</v>
      </c>
      <c r="E115" s="948">
        <f>SUM(E116:E119)</f>
        <v>20000000</v>
      </c>
      <c r="F115" s="948">
        <f>SUM(F116:F119)</f>
        <v>20000000</v>
      </c>
      <c r="G115" s="15"/>
    </row>
    <row r="116" spans="1:10" ht="15.75" thickTop="1" thickBot="1" x14ac:dyDescent="0.25">
      <c r="A116" s="946"/>
      <c r="B116" s="967" t="s">
        <v>1222</v>
      </c>
      <c r="C116" s="945">
        <f>SUM(D116,E116)</f>
        <v>20000000</v>
      </c>
      <c r="D116" s="957"/>
      <c r="E116" s="968">
        <v>20000000</v>
      </c>
      <c r="F116" s="968">
        <v>20000000</v>
      </c>
      <c r="G116" s="15"/>
    </row>
    <row r="117" spans="1:10" ht="39.75" thickTop="1" thickBot="1" x14ac:dyDescent="0.25">
      <c r="A117" s="946"/>
      <c r="B117" s="967" t="s">
        <v>1093</v>
      </c>
      <c r="C117" s="945">
        <f t="shared" si="3"/>
        <v>206796</v>
      </c>
      <c r="D117" s="957">
        <v>206796</v>
      </c>
      <c r="E117" s="968"/>
      <c r="F117" s="968"/>
      <c r="G117" s="15"/>
    </row>
    <row r="118" spans="1:10" ht="52.5" thickTop="1" thickBot="1" x14ac:dyDescent="0.25">
      <c r="A118" s="946"/>
      <c r="B118" s="967" t="s">
        <v>1094</v>
      </c>
      <c r="C118" s="945">
        <f t="shared" si="3"/>
        <v>147491</v>
      </c>
      <c r="D118" s="957">
        <v>147491</v>
      </c>
      <c r="E118" s="968"/>
      <c r="F118" s="968"/>
      <c r="G118" s="15"/>
    </row>
    <row r="119" spans="1:10" ht="27" thickTop="1" thickBot="1" x14ac:dyDescent="0.25">
      <c r="A119" s="946"/>
      <c r="B119" s="967" t="s">
        <v>1095</v>
      </c>
      <c r="C119" s="945">
        <f t="shared" si="3"/>
        <v>353047</v>
      </c>
      <c r="D119" s="957">
        <v>353047</v>
      </c>
      <c r="E119" s="968"/>
      <c r="F119" s="968"/>
      <c r="G119" s="15"/>
    </row>
    <row r="120" spans="1:10" ht="41.25" customHeight="1" thickTop="1" thickBot="1" x14ac:dyDescent="0.3">
      <c r="A120" s="805"/>
      <c r="B120" s="808" t="s">
        <v>1388</v>
      </c>
      <c r="C120" s="806">
        <f>SUM(D120,E120)</f>
        <v>3302871579</v>
      </c>
      <c r="D120" s="807">
        <f>SUM(D96,D97)</f>
        <v>3095342065</v>
      </c>
      <c r="E120" s="807">
        <f>SUM(E96,E100)</f>
        <v>207529514</v>
      </c>
      <c r="F120" s="807">
        <f>SUM(F96,F100)</f>
        <v>41422355</v>
      </c>
      <c r="G120" s="773" t="b">
        <f>C120=C119+C118+C117+C116+C114+C113+C111+C110+C109+C108+C106+C105+C104+C103+C102+C99+C95+C93+C92+C89+C88+C84+C83+C82+C81+C78+C77+C76+C75+C73+C72+C70+C68+C67+C66+C63+C62+C61+C59+C58+C54+C53+C52+C49+C48+C47+C45+C44+C42+C41+C40+C39+C38+C37+C36+C35+C34+C33+C30+C29+C26+C24+C22+C19+C17+C16+C15+C14</f>
        <v>1</v>
      </c>
      <c r="H120" s="773" t="b">
        <f>D120=D119+D118+D117+D116+D114+D113+D111+D110+D109+D108+D106+D105+D104+D103+D102+D99+D95+D93+D92+D89+D88+D84+D83+D82+D81+D78+D77+D76+D75+D73+D72+D70+D68+D67+D66+D63+D62+D61+D59+D58+D54+D53+D52+D49+D48+D47+D45+D44+D42+D41+D40+D39+D38+D37+D36+D35+D34+D33+D30+D29+D26+D24+D22+D19+D17+D16+D15+D14</f>
        <v>1</v>
      </c>
      <c r="I120" s="773" t="b">
        <f>E120=E119+E118+E117+E116+E114+E113+E111+E110+E109+E108+E106+E105+E104+E103+E102+E99+E95+E93+E92+E89+E88+E84+E83+E82+E81+E78+E77+E76+E75+E73+E72+E70+E68+E67+E66+E63+E62+E61+E59+E58+E54+E53+E52+E49+E48+E47+E45+E44+E42+E41+E40+E39+E38+E37+E36+E35+E34+E33+E30+E29+E26+E24+E22+E19+E17+E16+E15+E14</f>
        <v>1</v>
      </c>
      <c r="J120" s="773" t="b">
        <f>F120=F119+F118+F117+F116+F114+F113+F111+F110+F109+F108+F106+F105+F104+F103+F102+F99+F95+F93+F92+F89+F88+F84+F83+F82+F81+F78+F77+F76+F75+F73+F72+F70+F68+F67+F66+F63+F62+F61+F59+F58+F54+F53+F52+F49+F48+F47+F45+F44+F42+F41+F40+F39+F38+F37+F36+F35+F34+F33+F30+F29+F26+F24+F22+F19+F17+F16+F15+F14</f>
        <v>1</v>
      </c>
    </row>
    <row r="121" spans="1:10" ht="13.5" thickTop="1" x14ac:dyDescent="0.2">
      <c r="B121" s="792"/>
      <c r="G121" s="772"/>
    </row>
    <row r="122" spans="1:10" ht="15.75" x14ac:dyDescent="0.25">
      <c r="B122" s="66"/>
      <c r="E122" s="66"/>
    </row>
    <row r="123" spans="1:10" ht="15.75" x14ac:dyDescent="0.2">
      <c r="B123" s="935" t="s">
        <v>1280</v>
      </c>
      <c r="C123" s="912"/>
      <c r="D123" s="912"/>
      <c r="E123" s="657" t="s">
        <v>1211</v>
      </c>
      <c r="F123" s="935"/>
    </row>
    <row r="124" spans="1:10" ht="15.75" x14ac:dyDescent="0.25">
      <c r="B124" s="66"/>
      <c r="E124" s="66"/>
    </row>
    <row r="125" spans="1:10" ht="15.75" x14ac:dyDescent="0.25">
      <c r="A125" s="18"/>
      <c r="B125" s="66" t="s">
        <v>606</v>
      </c>
      <c r="C125" s="66"/>
      <c r="D125" s="66"/>
      <c r="E125" s="66" t="s">
        <v>607</v>
      </c>
      <c r="F125" s="18"/>
    </row>
    <row r="128" spans="1:10" x14ac:dyDescent="0.2">
      <c r="C128" s="772"/>
      <c r="D128" s="772"/>
      <c r="E128" s="772"/>
      <c r="F128" s="772"/>
    </row>
  </sheetData>
  <mergeCells count="10">
    <mergeCell ref="D1:G1"/>
    <mergeCell ref="D2:G2"/>
    <mergeCell ref="D3:G3"/>
    <mergeCell ref="A4:E4"/>
    <mergeCell ref="A5:F5"/>
    <mergeCell ref="A8:A9"/>
    <mergeCell ref="B8:B9"/>
    <mergeCell ref="C8:C9"/>
    <mergeCell ref="D8:D9"/>
    <mergeCell ref="E8:F8"/>
  </mergeCells>
  <hyperlinks>
    <hyperlink ref="B86" location="_ftn1" display="_ftn1"/>
    <hyperlink ref="B85" location="_ftn1" display="_ftn1"/>
    <hyperlink ref="B73" location="_ftn1" display="_ftn1"/>
    <hyperlink ref="B16" location="_ftn1" display="_ftn1"/>
    <hyperlink ref="B15" location="_ftn1" display="_ftn1"/>
    <hyperlink ref="B53" location="_ftn1" display="_ftn1"/>
    <hyperlink ref="B90" location="_ftn1" display="_ftn1"/>
    <hyperlink ref="B91" location="_ftn1" display="_ftn1"/>
    <hyperlink ref="B61" location="_ftn1" display="_ftn1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78" fitToHeight="0" orientation="portrait" verticalDpi="4294967295" r:id="rId1"/>
  <headerFooter alignWithMargins="0"/>
  <rowBreaks count="2" manualBreakCount="2">
    <brk id="67" max="5" man="1"/>
    <brk id="97" max="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FF"/>
  </sheetPr>
  <dimension ref="A1:J137"/>
  <sheetViews>
    <sheetView view="pageBreakPreview" topLeftCell="Q120" zoomScaleSheetLayoutView="100" workbookViewId="0">
      <selection activeCell="B8" sqref="B8:B9"/>
    </sheetView>
  </sheetViews>
  <sheetFormatPr defaultColWidth="6.85546875" defaultRowHeight="12.75" x14ac:dyDescent="0.2"/>
  <cols>
    <col min="1" max="1" width="10.140625" style="11" customWidth="1"/>
    <col min="2" max="2" width="40.42578125" style="11" customWidth="1"/>
    <col min="3" max="4" width="17.28515625" style="11" customWidth="1"/>
    <col min="5" max="5" width="15.7109375" style="11" customWidth="1"/>
    <col min="6" max="6" width="14.5703125" style="11" customWidth="1"/>
    <col min="7" max="7" width="17.28515625" style="11" bestFit="1" customWidth="1"/>
    <col min="8" max="252" width="7.85546875" style="11" customWidth="1"/>
    <col min="253" max="16384" width="6.85546875" style="11"/>
  </cols>
  <sheetData>
    <row r="1" spans="1:7" ht="15.75" x14ac:dyDescent="0.2">
      <c r="D1" s="999" t="s">
        <v>62</v>
      </c>
      <c r="E1" s="1000"/>
      <c r="F1" s="1000"/>
      <c r="G1" s="1000"/>
    </row>
    <row r="2" spans="1:7" ht="15.75" x14ac:dyDescent="0.2">
      <c r="C2" s="12"/>
      <c r="D2" s="999" t="s">
        <v>1389</v>
      </c>
      <c r="E2" s="1001"/>
      <c r="F2" s="1001"/>
      <c r="G2" s="1001"/>
    </row>
    <row r="3" spans="1:7" ht="6" customHeight="1" x14ac:dyDescent="0.2">
      <c r="C3" s="12"/>
      <c r="D3" s="999"/>
      <c r="E3" s="1001"/>
      <c r="F3" s="1001"/>
      <c r="G3" s="1001"/>
    </row>
    <row r="4" spans="1:7" ht="12.75" customHeight="1" x14ac:dyDescent="0.2">
      <c r="A4" s="1002"/>
      <c r="B4" s="1002"/>
      <c r="C4" s="1002"/>
      <c r="D4" s="1002"/>
      <c r="E4" s="1002"/>
    </row>
    <row r="5" spans="1:7" ht="42.75" customHeight="1" x14ac:dyDescent="0.2">
      <c r="A5" s="1227" t="s">
        <v>1505</v>
      </c>
      <c r="B5" s="1228"/>
      <c r="C5" s="1228"/>
      <c r="D5" s="1228"/>
      <c r="E5" s="1228"/>
      <c r="F5" s="1228"/>
    </row>
    <row r="6" spans="1:7" ht="20.25" x14ac:dyDescent="0.2">
      <c r="A6" s="913"/>
      <c r="B6" s="80" t="s">
        <v>631</v>
      </c>
      <c r="C6" s="913"/>
      <c r="D6" s="913"/>
      <c r="E6" s="913"/>
    </row>
    <row r="7" spans="1:7" ht="13.5" thickBot="1" x14ac:dyDescent="0.25">
      <c r="B7" s="751"/>
      <c r="C7" s="751"/>
      <c r="D7" s="751"/>
      <c r="E7" s="751"/>
      <c r="F7" s="751" t="s">
        <v>63</v>
      </c>
    </row>
    <row r="8" spans="1:7" ht="14.25" thickTop="1" thickBot="1" x14ac:dyDescent="0.25">
      <c r="A8" s="998" t="s">
        <v>64</v>
      </c>
      <c r="B8" s="998" t="s">
        <v>65</v>
      </c>
      <c r="C8" s="998" t="s">
        <v>410</v>
      </c>
      <c r="D8" s="998" t="s">
        <v>12</v>
      </c>
      <c r="E8" s="998" t="s">
        <v>57</v>
      </c>
      <c r="F8" s="998"/>
      <c r="G8" s="13"/>
    </row>
    <row r="9" spans="1:7" ht="39.75" thickTop="1" thickBot="1" x14ac:dyDescent="0.3">
      <c r="A9" s="998"/>
      <c r="B9" s="998"/>
      <c r="C9" s="998"/>
      <c r="D9" s="998"/>
      <c r="E9" s="914" t="s">
        <v>410</v>
      </c>
      <c r="F9" s="914" t="s">
        <v>454</v>
      </c>
      <c r="G9" s="14"/>
    </row>
    <row r="10" spans="1:7" ht="16.5" thickTop="1" thickBot="1" x14ac:dyDescent="0.3">
      <c r="A10" s="914">
        <v>1</v>
      </c>
      <c r="B10" s="914">
        <v>2</v>
      </c>
      <c r="C10" s="914">
        <v>3</v>
      </c>
      <c r="D10" s="914">
        <v>4</v>
      </c>
      <c r="E10" s="914">
        <v>5</v>
      </c>
      <c r="F10" s="914">
        <v>6</v>
      </c>
      <c r="G10" s="14"/>
    </row>
    <row r="11" spans="1:7" ht="25.5" customHeight="1" thickTop="1" thickBot="1" x14ac:dyDescent="0.25">
      <c r="A11" s="774">
        <v>10000000</v>
      </c>
      <c r="B11" s="774" t="s">
        <v>66</v>
      </c>
      <c r="C11" s="775">
        <f>'d1'!C11-'d1-07'!C11</f>
        <v>20325000</v>
      </c>
      <c r="D11" s="775">
        <f>'d1'!D11-'d1-07'!D11</f>
        <v>20325000</v>
      </c>
      <c r="E11" s="775">
        <f>'d1'!E11-'d1-07'!E11</f>
        <v>0</v>
      </c>
      <c r="F11" s="775">
        <f>'d1'!F11-'d1-07'!F11</f>
        <v>0</v>
      </c>
      <c r="G11" s="15"/>
    </row>
    <row r="12" spans="1:7" ht="31.5" customHeight="1" thickTop="1" thickBot="1" x14ac:dyDescent="0.25">
      <c r="A12" s="776">
        <v>11000000</v>
      </c>
      <c r="B12" s="776" t="s">
        <v>67</v>
      </c>
      <c r="C12" s="778">
        <f>'d1'!C12-'d1-07'!C12</f>
        <v>5280000</v>
      </c>
      <c r="D12" s="778">
        <f>'d1'!D12-'d1-07'!D12</f>
        <v>5280000</v>
      </c>
      <c r="E12" s="778">
        <f>'d1'!E12-'d1-07'!E12</f>
        <v>0</v>
      </c>
      <c r="F12" s="778">
        <f>'d1'!F12-'d1-07'!F12</f>
        <v>0</v>
      </c>
      <c r="G12" s="16"/>
    </row>
    <row r="13" spans="1:7" ht="24.75" customHeight="1" thickTop="1" thickBot="1" x14ac:dyDescent="0.25">
      <c r="A13" s="779">
        <v>11010000</v>
      </c>
      <c r="B13" s="780" t="s">
        <v>68</v>
      </c>
      <c r="C13" s="778">
        <f>'d1'!C13-'d1-07'!C13</f>
        <v>5280000</v>
      </c>
      <c r="D13" s="778">
        <f>'d1'!D13-'d1-07'!D13</f>
        <v>5280000</v>
      </c>
      <c r="E13" s="778">
        <f>'d1'!E13-'d1-07'!E13</f>
        <v>0</v>
      </c>
      <c r="F13" s="778">
        <f>'d1'!F13-'d1-07'!F13</f>
        <v>0</v>
      </c>
      <c r="G13" s="16"/>
    </row>
    <row r="14" spans="1:7" ht="39.75" thickTop="1" thickBot="1" x14ac:dyDescent="0.25">
      <c r="A14" s="781">
        <v>11010100</v>
      </c>
      <c r="B14" s="782" t="s">
        <v>69</v>
      </c>
      <c r="C14" s="778">
        <f>'d1'!C14-'d1-07'!C14</f>
        <v>0</v>
      </c>
      <c r="D14" s="778">
        <f>'d1'!D14-'d1-07'!D14</f>
        <v>0</v>
      </c>
      <c r="E14" s="778">
        <f>'d1'!E14-'d1-07'!E14</f>
        <v>0</v>
      </c>
      <c r="F14" s="778">
        <f>'d1'!F14-'d1-07'!F14</f>
        <v>0</v>
      </c>
      <c r="G14" s="16"/>
    </row>
    <row r="15" spans="1:7" ht="65.25" thickTop="1" thickBot="1" x14ac:dyDescent="0.25">
      <c r="A15" s="781">
        <v>11010200</v>
      </c>
      <c r="B15" s="782" t="s">
        <v>70</v>
      </c>
      <c r="C15" s="778">
        <f>'d1'!C15-'d1-07'!C15</f>
        <v>0</v>
      </c>
      <c r="D15" s="778">
        <f>'d1'!D15-'d1-07'!D15</f>
        <v>0</v>
      </c>
      <c r="E15" s="778">
        <f>'d1'!E15-'d1-07'!E15</f>
        <v>0</v>
      </c>
      <c r="F15" s="778">
        <f>'d1'!F15-'d1-07'!F15</f>
        <v>0</v>
      </c>
      <c r="G15" s="16"/>
    </row>
    <row r="16" spans="1:7" ht="39.75" thickTop="1" thickBot="1" x14ac:dyDescent="0.25">
      <c r="A16" s="781">
        <v>11010400</v>
      </c>
      <c r="B16" s="782" t="s">
        <v>71</v>
      </c>
      <c r="C16" s="778">
        <f>'d1'!C16-'d1-07'!C16</f>
        <v>3280000</v>
      </c>
      <c r="D16" s="778">
        <f>'d1'!D16-'d1-07'!D16</f>
        <v>3280000</v>
      </c>
      <c r="E16" s="778">
        <f>'d1'!E16-'d1-07'!E16</f>
        <v>0</v>
      </c>
      <c r="F16" s="778">
        <f>'d1'!F16-'d1-07'!F16</f>
        <v>0</v>
      </c>
      <c r="G16" s="16"/>
    </row>
    <row r="17" spans="1:7" ht="39.75" thickTop="1" thickBot="1" x14ac:dyDescent="0.3">
      <c r="A17" s="781">
        <v>11010500</v>
      </c>
      <c r="B17" s="782" t="s">
        <v>72</v>
      </c>
      <c r="C17" s="778">
        <f>'d1'!C17-'d1-07'!C17</f>
        <v>2000000</v>
      </c>
      <c r="D17" s="778">
        <f>'d1'!D17-'d1-07'!D17</f>
        <v>2000000</v>
      </c>
      <c r="E17" s="778">
        <f>'d1'!E17-'d1-07'!E17</f>
        <v>0</v>
      </c>
      <c r="F17" s="778">
        <f>'d1'!F17-'d1-07'!F17</f>
        <v>0</v>
      </c>
      <c r="G17" s="14"/>
    </row>
    <row r="18" spans="1:7" ht="28.5" customHeight="1" thickTop="1" thickBot="1" x14ac:dyDescent="0.25">
      <c r="A18" s="779">
        <v>11020000</v>
      </c>
      <c r="B18" s="780" t="s">
        <v>73</v>
      </c>
      <c r="C18" s="778">
        <f>'d1'!C18-'d1-07'!C18</f>
        <v>0</v>
      </c>
      <c r="D18" s="778">
        <f>'d1'!D18-'d1-07'!D18</f>
        <v>0</v>
      </c>
      <c r="E18" s="778">
        <f>'d1'!E18-'d1-07'!E18</f>
        <v>0</v>
      </c>
      <c r="F18" s="778">
        <f>'d1'!F18-'d1-07'!F18</f>
        <v>0</v>
      </c>
      <c r="G18" s="15"/>
    </row>
    <row r="19" spans="1:7" ht="27" thickTop="1" thickBot="1" x14ac:dyDescent="0.3">
      <c r="A19" s="781">
        <v>11020200</v>
      </c>
      <c r="B19" s="789" t="s">
        <v>74</v>
      </c>
      <c r="C19" s="778">
        <f>'d1'!C19-'d1-07'!C19</f>
        <v>0</v>
      </c>
      <c r="D19" s="778">
        <f>'d1'!D19-'d1-07'!D19</f>
        <v>0</v>
      </c>
      <c r="E19" s="778">
        <f>'d1'!E19-'d1-07'!E19</f>
        <v>0</v>
      </c>
      <c r="F19" s="778">
        <f>'d1'!F19-'d1-07'!F19</f>
        <v>0</v>
      </c>
      <c r="G19" s="14"/>
    </row>
    <row r="20" spans="1:7" ht="27" thickTop="1" thickBot="1" x14ac:dyDescent="0.3">
      <c r="A20" s="776">
        <v>13000000</v>
      </c>
      <c r="B20" s="795" t="s">
        <v>615</v>
      </c>
      <c r="C20" s="778">
        <f>'d1'!C20-'d1-07'!C20</f>
        <v>0</v>
      </c>
      <c r="D20" s="778">
        <f>'d1'!D20-'d1-07'!D20</f>
        <v>0</v>
      </c>
      <c r="E20" s="778">
        <f>'d1'!E20-'d1-07'!E20</f>
        <v>0</v>
      </c>
      <c r="F20" s="778">
        <f>'d1'!F20-'d1-07'!F20</f>
        <v>0</v>
      </c>
      <c r="G20" s="14"/>
    </row>
    <row r="21" spans="1:7" ht="28.5" thickTop="1" thickBot="1" x14ac:dyDescent="0.3">
      <c r="A21" s="779">
        <v>13010000</v>
      </c>
      <c r="B21" s="791" t="s">
        <v>616</v>
      </c>
      <c r="C21" s="778">
        <f>'d1'!C21-'d1-07'!C21</f>
        <v>0</v>
      </c>
      <c r="D21" s="778">
        <f>'d1'!D21-'d1-07'!D21</f>
        <v>0</v>
      </c>
      <c r="E21" s="778">
        <f>'d1'!E21-'d1-07'!E21</f>
        <v>0</v>
      </c>
      <c r="F21" s="778">
        <f>'d1'!F21-'d1-07'!F21</f>
        <v>0</v>
      </c>
      <c r="G21" s="14"/>
    </row>
    <row r="22" spans="1:7" ht="65.25" thickTop="1" thickBot="1" x14ac:dyDescent="0.3">
      <c r="A22" s="781">
        <v>13010200</v>
      </c>
      <c r="B22" s="787" t="s">
        <v>617</v>
      </c>
      <c r="C22" s="778">
        <f>'d1'!C22-'d1-07'!C22</f>
        <v>0</v>
      </c>
      <c r="D22" s="778">
        <f>'d1'!D22-'d1-07'!D22</f>
        <v>0</v>
      </c>
      <c r="E22" s="778">
        <f>'d1'!E22-'d1-07'!E22</f>
        <v>0</v>
      </c>
      <c r="F22" s="778">
        <f>'d1'!F22-'d1-07'!F22</f>
        <v>0</v>
      </c>
      <c r="G22" s="14"/>
    </row>
    <row r="23" spans="1:7" ht="16.5" thickTop="1" thickBot="1" x14ac:dyDescent="0.3">
      <c r="A23" s="779">
        <v>13030000</v>
      </c>
      <c r="B23" s="788" t="s">
        <v>618</v>
      </c>
      <c r="C23" s="778">
        <f>'d1'!C23-'d1-07'!C23</f>
        <v>0</v>
      </c>
      <c r="D23" s="778">
        <f>'d1'!D23-'d1-07'!D23</f>
        <v>0</v>
      </c>
      <c r="E23" s="778">
        <f>'d1'!E23-'d1-07'!E23</f>
        <v>0</v>
      </c>
      <c r="F23" s="778">
        <f>'d1'!F23-'d1-07'!F23</f>
        <v>0</v>
      </c>
      <c r="G23" s="14"/>
    </row>
    <row r="24" spans="1:7" ht="39.75" thickTop="1" thickBot="1" x14ac:dyDescent="0.3">
      <c r="A24" s="781">
        <v>13030100</v>
      </c>
      <c r="B24" s="787" t="s">
        <v>619</v>
      </c>
      <c r="C24" s="778">
        <f>'d1'!C24-'d1-07'!C24</f>
        <v>0</v>
      </c>
      <c r="D24" s="778">
        <f>'d1'!D24-'d1-07'!D24</f>
        <v>0</v>
      </c>
      <c r="E24" s="778">
        <f>'d1'!E24-'d1-07'!E24</f>
        <v>0</v>
      </c>
      <c r="F24" s="778">
        <f>'d1'!F24-'d1-07'!F24</f>
        <v>0</v>
      </c>
      <c r="G24" s="14"/>
    </row>
    <row r="25" spans="1:7" ht="26.25" customHeight="1" thickTop="1" thickBot="1" x14ac:dyDescent="0.3">
      <c r="A25" s="776">
        <v>14000000</v>
      </c>
      <c r="B25" s="795" t="s">
        <v>622</v>
      </c>
      <c r="C25" s="778">
        <f>'d1'!C25-'d1-07'!C25</f>
        <v>5000000</v>
      </c>
      <c r="D25" s="778">
        <f>'d1'!D25-'d1-07'!D25</f>
        <v>5000000</v>
      </c>
      <c r="E25" s="778">
        <f>'d1'!E25-'d1-07'!E25</f>
        <v>0</v>
      </c>
      <c r="F25" s="778">
        <f>'d1'!F25-'d1-07'!F25</f>
        <v>0</v>
      </c>
      <c r="G25" s="14"/>
    </row>
    <row r="26" spans="1:7" ht="30" customHeight="1" thickTop="1" thickBot="1" x14ac:dyDescent="0.3">
      <c r="A26" s="779">
        <v>14020000</v>
      </c>
      <c r="B26" s="791" t="s">
        <v>775</v>
      </c>
      <c r="C26" s="778">
        <f>'d1'!C26-'d1-07'!C26</f>
        <v>0</v>
      </c>
      <c r="D26" s="778">
        <f>'d1'!D26-'d1-07'!D26</f>
        <v>0</v>
      </c>
      <c r="E26" s="778">
        <f>'d1'!E26-'d1-07'!E26</f>
        <v>0</v>
      </c>
      <c r="F26" s="778">
        <f>'d1'!F26-'d1-07'!F26</f>
        <v>0</v>
      </c>
      <c r="G26" s="14"/>
    </row>
    <row r="27" spans="1:7" ht="16.5" thickTop="1" thickBot="1" x14ac:dyDescent="0.3">
      <c r="A27" s="781">
        <v>14021900</v>
      </c>
      <c r="B27" s="789" t="s">
        <v>774</v>
      </c>
      <c r="C27" s="778">
        <f>'d1'!C27-'d1-07'!C27</f>
        <v>0</v>
      </c>
      <c r="D27" s="778">
        <f>'d1'!D27-'d1-07'!D27</f>
        <v>0</v>
      </c>
      <c r="E27" s="778">
        <f>'d1'!E27-'d1-07'!E27</f>
        <v>0</v>
      </c>
      <c r="F27" s="778">
        <f>'d1'!F27-'d1-07'!F27</f>
        <v>0</v>
      </c>
      <c r="G27" s="14"/>
    </row>
    <row r="28" spans="1:7" ht="42" thickTop="1" thickBot="1" x14ac:dyDescent="0.3">
      <c r="A28" s="779">
        <v>14030000</v>
      </c>
      <c r="B28" s="791" t="s">
        <v>776</v>
      </c>
      <c r="C28" s="778">
        <f>'d1'!C28-'d1-07'!C28</f>
        <v>0</v>
      </c>
      <c r="D28" s="778">
        <f>'d1'!D28-'d1-07'!D28</f>
        <v>0</v>
      </c>
      <c r="E28" s="778">
        <f>'d1'!E28-'d1-07'!E28</f>
        <v>0</v>
      </c>
      <c r="F28" s="778">
        <f>'d1'!F28-'d1-07'!F28</f>
        <v>0</v>
      </c>
      <c r="G28" s="14"/>
    </row>
    <row r="29" spans="1:7" ht="16.5" thickTop="1" thickBot="1" x14ac:dyDescent="0.3">
      <c r="A29" s="781">
        <v>14031900</v>
      </c>
      <c r="B29" s="789" t="s">
        <v>774</v>
      </c>
      <c r="C29" s="778">
        <f>'d1'!C29-'d1-07'!C29</f>
        <v>0</v>
      </c>
      <c r="D29" s="778">
        <f>'d1'!D29-'d1-07'!D29</f>
        <v>0</v>
      </c>
      <c r="E29" s="778">
        <f>'d1'!E29-'d1-07'!E29</f>
        <v>0</v>
      </c>
      <c r="F29" s="778">
        <f>'d1'!F29-'d1-07'!F29</f>
        <v>0</v>
      </c>
      <c r="G29" s="14"/>
    </row>
    <row r="30" spans="1:7" ht="42" thickTop="1" thickBot="1" x14ac:dyDescent="0.25">
      <c r="A30" s="779">
        <v>14040000</v>
      </c>
      <c r="B30" s="780" t="s">
        <v>1390</v>
      </c>
      <c r="C30" s="778">
        <f>'d1'!C30-'d1-07'!C30</f>
        <v>5000000</v>
      </c>
      <c r="D30" s="778">
        <f>'d1'!D30-'d1-07'!D30</f>
        <v>5000000</v>
      </c>
      <c r="E30" s="778">
        <f>'d1'!E30-'d1-07'!E30</f>
        <v>0</v>
      </c>
      <c r="F30" s="778">
        <f>'d1'!F30-'d1-07'!F30</f>
        <v>0</v>
      </c>
      <c r="G30" s="17"/>
    </row>
    <row r="31" spans="1:7" ht="29.25" customHeight="1" thickTop="1" thickBot="1" x14ac:dyDescent="0.3">
      <c r="A31" s="776">
        <v>18000000</v>
      </c>
      <c r="B31" s="776" t="s">
        <v>75</v>
      </c>
      <c r="C31" s="778">
        <f>'d1'!C31-'d1-07'!C31</f>
        <v>10045000</v>
      </c>
      <c r="D31" s="778">
        <f>'d1'!D31-'d1-07'!D31</f>
        <v>10045000</v>
      </c>
      <c r="E31" s="778">
        <f>'d1'!E31-'d1-07'!E31</f>
        <v>0</v>
      </c>
      <c r="F31" s="778">
        <f>'d1'!F31-'d1-07'!F31</f>
        <v>0</v>
      </c>
      <c r="G31" s="14"/>
    </row>
    <row r="32" spans="1:7" ht="16.5" thickTop="1" thickBot="1" x14ac:dyDescent="0.3">
      <c r="A32" s="779">
        <v>18010000</v>
      </c>
      <c r="B32" s="796" t="s">
        <v>76</v>
      </c>
      <c r="C32" s="778">
        <f>'d1'!C32-'d1-07'!C32</f>
        <v>4945000</v>
      </c>
      <c r="D32" s="778">
        <f>'d1'!D32-'d1-07'!D32</f>
        <v>4945000</v>
      </c>
      <c r="E32" s="778">
        <f>'d1'!E32-'d1-07'!E32</f>
        <v>0</v>
      </c>
      <c r="F32" s="778">
        <f>'d1'!F32-'d1-07'!F32</f>
        <v>0</v>
      </c>
      <c r="G32" s="14"/>
    </row>
    <row r="33" spans="1:7" ht="52.5" thickTop="1" thickBot="1" x14ac:dyDescent="0.3">
      <c r="A33" s="781">
        <v>18010100</v>
      </c>
      <c r="B33" s="797" t="s">
        <v>77</v>
      </c>
      <c r="C33" s="778">
        <f>'d1'!C33-'d1-07'!C33</f>
        <v>0</v>
      </c>
      <c r="D33" s="778">
        <f>'d1'!D33-'d1-07'!D33</f>
        <v>0</v>
      </c>
      <c r="E33" s="778">
        <f>'d1'!E33-'d1-07'!E33</f>
        <v>0</v>
      </c>
      <c r="F33" s="778">
        <f>'d1'!F33-'d1-07'!F33</f>
        <v>0</v>
      </c>
      <c r="G33" s="14"/>
    </row>
    <row r="34" spans="1:7" ht="52.5" thickTop="1" thickBot="1" x14ac:dyDescent="0.3">
      <c r="A34" s="781">
        <v>18010200</v>
      </c>
      <c r="B34" s="797" t="s">
        <v>78</v>
      </c>
      <c r="C34" s="778">
        <f>'d1'!C34-'d1-07'!C34</f>
        <v>0</v>
      </c>
      <c r="D34" s="778">
        <f>'d1'!D34-'d1-07'!D34</f>
        <v>0</v>
      </c>
      <c r="E34" s="778">
        <f>'d1'!E34-'d1-07'!E34</f>
        <v>0</v>
      </c>
      <c r="F34" s="778">
        <f>'d1'!F34-'d1-07'!F34</f>
        <v>0</v>
      </c>
      <c r="G34" s="14"/>
    </row>
    <row r="35" spans="1:7" ht="52.5" thickTop="1" thickBot="1" x14ac:dyDescent="0.3">
      <c r="A35" s="781">
        <v>18010300</v>
      </c>
      <c r="B35" s="797" t="s">
        <v>79</v>
      </c>
      <c r="C35" s="778">
        <f>'d1'!C35-'d1-07'!C35</f>
        <v>0</v>
      </c>
      <c r="D35" s="778">
        <f>'d1'!D35-'d1-07'!D35</f>
        <v>0</v>
      </c>
      <c r="E35" s="778">
        <f>'d1'!E35-'d1-07'!E35</f>
        <v>0</v>
      </c>
      <c r="F35" s="778">
        <f>'d1'!F35-'d1-07'!F35</f>
        <v>0</v>
      </c>
      <c r="G35" s="14"/>
    </row>
    <row r="36" spans="1:7" ht="52.5" thickTop="1" thickBot="1" x14ac:dyDescent="0.3">
      <c r="A36" s="781">
        <v>18010400</v>
      </c>
      <c r="B36" s="797" t="s">
        <v>80</v>
      </c>
      <c r="C36" s="778">
        <f>'d1'!C36-'d1-07'!C36</f>
        <v>0</v>
      </c>
      <c r="D36" s="778">
        <f>'d1'!D36-'d1-07'!D36</f>
        <v>0</v>
      </c>
      <c r="E36" s="778">
        <f>'d1'!E36-'d1-07'!E36</f>
        <v>0</v>
      </c>
      <c r="F36" s="778">
        <f>'d1'!F36-'d1-07'!F36</f>
        <v>0</v>
      </c>
      <c r="G36" s="14"/>
    </row>
    <row r="37" spans="1:7" ht="16.5" thickTop="1" thickBot="1" x14ac:dyDescent="0.3">
      <c r="A37" s="781">
        <v>18010500</v>
      </c>
      <c r="B37" s="789" t="s">
        <v>81</v>
      </c>
      <c r="C37" s="778">
        <f>'d1'!C37-'d1-07'!C37</f>
        <v>945000</v>
      </c>
      <c r="D37" s="778">
        <f>'d1'!D37-'d1-07'!D37</f>
        <v>945000</v>
      </c>
      <c r="E37" s="778">
        <f>'d1'!E37-'d1-07'!E37</f>
        <v>0</v>
      </c>
      <c r="F37" s="778">
        <f>'d1'!F37-'d1-07'!F37</f>
        <v>0</v>
      </c>
      <c r="G37" s="14"/>
    </row>
    <row r="38" spans="1:7" ht="16.5" thickTop="1" thickBot="1" x14ac:dyDescent="0.3">
      <c r="A38" s="781">
        <v>18010600</v>
      </c>
      <c r="B38" s="797" t="s">
        <v>82</v>
      </c>
      <c r="C38" s="778">
        <f>'d1'!C38-'d1-07'!C38</f>
        <v>2400000</v>
      </c>
      <c r="D38" s="778">
        <f>'d1'!D38-'d1-07'!D38</f>
        <v>2400000</v>
      </c>
      <c r="E38" s="778">
        <f>'d1'!E38-'d1-07'!E38</f>
        <v>0</v>
      </c>
      <c r="F38" s="778">
        <f>'d1'!F38-'d1-07'!F38</f>
        <v>0</v>
      </c>
      <c r="G38" s="14"/>
    </row>
    <row r="39" spans="1:7" ht="16.5" thickTop="1" thickBot="1" x14ac:dyDescent="0.3">
      <c r="A39" s="781">
        <v>18010700</v>
      </c>
      <c r="B39" s="797" t="s">
        <v>83</v>
      </c>
      <c r="C39" s="778">
        <f>'d1'!C39-'d1-07'!C39</f>
        <v>0</v>
      </c>
      <c r="D39" s="778">
        <f>'d1'!D39-'d1-07'!D39</f>
        <v>0</v>
      </c>
      <c r="E39" s="778">
        <f>'d1'!E39-'d1-07'!E39</f>
        <v>0</v>
      </c>
      <c r="F39" s="778">
        <f>'d1'!F39-'d1-07'!F39</f>
        <v>0</v>
      </c>
      <c r="G39" s="14"/>
    </row>
    <row r="40" spans="1:7" ht="16.5" thickTop="1" thickBot="1" x14ac:dyDescent="0.3">
      <c r="A40" s="781">
        <v>18010900</v>
      </c>
      <c r="B40" s="797" t="s">
        <v>84</v>
      </c>
      <c r="C40" s="778">
        <f>'d1'!C40-'d1-07'!C40</f>
        <v>1600000</v>
      </c>
      <c r="D40" s="778">
        <f>'d1'!D40-'d1-07'!D40</f>
        <v>1600000</v>
      </c>
      <c r="E40" s="778">
        <f>'d1'!E40-'d1-07'!E40</f>
        <v>0</v>
      </c>
      <c r="F40" s="778">
        <f>'d1'!F40-'d1-07'!F40</f>
        <v>0</v>
      </c>
      <c r="G40" s="14"/>
    </row>
    <row r="41" spans="1:7" ht="15.75" thickTop="1" thickBot="1" x14ac:dyDescent="0.25">
      <c r="A41" s="781">
        <v>18011000</v>
      </c>
      <c r="B41" s="797" t="s">
        <v>85</v>
      </c>
      <c r="C41" s="778">
        <f>'d1'!C41-'d1-07'!C41</f>
        <v>0</v>
      </c>
      <c r="D41" s="778">
        <f>'d1'!D41-'d1-07'!D41</f>
        <v>0</v>
      </c>
      <c r="E41" s="778">
        <f>'d1'!E41-'d1-07'!E41</f>
        <v>0</v>
      </c>
      <c r="F41" s="778">
        <f>'d1'!F41-'d1-07'!F41</f>
        <v>0</v>
      </c>
      <c r="G41" s="15"/>
    </row>
    <row r="42" spans="1:7" ht="16.5" thickTop="1" thickBot="1" x14ac:dyDescent="0.3">
      <c r="A42" s="781">
        <v>18011100</v>
      </c>
      <c r="B42" s="797" t="s">
        <v>86</v>
      </c>
      <c r="C42" s="778">
        <f>'d1'!C42-'d1-07'!C42</f>
        <v>0</v>
      </c>
      <c r="D42" s="778">
        <f>'d1'!D42-'d1-07'!D42</f>
        <v>0</v>
      </c>
      <c r="E42" s="778">
        <f>'d1'!E42-'d1-07'!E42</f>
        <v>0</v>
      </c>
      <c r="F42" s="778">
        <f>'d1'!F42-'d1-07'!F42</f>
        <v>0</v>
      </c>
      <c r="G42" s="14"/>
    </row>
    <row r="43" spans="1:7" ht="16.5" thickTop="1" thickBot="1" x14ac:dyDescent="0.3">
      <c r="A43" s="779">
        <v>18030000</v>
      </c>
      <c r="B43" s="796" t="s">
        <v>87</v>
      </c>
      <c r="C43" s="778">
        <f>'d1'!C43-'d1-07'!C43</f>
        <v>100000</v>
      </c>
      <c r="D43" s="778">
        <f>'d1'!D43-'d1-07'!D43</f>
        <v>100000</v>
      </c>
      <c r="E43" s="778">
        <f>'d1'!E43-'d1-07'!E43</f>
        <v>0</v>
      </c>
      <c r="F43" s="778">
        <f>'d1'!F43-'d1-07'!F43</f>
        <v>0</v>
      </c>
      <c r="G43" s="14"/>
    </row>
    <row r="44" spans="1:7" ht="27" thickTop="1" thickBot="1" x14ac:dyDescent="0.3">
      <c r="A44" s="781">
        <v>18030100</v>
      </c>
      <c r="B44" s="797" t="s">
        <v>88</v>
      </c>
      <c r="C44" s="778">
        <f>'d1'!C44-'d1-07'!C44</f>
        <v>80000</v>
      </c>
      <c r="D44" s="778">
        <f>'d1'!D44-'d1-07'!D44</f>
        <v>80000</v>
      </c>
      <c r="E44" s="778">
        <f>'d1'!E44-'d1-07'!E44</f>
        <v>0</v>
      </c>
      <c r="F44" s="778">
        <f>'d1'!F44-'d1-07'!F44</f>
        <v>0</v>
      </c>
      <c r="G44" s="14"/>
    </row>
    <row r="45" spans="1:7" ht="27" thickTop="1" thickBot="1" x14ac:dyDescent="0.3">
      <c r="A45" s="781">
        <v>18030200</v>
      </c>
      <c r="B45" s="797" t="s">
        <v>89</v>
      </c>
      <c r="C45" s="778">
        <f>'d1'!C45-'d1-07'!C45</f>
        <v>20000</v>
      </c>
      <c r="D45" s="778">
        <f>'d1'!D45-'d1-07'!D45</f>
        <v>20000</v>
      </c>
      <c r="E45" s="778">
        <f>'d1'!E45-'d1-07'!E45</f>
        <v>0</v>
      </c>
      <c r="F45" s="778">
        <f>'d1'!F45-'d1-07'!F45</f>
        <v>0</v>
      </c>
      <c r="G45" s="14"/>
    </row>
    <row r="46" spans="1:7" ht="16.5" thickTop="1" thickBot="1" x14ac:dyDescent="0.3">
      <c r="A46" s="779">
        <v>18050000</v>
      </c>
      <c r="B46" s="796" t="s">
        <v>90</v>
      </c>
      <c r="C46" s="778">
        <f>'d1'!C46-'d1-07'!C46</f>
        <v>5000000</v>
      </c>
      <c r="D46" s="778">
        <f>'d1'!D46-'d1-07'!D46</f>
        <v>5000000</v>
      </c>
      <c r="E46" s="778">
        <f>'d1'!E46-'d1-07'!E46</f>
        <v>0</v>
      </c>
      <c r="F46" s="778">
        <f>'d1'!F46-'d1-07'!F46</f>
        <v>0</v>
      </c>
      <c r="G46" s="14"/>
    </row>
    <row r="47" spans="1:7" ht="16.5" thickTop="1" thickBot="1" x14ac:dyDescent="0.3">
      <c r="A47" s="781">
        <v>18050300</v>
      </c>
      <c r="B47" s="782" t="s">
        <v>1391</v>
      </c>
      <c r="C47" s="778">
        <f>'d1'!C47-'d1-07'!C47</f>
        <v>0</v>
      </c>
      <c r="D47" s="778">
        <f>'d1'!D47-'d1-07'!D47</f>
        <v>0</v>
      </c>
      <c r="E47" s="778">
        <f>'d1'!E47-'d1-07'!E47</f>
        <v>0</v>
      </c>
      <c r="F47" s="778">
        <f>'d1'!F47-'d1-07'!F47</f>
        <v>0</v>
      </c>
      <c r="G47" s="14"/>
    </row>
    <row r="48" spans="1:7" ht="15.75" thickTop="1" thickBot="1" x14ac:dyDescent="0.25">
      <c r="A48" s="781">
        <v>18050400</v>
      </c>
      <c r="B48" s="797" t="s">
        <v>91</v>
      </c>
      <c r="C48" s="778">
        <f>'d1'!C48-'d1-07'!C48</f>
        <v>5000000</v>
      </c>
      <c r="D48" s="778">
        <f>'d1'!D48-'d1-07'!D48</f>
        <v>5000000</v>
      </c>
      <c r="E48" s="778">
        <f>'d1'!E48-'d1-07'!E48</f>
        <v>0</v>
      </c>
      <c r="F48" s="778">
        <f>'d1'!F48-'d1-07'!F48</f>
        <v>0</v>
      </c>
      <c r="G48" s="15"/>
    </row>
    <row r="49" spans="1:7" ht="65.25" thickTop="1" thickBot="1" x14ac:dyDescent="0.25">
      <c r="A49" s="781">
        <v>18050500</v>
      </c>
      <c r="B49" s="797" t="s">
        <v>630</v>
      </c>
      <c r="C49" s="778">
        <f>'d1'!C49-'d1-07'!C49</f>
        <v>0</v>
      </c>
      <c r="D49" s="778">
        <f>'d1'!D49-'d1-07'!D49</f>
        <v>0</v>
      </c>
      <c r="E49" s="778">
        <f>'d1'!E49-'d1-07'!E49</f>
        <v>0</v>
      </c>
      <c r="F49" s="778">
        <f>'d1'!F49-'d1-07'!F49</f>
        <v>0</v>
      </c>
      <c r="G49" s="152"/>
    </row>
    <row r="50" spans="1:7" ht="31.5" customHeight="1" thickTop="1" thickBot="1" x14ac:dyDescent="0.25">
      <c r="A50" s="776">
        <v>19000000</v>
      </c>
      <c r="B50" s="798" t="s">
        <v>623</v>
      </c>
      <c r="C50" s="778">
        <f>'d1'!C50-'d1-07'!C50</f>
        <v>0</v>
      </c>
      <c r="D50" s="778">
        <f>'d1'!D50-'d1-07'!D50</f>
        <v>0</v>
      </c>
      <c r="E50" s="778">
        <f>'d1'!E50-'d1-07'!E50</f>
        <v>0</v>
      </c>
      <c r="F50" s="778">
        <f>'d1'!F50-'d1-07'!F50</f>
        <v>0</v>
      </c>
      <c r="G50" s="15"/>
    </row>
    <row r="51" spans="1:7" ht="16.5" thickTop="1" thickBot="1" x14ac:dyDescent="0.3">
      <c r="A51" s="779">
        <v>1901000</v>
      </c>
      <c r="B51" s="780" t="s">
        <v>92</v>
      </c>
      <c r="C51" s="778">
        <f>'d1'!C51-'d1-07'!C51</f>
        <v>0</v>
      </c>
      <c r="D51" s="778">
        <f>'d1'!D51-'d1-07'!D51</f>
        <v>0</v>
      </c>
      <c r="E51" s="778">
        <f>'d1'!E51-'d1-07'!E51</f>
        <v>0</v>
      </c>
      <c r="F51" s="778">
        <f>'d1'!F51-'d1-07'!F51</f>
        <v>0</v>
      </c>
      <c r="G51" s="14"/>
    </row>
    <row r="52" spans="1:7" ht="52.5" thickTop="1" thickBot="1" x14ac:dyDescent="0.3">
      <c r="A52" s="781">
        <v>19010100</v>
      </c>
      <c r="B52" s="782" t="s">
        <v>624</v>
      </c>
      <c r="C52" s="778">
        <f>'d1'!C52-'d1-07'!C52</f>
        <v>0</v>
      </c>
      <c r="D52" s="778">
        <f>'d1'!D52-'d1-07'!D52</f>
        <v>0</v>
      </c>
      <c r="E52" s="778">
        <f>'d1'!E52-'d1-07'!E52</f>
        <v>0</v>
      </c>
      <c r="F52" s="778">
        <f>'d1'!F52-'d1-07'!F52</f>
        <v>0</v>
      </c>
      <c r="G52" s="14"/>
    </row>
    <row r="53" spans="1:7" ht="27" thickTop="1" thickBot="1" x14ac:dyDescent="0.25">
      <c r="A53" s="781">
        <v>19010200</v>
      </c>
      <c r="B53" s="782" t="s">
        <v>93</v>
      </c>
      <c r="C53" s="778">
        <f>'d1'!C53-'d1-07'!C53</f>
        <v>0</v>
      </c>
      <c r="D53" s="778">
        <f>'d1'!D53-'d1-07'!D53</f>
        <v>0</v>
      </c>
      <c r="E53" s="778">
        <f>'d1'!E53-'d1-07'!E53</f>
        <v>0</v>
      </c>
      <c r="F53" s="778">
        <f>'d1'!F53-'d1-07'!F53</f>
        <v>0</v>
      </c>
      <c r="G53" s="17"/>
    </row>
    <row r="54" spans="1:7" ht="52.5" thickTop="1" thickBot="1" x14ac:dyDescent="0.3">
      <c r="A54" s="781">
        <v>19010300</v>
      </c>
      <c r="B54" s="782" t="s">
        <v>94</v>
      </c>
      <c r="C54" s="778">
        <f>'d1'!C54-'d1-07'!C54</f>
        <v>0</v>
      </c>
      <c r="D54" s="778">
        <f>'d1'!D54-'d1-07'!D54</f>
        <v>0</v>
      </c>
      <c r="E54" s="778">
        <f>'d1'!E54-'d1-07'!E54</f>
        <v>0</v>
      </c>
      <c r="F54" s="778">
        <f>'d1'!F54-'d1-07'!F54</f>
        <v>0</v>
      </c>
      <c r="G54" s="14"/>
    </row>
    <row r="55" spans="1:7" ht="30" customHeight="1" thickTop="1" thickBot="1" x14ac:dyDescent="0.3">
      <c r="A55" s="774">
        <v>20000000</v>
      </c>
      <c r="B55" s="774" t="s">
        <v>95</v>
      </c>
      <c r="C55" s="775">
        <f t="shared" ref="C55" si="0">SUM(D55,E55)</f>
        <v>7992250</v>
      </c>
      <c r="D55" s="775">
        <f>SUM(D56,D64,D74,D79)</f>
        <v>5750000</v>
      </c>
      <c r="E55" s="775">
        <f>SUM(E56,E64,E74,E79)</f>
        <v>2242250</v>
      </c>
      <c r="F55" s="775">
        <f>SUM(F56,F64,F74,F79)</f>
        <v>0</v>
      </c>
      <c r="G55" s="14"/>
    </row>
    <row r="56" spans="1:7" ht="27" thickTop="1" thickBot="1" x14ac:dyDescent="0.3">
      <c r="A56" s="776">
        <v>21000000</v>
      </c>
      <c r="B56" s="776" t="s">
        <v>625</v>
      </c>
      <c r="C56" s="778">
        <f>'d1'!C56-'d1-07'!C56</f>
        <v>2750000</v>
      </c>
      <c r="D56" s="778">
        <f>'d1'!D56-'d1-07'!D56</f>
        <v>2750000</v>
      </c>
      <c r="E56" s="778">
        <f>'d1'!E56-'d1-07'!E56</f>
        <v>0</v>
      </c>
      <c r="F56" s="778">
        <f>'d1'!F56-'d1-07'!F56</f>
        <v>0</v>
      </c>
      <c r="G56" s="14"/>
    </row>
    <row r="57" spans="1:7" ht="55.5" thickTop="1" thickBot="1" x14ac:dyDescent="0.3">
      <c r="A57" s="779">
        <v>21010000</v>
      </c>
      <c r="B57" s="791" t="s">
        <v>626</v>
      </c>
      <c r="C57" s="778">
        <f>'d1'!C57-'d1-07'!C57</f>
        <v>0</v>
      </c>
      <c r="D57" s="778">
        <f>'d1'!D57-'d1-07'!D57</f>
        <v>0</v>
      </c>
      <c r="E57" s="778">
        <f>'d1'!E57-'d1-07'!E57</f>
        <v>0</v>
      </c>
      <c r="F57" s="778">
        <f>'d1'!F57-'d1-07'!F57</f>
        <v>0</v>
      </c>
      <c r="G57" s="14"/>
    </row>
    <row r="58" spans="1:7" ht="52.5" thickTop="1" thickBot="1" x14ac:dyDescent="0.3">
      <c r="A58" s="781">
        <v>21010300</v>
      </c>
      <c r="B58" s="789" t="s">
        <v>96</v>
      </c>
      <c r="C58" s="778">
        <f>'d1'!C58-'d1-07'!C58</f>
        <v>0</v>
      </c>
      <c r="D58" s="778">
        <f>'d1'!D58-'d1-07'!D58</f>
        <v>0</v>
      </c>
      <c r="E58" s="778">
        <f>'d1'!E58-'d1-07'!E58</f>
        <v>0</v>
      </c>
      <c r="F58" s="778">
        <f>'d1'!F58-'d1-07'!F58</f>
        <v>0</v>
      </c>
      <c r="G58" s="14"/>
    </row>
    <row r="59" spans="1:7" ht="28.5" thickTop="1" thickBot="1" x14ac:dyDescent="0.3">
      <c r="A59" s="779">
        <v>21050000</v>
      </c>
      <c r="B59" s="791" t="s">
        <v>97</v>
      </c>
      <c r="C59" s="778">
        <f>'d1'!C59-'d1-07'!C59</f>
        <v>1500000</v>
      </c>
      <c r="D59" s="778">
        <f>'d1'!D59-'d1-07'!D59</f>
        <v>1500000</v>
      </c>
      <c r="E59" s="778">
        <f>'d1'!E59-'d1-07'!E59</f>
        <v>0</v>
      </c>
      <c r="F59" s="778">
        <f>'d1'!F59-'d1-07'!F59</f>
        <v>0</v>
      </c>
      <c r="G59" s="14"/>
    </row>
    <row r="60" spans="1:7" ht="15" thickTop="1" thickBot="1" x14ac:dyDescent="0.25">
      <c r="A60" s="779">
        <v>21080000</v>
      </c>
      <c r="B60" s="791" t="s">
        <v>1392</v>
      </c>
      <c r="C60" s="778">
        <f>'d1'!C60-'d1-07'!C60</f>
        <v>1250000</v>
      </c>
      <c r="D60" s="778">
        <f>'d1'!D60-'d1-07'!D60</f>
        <v>1250000</v>
      </c>
      <c r="E60" s="778">
        <f>'d1'!E60-'d1-07'!E60</f>
        <v>0</v>
      </c>
      <c r="F60" s="778">
        <f>'d1'!F60-'d1-07'!F60</f>
        <v>0</v>
      </c>
      <c r="G60" s="17"/>
    </row>
    <row r="61" spans="1:7" ht="16.5" thickTop="1" thickBot="1" x14ac:dyDescent="0.3">
      <c r="A61" s="781">
        <v>21081100</v>
      </c>
      <c r="B61" s="799" t="s">
        <v>98</v>
      </c>
      <c r="C61" s="778">
        <f>'d1'!C61-'d1-07'!C61</f>
        <v>500000</v>
      </c>
      <c r="D61" s="778">
        <f>'d1'!D61-'d1-07'!D61</f>
        <v>500000</v>
      </c>
      <c r="E61" s="778">
        <f>'d1'!E61-'d1-07'!E61</f>
        <v>0</v>
      </c>
      <c r="F61" s="778">
        <f>'d1'!F61-'d1-07'!F61</f>
        <v>0</v>
      </c>
      <c r="G61" s="14"/>
    </row>
    <row r="62" spans="1:7" ht="52.5" thickTop="1" thickBot="1" x14ac:dyDescent="0.3">
      <c r="A62" s="781">
        <v>21081500</v>
      </c>
      <c r="B62" s="782" t="s">
        <v>99</v>
      </c>
      <c r="C62" s="778">
        <f>'d1'!C62-'d1-07'!C62</f>
        <v>750000</v>
      </c>
      <c r="D62" s="778">
        <f>'d1'!D62-'d1-07'!D62</f>
        <v>750000</v>
      </c>
      <c r="E62" s="778">
        <f>'d1'!E62-'d1-07'!E62</f>
        <v>0</v>
      </c>
      <c r="F62" s="778">
        <f>'d1'!F62-'d1-07'!F62</f>
        <v>0</v>
      </c>
      <c r="G62" s="14"/>
    </row>
    <row r="63" spans="1:7" ht="16.5" thickTop="1" thickBot="1" x14ac:dyDescent="0.3">
      <c r="A63" s="781">
        <v>21081700</v>
      </c>
      <c r="B63" s="782" t="s">
        <v>401</v>
      </c>
      <c r="C63" s="778">
        <f>'d1'!C63-'d1-07'!C63</f>
        <v>0</v>
      </c>
      <c r="D63" s="778">
        <f>'d1'!D63-'d1-07'!D63</f>
        <v>0</v>
      </c>
      <c r="E63" s="778">
        <f>'d1'!E63-'d1-07'!E63</f>
        <v>0</v>
      </c>
      <c r="F63" s="778">
        <f>'d1'!F63-'d1-07'!F63</f>
        <v>0</v>
      </c>
      <c r="G63" s="49"/>
    </row>
    <row r="64" spans="1:7" ht="27" thickTop="1" thickBot="1" x14ac:dyDescent="0.3">
      <c r="A64" s="776">
        <v>22000000</v>
      </c>
      <c r="B64" s="776" t="s">
        <v>100</v>
      </c>
      <c r="C64" s="778">
        <f>'d1'!C64-'d1-07'!C64</f>
        <v>3000000</v>
      </c>
      <c r="D64" s="778">
        <f>'d1'!D64-'d1-07'!D64</f>
        <v>3000000</v>
      </c>
      <c r="E64" s="778">
        <f>'d1'!E64-'d1-07'!E64</f>
        <v>0</v>
      </c>
      <c r="F64" s="778">
        <f>'d1'!F64-'d1-07'!F64</f>
        <v>0</v>
      </c>
      <c r="G64" s="14"/>
    </row>
    <row r="65" spans="1:7" ht="24.75" customHeight="1" thickTop="1" thickBot="1" x14ac:dyDescent="0.3">
      <c r="A65" s="779">
        <v>22010000</v>
      </c>
      <c r="B65" s="780" t="s">
        <v>627</v>
      </c>
      <c r="C65" s="778">
        <f>'d1'!C65-'d1-07'!C65</f>
        <v>1000000</v>
      </c>
      <c r="D65" s="778">
        <f>'d1'!D65-'d1-07'!D65</f>
        <v>1000000</v>
      </c>
      <c r="E65" s="778">
        <f>'d1'!E65-'d1-07'!E65</f>
        <v>0</v>
      </c>
      <c r="F65" s="778">
        <f>'d1'!F65-'d1-07'!F65</f>
        <v>0</v>
      </c>
      <c r="G65" s="14"/>
    </row>
    <row r="66" spans="1:7" ht="39.75" thickTop="1" thickBot="1" x14ac:dyDescent="0.3">
      <c r="A66" s="781">
        <v>22010300</v>
      </c>
      <c r="B66" s="782" t="s">
        <v>161</v>
      </c>
      <c r="C66" s="778">
        <f>'d1'!C66-'d1-07'!C66</f>
        <v>0</v>
      </c>
      <c r="D66" s="778">
        <f>'d1'!D66-'d1-07'!D66</f>
        <v>0</v>
      </c>
      <c r="E66" s="778">
        <f>'d1'!E66-'d1-07'!E66</f>
        <v>0</v>
      </c>
      <c r="F66" s="778">
        <f>'d1'!F66-'d1-07'!F66</f>
        <v>0</v>
      </c>
      <c r="G66" s="14"/>
    </row>
    <row r="67" spans="1:7" ht="16.5" thickTop="1" thickBot="1" x14ac:dyDescent="0.3">
      <c r="A67" s="781">
        <v>22012500</v>
      </c>
      <c r="B67" s="782" t="s">
        <v>102</v>
      </c>
      <c r="C67" s="778">
        <f>'d1'!C67-'d1-07'!C67</f>
        <v>1000000</v>
      </c>
      <c r="D67" s="778">
        <f>'d1'!D67-'d1-07'!D67</f>
        <v>1000000</v>
      </c>
      <c r="E67" s="778">
        <f>'d1'!E67-'d1-07'!E67</f>
        <v>0</v>
      </c>
      <c r="F67" s="778">
        <f>'d1'!F67-'d1-07'!F67</f>
        <v>0</v>
      </c>
      <c r="G67" s="14"/>
    </row>
    <row r="68" spans="1:7" ht="27" thickTop="1" thickBot="1" x14ac:dyDescent="0.3">
      <c r="A68" s="781">
        <v>22012600</v>
      </c>
      <c r="B68" s="782" t="s">
        <v>101</v>
      </c>
      <c r="C68" s="778">
        <f>'d1'!C68-'d1-07'!C68</f>
        <v>0</v>
      </c>
      <c r="D68" s="778">
        <f>'d1'!D68-'d1-07'!D68</f>
        <v>0</v>
      </c>
      <c r="E68" s="778">
        <f>'d1'!E68-'d1-07'!E68</f>
        <v>0</v>
      </c>
      <c r="F68" s="778">
        <f>'d1'!F68-'d1-07'!F68</f>
        <v>0</v>
      </c>
      <c r="G68" s="14"/>
    </row>
    <row r="69" spans="1:7" ht="42" thickTop="1" thickBot="1" x14ac:dyDescent="0.3">
      <c r="A69" s="779">
        <v>2208000</v>
      </c>
      <c r="B69" s="780" t="s">
        <v>628</v>
      </c>
      <c r="C69" s="778">
        <f>'d1'!C69-'d1-07'!C69</f>
        <v>2000000</v>
      </c>
      <c r="D69" s="778">
        <f>'d1'!D69-'d1-07'!D69</f>
        <v>2000000</v>
      </c>
      <c r="E69" s="778">
        <f>'d1'!E69-'d1-07'!E69</f>
        <v>0</v>
      </c>
      <c r="F69" s="778">
        <f>'d1'!F69-'d1-07'!F69</f>
        <v>0</v>
      </c>
      <c r="G69" s="14"/>
    </row>
    <row r="70" spans="1:7" ht="52.5" thickTop="1" thickBot="1" x14ac:dyDescent="0.3">
      <c r="A70" s="781">
        <v>22080400</v>
      </c>
      <c r="B70" s="799" t="s">
        <v>103</v>
      </c>
      <c r="C70" s="778">
        <f>'d1'!C70-'d1-07'!C70</f>
        <v>2000000</v>
      </c>
      <c r="D70" s="778">
        <f>'d1'!D70-'d1-07'!D70</f>
        <v>2000000</v>
      </c>
      <c r="E70" s="778">
        <f>'d1'!E70-'d1-07'!E70</f>
        <v>0</v>
      </c>
      <c r="F70" s="778">
        <f>'d1'!F70-'d1-07'!F70</f>
        <v>0</v>
      </c>
      <c r="G70" s="14"/>
    </row>
    <row r="71" spans="1:7" ht="16.5" thickTop="1" thickBot="1" x14ac:dyDescent="0.3">
      <c r="A71" s="779">
        <v>22090000</v>
      </c>
      <c r="B71" s="802" t="s">
        <v>104</v>
      </c>
      <c r="C71" s="778">
        <f>'d1'!C71-'d1-07'!C71</f>
        <v>0</v>
      </c>
      <c r="D71" s="778">
        <f>'d1'!D71-'d1-07'!D71</f>
        <v>0</v>
      </c>
      <c r="E71" s="778">
        <f>'d1'!E71-'d1-07'!E71</f>
        <v>0</v>
      </c>
      <c r="F71" s="778">
        <f>'d1'!F71-'d1-07'!F71</f>
        <v>0</v>
      </c>
      <c r="G71" s="14"/>
    </row>
    <row r="72" spans="1:7" ht="52.5" thickTop="1" thickBot="1" x14ac:dyDescent="0.3">
      <c r="A72" s="781">
        <v>22090100</v>
      </c>
      <c r="B72" s="797" t="s">
        <v>105</v>
      </c>
      <c r="C72" s="778">
        <f>'d1'!C72-'d1-07'!C72</f>
        <v>0</v>
      </c>
      <c r="D72" s="778">
        <f>'d1'!D72-'d1-07'!D72</f>
        <v>0</v>
      </c>
      <c r="E72" s="778">
        <f>'d1'!E72-'d1-07'!E72</f>
        <v>0</v>
      </c>
      <c r="F72" s="778">
        <f>'d1'!F72-'d1-07'!F72</f>
        <v>0</v>
      </c>
      <c r="G72" s="14"/>
    </row>
    <row r="73" spans="1:7" ht="39.75" thickTop="1" thickBot="1" x14ac:dyDescent="0.25">
      <c r="A73" s="781">
        <v>22090400</v>
      </c>
      <c r="B73" s="797" t="s">
        <v>106</v>
      </c>
      <c r="C73" s="778">
        <f>'d1'!C73-'d1-07'!C73</f>
        <v>0</v>
      </c>
      <c r="D73" s="778">
        <f>'d1'!D73-'d1-07'!D73</f>
        <v>0</v>
      </c>
      <c r="E73" s="778">
        <f>'d1'!E73-'d1-07'!E73</f>
        <v>0</v>
      </c>
      <c r="F73" s="778">
        <f>'d1'!F73-'d1-07'!F73</f>
        <v>0</v>
      </c>
      <c r="G73" s="16"/>
    </row>
    <row r="74" spans="1:7" ht="27" customHeight="1" thickTop="1" thickBot="1" x14ac:dyDescent="0.3">
      <c r="A74" s="776">
        <v>24000000</v>
      </c>
      <c r="B74" s="803" t="s">
        <v>107</v>
      </c>
      <c r="C74" s="778">
        <f>'d1'!C74-'d1-07'!C74</f>
        <v>0</v>
      </c>
      <c r="D74" s="778">
        <f>'d1'!D74-'d1-07'!D74</f>
        <v>0</v>
      </c>
      <c r="E74" s="778">
        <f>'d1'!E74-'d1-07'!E74</f>
        <v>0</v>
      </c>
      <c r="F74" s="778">
        <f>'d1'!F74-'d1-07'!F74</f>
        <v>0</v>
      </c>
      <c r="G74" s="14"/>
    </row>
    <row r="75" spans="1:7" ht="16.5" thickTop="1" thickBot="1" x14ac:dyDescent="0.3">
      <c r="A75" s="781">
        <v>24060300</v>
      </c>
      <c r="B75" s="782" t="s">
        <v>108</v>
      </c>
      <c r="C75" s="778">
        <f>'d1'!C75-'d1-07'!C75</f>
        <v>0</v>
      </c>
      <c r="D75" s="778">
        <f>'d1'!D75-'d1-07'!D75</f>
        <v>0</v>
      </c>
      <c r="E75" s="778">
        <f>'d1'!E75-'d1-07'!E75</f>
        <v>0</v>
      </c>
      <c r="F75" s="778">
        <f>'d1'!F75-'d1-07'!F75</f>
        <v>0</v>
      </c>
      <c r="G75" s="14"/>
    </row>
    <row r="76" spans="1:7" ht="65.25" thickTop="1" thickBot="1" x14ac:dyDescent="0.3">
      <c r="A76" s="781">
        <v>24062200</v>
      </c>
      <c r="B76" s="782" t="s">
        <v>402</v>
      </c>
      <c r="C76" s="778">
        <f>'d1'!C76-'d1-07'!C76</f>
        <v>0</v>
      </c>
      <c r="D76" s="778">
        <f>'d1'!D76-'d1-07'!D76</f>
        <v>0</v>
      </c>
      <c r="E76" s="778">
        <f>'d1'!E76-'d1-07'!E76</f>
        <v>0</v>
      </c>
      <c r="F76" s="778">
        <f>'d1'!F76-'d1-07'!F76</f>
        <v>0</v>
      </c>
      <c r="G76" s="14"/>
    </row>
    <row r="77" spans="1:7" ht="39.75" thickTop="1" thickBot="1" x14ac:dyDescent="0.3">
      <c r="A77" s="781">
        <v>24110700</v>
      </c>
      <c r="B77" s="804" t="s">
        <v>723</v>
      </c>
      <c r="C77" s="778">
        <f>'d1'!C77-'d1-07'!C77</f>
        <v>0</v>
      </c>
      <c r="D77" s="778">
        <f>'d1'!D77-'d1-07'!D77</f>
        <v>0</v>
      </c>
      <c r="E77" s="778">
        <f>'d1'!E77-'d1-07'!E77</f>
        <v>0</v>
      </c>
      <c r="F77" s="778">
        <f>'d1'!F77-'d1-07'!F77</f>
        <v>0</v>
      </c>
      <c r="G77" s="14"/>
    </row>
    <row r="78" spans="1:7" ht="27" thickTop="1" thickBot="1" x14ac:dyDescent="0.25">
      <c r="A78" s="781">
        <v>24170000</v>
      </c>
      <c r="B78" s="789" t="s">
        <v>109</v>
      </c>
      <c r="C78" s="778">
        <f>'d1'!C78-'d1-07'!C78</f>
        <v>0</v>
      </c>
      <c r="D78" s="778">
        <f>'d1'!D78-'d1-07'!D78</f>
        <v>0</v>
      </c>
      <c r="E78" s="778">
        <f>'d1'!E78-'d1-07'!E78</f>
        <v>0</v>
      </c>
      <c r="F78" s="778">
        <f>'d1'!F78-'d1-07'!F78</f>
        <v>0</v>
      </c>
      <c r="G78" s="15"/>
    </row>
    <row r="79" spans="1:7" ht="16.5" thickTop="1" thickBot="1" x14ac:dyDescent="0.3">
      <c r="A79" s="776">
        <v>25000000</v>
      </c>
      <c r="B79" s="777" t="s">
        <v>110</v>
      </c>
      <c r="C79" s="778">
        <f>'d1'!C79-'d1-07'!C79</f>
        <v>2242250</v>
      </c>
      <c r="D79" s="778">
        <f>'d1'!D79-'d1-07'!D79</f>
        <v>0</v>
      </c>
      <c r="E79" s="778">
        <f>'d1'!E79-'d1-07'!E79</f>
        <v>2242250</v>
      </c>
      <c r="F79" s="778">
        <f>'d1'!F79-'d1-07'!F79</f>
        <v>0</v>
      </c>
      <c r="G79" s="14"/>
    </row>
    <row r="80" spans="1:7" ht="42" thickTop="1" thickBot="1" x14ac:dyDescent="0.3">
      <c r="A80" s="779">
        <v>25010000</v>
      </c>
      <c r="B80" s="791" t="s">
        <v>111</v>
      </c>
      <c r="C80" s="778">
        <f>'d1'!C80-'d1-07'!C80</f>
        <v>2242250</v>
      </c>
      <c r="D80" s="778">
        <f>'d1'!D80-'d1-07'!D80</f>
        <v>0</v>
      </c>
      <c r="E80" s="778">
        <f>'d1'!E80-'d1-07'!E80</f>
        <v>2242250</v>
      </c>
      <c r="F80" s="778">
        <f>'d1'!F80-'d1-07'!F80</f>
        <v>0</v>
      </c>
      <c r="G80" s="14"/>
    </row>
    <row r="81" spans="1:7" ht="27" thickTop="1" thickBot="1" x14ac:dyDescent="0.3">
      <c r="A81" s="781">
        <v>25010100</v>
      </c>
      <c r="B81" s="789" t="s">
        <v>112</v>
      </c>
      <c r="C81" s="778">
        <f>'d1'!C81-'d1-07'!C81</f>
        <v>1845970</v>
      </c>
      <c r="D81" s="778">
        <f>'d1'!D81-'d1-07'!D81</f>
        <v>0</v>
      </c>
      <c r="E81" s="778">
        <f>'d1'!E81-'d1-07'!E81</f>
        <v>1845970</v>
      </c>
      <c r="F81" s="778">
        <f>'d1'!F81-'d1-07'!F81</f>
        <v>0</v>
      </c>
      <c r="G81" s="14"/>
    </row>
    <row r="82" spans="1:7" ht="27" thickTop="1" thickBot="1" x14ac:dyDescent="0.3">
      <c r="A82" s="781">
        <v>25010200</v>
      </c>
      <c r="B82" s="789" t="s">
        <v>113</v>
      </c>
      <c r="C82" s="778">
        <f>'d1'!C82-'d1-07'!C82</f>
        <v>396280</v>
      </c>
      <c r="D82" s="778">
        <f>'d1'!D82-'d1-07'!D82</f>
        <v>0</v>
      </c>
      <c r="E82" s="778">
        <f>'d1'!E82-'d1-07'!E82</f>
        <v>396280</v>
      </c>
      <c r="F82" s="778">
        <f>'d1'!F82-'d1-07'!F82</f>
        <v>0</v>
      </c>
      <c r="G82" s="14"/>
    </row>
    <row r="83" spans="1:7" ht="16.5" thickTop="1" thickBot="1" x14ac:dyDescent="0.3">
      <c r="A83" s="781">
        <v>25010300</v>
      </c>
      <c r="B83" s="789" t="s">
        <v>114</v>
      </c>
      <c r="C83" s="778">
        <f>'d1'!C83-'d1-07'!C83</f>
        <v>0</v>
      </c>
      <c r="D83" s="778">
        <f>'d1'!D83-'d1-07'!D83</f>
        <v>0</v>
      </c>
      <c r="E83" s="778">
        <f>'d1'!E83-'d1-07'!E83</f>
        <v>0</v>
      </c>
      <c r="F83" s="778">
        <f>'d1'!F83-'d1-07'!F83</f>
        <v>0</v>
      </c>
      <c r="G83" s="14"/>
    </row>
    <row r="84" spans="1:7" ht="39.75" thickTop="1" thickBot="1" x14ac:dyDescent="0.3">
      <c r="A84" s="781">
        <v>25010400</v>
      </c>
      <c r="B84" s="789" t="s">
        <v>115</v>
      </c>
      <c r="C84" s="778">
        <f>'d1'!C84-'d1-07'!C84</f>
        <v>0</v>
      </c>
      <c r="D84" s="778">
        <f>'d1'!D84-'d1-07'!D84</f>
        <v>0</v>
      </c>
      <c r="E84" s="778">
        <f>'d1'!E84-'d1-07'!E84</f>
        <v>0</v>
      </c>
      <c r="F84" s="778">
        <f>'d1'!F84-'d1-07'!F84</f>
        <v>0</v>
      </c>
      <c r="G84" s="14"/>
    </row>
    <row r="85" spans="1:7" ht="29.25" customHeight="1" thickTop="1" thickBot="1" x14ac:dyDescent="0.25">
      <c r="A85" s="774">
        <v>30000000</v>
      </c>
      <c r="B85" s="774" t="s">
        <v>116</v>
      </c>
      <c r="C85" s="775">
        <f t="shared" ref="C85" si="1">SUM(D85,E85)</f>
        <v>9500000</v>
      </c>
      <c r="D85" s="775">
        <f>SUM(D86)+D90</f>
        <v>0</v>
      </c>
      <c r="E85" s="775">
        <f>SUM(E86)+E90</f>
        <v>9500000</v>
      </c>
      <c r="F85" s="775">
        <f>SUM(F89:F90)</f>
        <v>9500000</v>
      </c>
      <c r="G85" s="16"/>
    </row>
    <row r="86" spans="1:7" ht="27" customHeight="1" thickTop="1" thickBot="1" x14ac:dyDescent="0.3">
      <c r="A86" s="776">
        <v>31000000</v>
      </c>
      <c r="B86" s="776" t="s">
        <v>117</v>
      </c>
      <c r="C86" s="778">
        <f>'d1'!C86-'d1-07'!C86</f>
        <v>7000000</v>
      </c>
      <c r="D86" s="778">
        <f>'d1'!D86-'d1-07'!D86</f>
        <v>0</v>
      </c>
      <c r="E86" s="778">
        <f>'d1'!E86-'d1-07'!E86</f>
        <v>7000000</v>
      </c>
      <c r="F86" s="778">
        <f>'d1'!F86-'d1-07'!F86</f>
        <v>7000000</v>
      </c>
      <c r="G86" s="14"/>
    </row>
    <row r="87" spans="1:7" ht="82.5" thickTop="1" thickBot="1" x14ac:dyDescent="0.3">
      <c r="A87" s="779">
        <v>3101000</v>
      </c>
      <c r="B87" s="780" t="s">
        <v>629</v>
      </c>
      <c r="C87" s="778">
        <f>'d1'!C87-'d1-07'!C87</f>
        <v>0</v>
      </c>
      <c r="D87" s="778">
        <f>'d1'!D87-'d1-07'!D87</f>
        <v>0</v>
      </c>
      <c r="E87" s="778">
        <f>'d1'!E87-'d1-07'!E87</f>
        <v>0</v>
      </c>
      <c r="F87" s="778">
        <f>'d1'!F87-'d1-07'!F87</f>
        <v>0</v>
      </c>
      <c r="G87" s="14"/>
    </row>
    <row r="88" spans="1:7" ht="78" thickTop="1" thickBot="1" x14ac:dyDescent="0.3">
      <c r="A88" s="781">
        <v>31010200</v>
      </c>
      <c r="B88" s="789" t="s">
        <v>118</v>
      </c>
      <c r="C88" s="778">
        <f>'d1'!C88-'d1-07'!C88</f>
        <v>0</v>
      </c>
      <c r="D88" s="778">
        <f>'d1'!D88-'d1-07'!D88</f>
        <v>0</v>
      </c>
      <c r="E88" s="778">
        <f>'d1'!E88-'d1-07'!E88</f>
        <v>0</v>
      </c>
      <c r="F88" s="778">
        <f>'d1'!F88-'d1-07'!F88</f>
        <v>0</v>
      </c>
      <c r="G88" s="14"/>
    </row>
    <row r="89" spans="1:7" ht="55.5" thickTop="1" thickBot="1" x14ac:dyDescent="0.3">
      <c r="A89" s="779">
        <v>31030000</v>
      </c>
      <c r="B89" s="791" t="s">
        <v>119</v>
      </c>
      <c r="C89" s="778">
        <f>'d1'!C89-'d1-07'!C89</f>
        <v>7000000</v>
      </c>
      <c r="D89" s="778">
        <f>'d1'!D89-'d1-07'!D89</f>
        <v>0</v>
      </c>
      <c r="E89" s="778">
        <f>'d1'!E89-'d1-07'!E89</f>
        <v>7000000</v>
      </c>
      <c r="F89" s="778">
        <f>'d1'!F89-'d1-07'!F89</f>
        <v>7000000</v>
      </c>
      <c r="G89" s="14"/>
    </row>
    <row r="90" spans="1:7" ht="27" thickTop="1" thickBot="1" x14ac:dyDescent="0.3">
      <c r="A90" s="776">
        <v>33000000</v>
      </c>
      <c r="B90" s="776" t="s">
        <v>120</v>
      </c>
      <c r="C90" s="778">
        <f>'d1'!C90-'d1-07'!C90</f>
        <v>2500000</v>
      </c>
      <c r="D90" s="778">
        <f>'d1'!D90-'d1-07'!D90</f>
        <v>0</v>
      </c>
      <c r="E90" s="778">
        <f>'d1'!E90-'d1-07'!E90</f>
        <v>2500000</v>
      </c>
      <c r="F90" s="778">
        <f>'d1'!F90-'d1-07'!F90</f>
        <v>2500000</v>
      </c>
      <c r="G90" s="14"/>
    </row>
    <row r="91" spans="1:7" ht="16.5" thickTop="1" thickBot="1" x14ac:dyDescent="0.3">
      <c r="A91" s="779">
        <v>33010000</v>
      </c>
      <c r="B91" s="780" t="s">
        <v>121</v>
      </c>
      <c r="C91" s="778">
        <f>'d1'!C91-'d1-07'!C91</f>
        <v>2500000</v>
      </c>
      <c r="D91" s="778">
        <f>'d1'!D91-'d1-07'!D91</f>
        <v>0</v>
      </c>
      <c r="E91" s="778">
        <f>'d1'!E91-'d1-07'!E91</f>
        <v>2500000</v>
      </c>
      <c r="F91" s="778">
        <f>'d1'!F91-'d1-07'!F91</f>
        <v>2500000</v>
      </c>
      <c r="G91" s="14"/>
    </row>
    <row r="92" spans="1:7" ht="52.5" thickTop="1" thickBot="1" x14ac:dyDescent="0.3">
      <c r="A92" s="781">
        <v>33010100</v>
      </c>
      <c r="B92" s="789" t="s">
        <v>368</v>
      </c>
      <c r="C92" s="778">
        <f>'d1'!C92-'d1-07'!C92</f>
        <v>2500000</v>
      </c>
      <c r="D92" s="778">
        <f>'d1'!D92-'d1-07'!D92</f>
        <v>0</v>
      </c>
      <c r="E92" s="778">
        <f>'d1'!E92-'d1-07'!E92</f>
        <v>2500000</v>
      </c>
      <c r="F92" s="778">
        <f>'d1'!F92-'d1-07'!F92</f>
        <v>2500000</v>
      </c>
      <c r="G92" s="14"/>
    </row>
    <row r="93" spans="1:7" ht="52.5" thickTop="1" thickBot="1" x14ac:dyDescent="0.3">
      <c r="A93" s="781">
        <v>33010200</v>
      </c>
      <c r="B93" s="789" t="s">
        <v>122</v>
      </c>
      <c r="C93" s="778">
        <f>'d1'!C93-'d1-07'!C93</f>
        <v>0</v>
      </c>
      <c r="D93" s="778">
        <f>'d1'!D93-'d1-07'!D93</f>
        <v>0</v>
      </c>
      <c r="E93" s="778">
        <f>'d1'!E93-'d1-07'!E93</f>
        <v>0</v>
      </c>
      <c r="F93" s="778">
        <f>'d1'!F93-'d1-07'!F93</f>
        <v>0</v>
      </c>
      <c r="G93" s="14"/>
    </row>
    <row r="94" spans="1:7" ht="27" customHeight="1" thickTop="1" thickBot="1" x14ac:dyDescent="0.3">
      <c r="A94" s="774">
        <v>50000000</v>
      </c>
      <c r="B94" s="774" t="s">
        <v>532</v>
      </c>
      <c r="C94" s="775">
        <f>SUM(D94,E94)</f>
        <v>500000</v>
      </c>
      <c r="D94" s="775"/>
      <c r="E94" s="775">
        <f>SUM(E95)</f>
        <v>500000</v>
      </c>
      <c r="F94" s="775"/>
      <c r="G94" s="14"/>
    </row>
    <row r="95" spans="1:7" ht="52.5" thickTop="1" thickBot="1" x14ac:dyDescent="0.3">
      <c r="A95" s="776">
        <v>50110000</v>
      </c>
      <c r="B95" s="790" t="s">
        <v>123</v>
      </c>
      <c r="C95" s="778">
        <f>'d1'!C95-'d1-07'!C95</f>
        <v>500000</v>
      </c>
      <c r="D95" s="778">
        <f>'d1'!D95-'d1-07'!D95</f>
        <v>0</v>
      </c>
      <c r="E95" s="778">
        <f>'d1'!E95-'d1-07'!E95</f>
        <v>500000</v>
      </c>
      <c r="F95" s="778">
        <f>'d1'!F95-'d1-07'!F95</f>
        <v>0</v>
      </c>
      <c r="G95" s="14"/>
    </row>
    <row r="96" spans="1:7" ht="45.75" customHeight="1" thickTop="1" thickBot="1" x14ac:dyDescent="0.25">
      <c r="A96" s="805"/>
      <c r="B96" s="808" t="s">
        <v>533</v>
      </c>
      <c r="C96" s="806">
        <f t="shared" ref="C96:C97" si="2">SUM(D96,E96)</f>
        <v>38317250</v>
      </c>
      <c r="D96" s="807">
        <f>D94+D85+D55+D11</f>
        <v>26075000</v>
      </c>
      <c r="E96" s="807">
        <f>E94+E85+E55+E11</f>
        <v>12242250</v>
      </c>
      <c r="F96" s="807">
        <f>F94+F85+F55+F11</f>
        <v>9500000</v>
      </c>
      <c r="G96" s="15"/>
    </row>
    <row r="97" spans="1:7" ht="34.5" customHeight="1" thickTop="1" thickBot="1" x14ac:dyDescent="0.25">
      <c r="A97" s="774">
        <v>40000000</v>
      </c>
      <c r="B97" s="774" t="s">
        <v>455</v>
      </c>
      <c r="C97" s="775">
        <f t="shared" si="2"/>
        <v>30432605.309999943</v>
      </c>
      <c r="D97" s="775">
        <f>SUM(D100,D98)</f>
        <v>25762605.309999943</v>
      </c>
      <c r="E97" s="775">
        <f>SUM(E100,E98)</f>
        <v>4670000</v>
      </c>
      <c r="F97" s="775">
        <f>SUM(F100,F98)</f>
        <v>4670000</v>
      </c>
      <c r="G97" s="15"/>
    </row>
    <row r="98" spans="1:7" ht="27" thickTop="1" thickBot="1" x14ac:dyDescent="0.25">
      <c r="A98" s="776">
        <v>41040000</v>
      </c>
      <c r="B98" s="795" t="s">
        <v>370</v>
      </c>
      <c r="C98" s="778">
        <f>'d1'!C98-'d1-07'!C98</f>
        <v>0</v>
      </c>
      <c r="D98" s="778">
        <f>'d1'!D98-'d1-07'!D98</f>
        <v>0</v>
      </c>
      <c r="E98" s="778">
        <f>'d1'!E98-'d1-07'!E98</f>
        <v>0</v>
      </c>
      <c r="F98" s="778">
        <f>'d1'!F98-'d1-07'!F98</f>
        <v>0</v>
      </c>
      <c r="G98" s="15"/>
    </row>
    <row r="99" spans="1:7" ht="65.25" thickTop="1" thickBot="1" x14ac:dyDescent="0.25">
      <c r="A99" s="781">
        <v>41040200</v>
      </c>
      <c r="B99" s="789" t="s">
        <v>369</v>
      </c>
      <c r="C99" s="778">
        <f>'d1'!C99-'d1-07'!C99</f>
        <v>0</v>
      </c>
      <c r="D99" s="778">
        <f>'d1'!D99-'d1-07'!D99</f>
        <v>0</v>
      </c>
      <c r="E99" s="778">
        <f>'d1'!E99-'d1-07'!E99</f>
        <v>0</v>
      </c>
      <c r="F99" s="778">
        <f>'d1'!F99-'d1-07'!F99</f>
        <v>0</v>
      </c>
      <c r="G99" s="15"/>
    </row>
    <row r="100" spans="1:7" ht="23.25" customHeight="1" thickTop="1" thickBot="1" x14ac:dyDescent="0.25">
      <c r="A100" s="776">
        <v>41000000</v>
      </c>
      <c r="B100" s="776" t="s">
        <v>124</v>
      </c>
      <c r="C100" s="778">
        <f>'d1'!C100-'d1-07'!C100</f>
        <v>30432605.309999943</v>
      </c>
      <c r="D100" s="778">
        <f>'d1'!D100-'d1-07'!D100</f>
        <v>25762605.309999943</v>
      </c>
      <c r="E100" s="778">
        <f>'d1'!E100-'d1-07'!E100</f>
        <v>4670000</v>
      </c>
      <c r="F100" s="778">
        <f>'d1'!F100-'d1-07'!F100</f>
        <v>4670000</v>
      </c>
      <c r="G100" s="15"/>
    </row>
    <row r="101" spans="1:7" ht="27" thickTop="1" thickBot="1" x14ac:dyDescent="0.3">
      <c r="A101" s="776">
        <v>41030000</v>
      </c>
      <c r="B101" s="777" t="s">
        <v>470</v>
      </c>
      <c r="C101" s="778">
        <f>'d1'!C101-'d1-07'!C101</f>
        <v>5510000</v>
      </c>
      <c r="D101" s="778">
        <f>'d1'!D101-'d1-07'!D101</f>
        <v>4340000</v>
      </c>
      <c r="E101" s="778">
        <f>'d1'!E101-'d1-07'!E101</f>
        <v>1170000</v>
      </c>
      <c r="F101" s="778">
        <f>'d1'!F101-'d1-07'!F101</f>
        <v>1170000</v>
      </c>
      <c r="G101" s="14"/>
    </row>
    <row r="102" spans="1:7" ht="52.5" thickTop="1" thickBot="1" x14ac:dyDescent="0.3">
      <c r="A102" s="781">
        <v>41032300</v>
      </c>
      <c r="B102" s="782" t="s">
        <v>1294</v>
      </c>
      <c r="C102" s="778">
        <f>'d1'!C102-'d1-07'!C102</f>
        <v>0</v>
      </c>
      <c r="D102" s="778">
        <f>'d1'!D102-'d1-07'!D102</f>
        <v>0</v>
      </c>
      <c r="E102" s="778">
        <f>'d1'!E102-'d1-07'!E102</f>
        <v>0</v>
      </c>
      <c r="F102" s="778">
        <f>'d1'!F102-'d1-07'!F102</f>
        <v>0</v>
      </c>
      <c r="G102" s="14"/>
    </row>
    <row r="103" spans="1:7" ht="52.5" thickTop="1" thickBot="1" x14ac:dyDescent="0.3">
      <c r="A103" s="781">
        <v>41033800</v>
      </c>
      <c r="B103" s="782" t="s">
        <v>1394</v>
      </c>
      <c r="C103" s="778">
        <f>'d1'!C103-0</f>
        <v>2520000</v>
      </c>
      <c r="D103" s="778">
        <f>'d1'!D103-0</f>
        <v>2520000</v>
      </c>
      <c r="E103" s="778">
        <f>'d1'!E103-0</f>
        <v>0</v>
      </c>
      <c r="F103" s="778">
        <f>'d1'!F103-0</f>
        <v>0</v>
      </c>
      <c r="G103" s="14"/>
    </row>
    <row r="104" spans="1:7" ht="27" thickTop="1" thickBot="1" x14ac:dyDescent="0.3">
      <c r="A104" s="781">
        <v>41033900</v>
      </c>
      <c r="B104" s="782" t="s">
        <v>125</v>
      </c>
      <c r="C104" s="778">
        <f>'d1'!C104-'d1-07'!C103</f>
        <v>0</v>
      </c>
      <c r="D104" s="778">
        <f>'d1'!D104-'d1-07'!D103</f>
        <v>0</v>
      </c>
      <c r="E104" s="778">
        <f>'d1'!E104-'d1-07'!E103</f>
        <v>0</v>
      </c>
      <c r="F104" s="778">
        <f>'d1'!F104-'d1-07'!F103</f>
        <v>0</v>
      </c>
      <c r="G104" s="14"/>
    </row>
    <row r="105" spans="1:7" ht="39.75" thickTop="1" thickBot="1" x14ac:dyDescent="0.3">
      <c r="A105" s="781">
        <v>41034500</v>
      </c>
      <c r="B105" s="782" t="s">
        <v>1395</v>
      </c>
      <c r="C105" s="778">
        <f>'d1'!C105-0</f>
        <v>2990000</v>
      </c>
      <c r="D105" s="778">
        <f>'d1'!D105-0</f>
        <v>1820000</v>
      </c>
      <c r="E105" s="778">
        <f>'d1'!E105-0</f>
        <v>1170000</v>
      </c>
      <c r="F105" s="778">
        <f>'d1'!F105-0</f>
        <v>1170000</v>
      </c>
      <c r="G105" s="14"/>
    </row>
    <row r="106" spans="1:7" ht="52.5" thickTop="1" thickBot="1" x14ac:dyDescent="0.3">
      <c r="A106" s="781">
        <v>41035500</v>
      </c>
      <c r="B106" s="782" t="s">
        <v>1296</v>
      </c>
      <c r="C106" s="778">
        <f>'d1'!C106-'d1-07'!C104</f>
        <v>0</v>
      </c>
      <c r="D106" s="778">
        <f>'d1'!D106-'d1-07'!D104</f>
        <v>0</v>
      </c>
      <c r="E106" s="778">
        <f>'d1'!E106-'d1-07'!E104</f>
        <v>0</v>
      </c>
      <c r="F106" s="778">
        <f>'d1'!F106-'d1-07'!F104</f>
        <v>0</v>
      </c>
      <c r="G106" s="14"/>
    </row>
    <row r="107" spans="1:7" ht="65.25" thickTop="1" thickBot="1" x14ac:dyDescent="0.3">
      <c r="A107" s="781">
        <v>41035600</v>
      </c>
      <c r="B107" s="782" t="s">
        <v>1338</v>
      </c>
      <c r="C107" s="778">
        <f>'d1'!C107-'d1-07'!C105</f>
        <v>0</v>
      </c>
      <c r="D107" s="778">
        <f>'d1'!D107-'d1-07'!D105</f>
        <v>0</v>
      </c>
      <c r="E107" s="778">
        <f>'d1'!E107-'d1-07'!E105</f>
        <v>0</v>
      </c>
      <c r="F107" s="778">
        <f>'d1'!F107-'d1-07'!F105</f>
        <v>0</v>
      </c>
      <c r="G107" s="14"/>
    </row>
    <row r="108" spans="1:7" ht="42.75" customHeight="1" thickTop="1" thickBot="1" x14ac:dyDescent="0.3">
      <c r="A108" s="781">
        <v>41035700</v>
      </c>
      <c r="B108" s="782" t="s">
        <v>1281</v>
      </c>
      <c r="C108" s="778">
        <f>'d1'!C108-'d1-07'!C106</f>
        <v>0</v>
      </c>
      <c r="D108" s="778">
        <f>'d1'!D108-'d1-07'!D106</f>
        <v>0</v>
      </c>
      <c r="E108" s="778">
        <f>'d1'!E108-'d1-07'!E106</f>
        <v>0</v>
      </c>
      <c r="F108" s="778">
        <f>'d1'!F108-'d1-07'!F106</f>
        <v>0</v>
      </c>
      <c r="G108" s="14"/>
    </row>
    <row r="109" spans="1:7" ht="36.75" customHeight="1" thickTop="1" thickBot="1" x14ac:dyDescent="0.3">
      <c r="A109" s="776">
        <v>41050000</v>
      </c>
      <c r="B109" s="777" t="s">
        <v>517</v>
      </c>
      <c r="C109" s="778">
        <f>'d1'!C109-'d1-07'!C107</f>
        <v>24922605.310000002</v>
      </c>
      <c r="D109" s="778">
        <f>'d1'!D109-'d1-07'!D107</f>
        <v>21422605.310000002</v>
      </c>
      <c r="E109" s="778">
        <f>'d1'!E109-'d1-07'!E107</f>
        <v>3500000</v>
      </c>
      <c r="F109" s="778">
        <f>'d1'!F109-'d1-07'!F107</f>
        <v>3500000</v>
      </c>
      <c r="G109" s="14"/>
    </row>
    <row r="110" spans="1:7" ht="256.5" thickTop="1" thickBot="1" x14ac:dyDescent="0.3">
      <c r="A110" s="781">
        <v>41050400</v>
      </c>
      <c r="B110" s="782" t="s">
        <v>1396</v>
      </c>
      <c r="C110" s="778">
        <f>'d1'!C110-0</f>
        <v>11298891.529999999</v>
      </c>
      <c r="D110" s="778">
        <f>'d1'!D110-0</f>
        <v>11298891.529999999</v>
      </c>
      <c r="E110" s="778">
        <f>'d1'!E110-0</f>
        <v>0</v>
      </c>
      <c r="F110" s="778">
        <f>'d1'!F110-0</f>
        <v>0</v>
      </c>
      <c r="G110" s="14"/>
    </row>
    <row r="111" spans="1:7" ht="218.25" thickTop="1" thickBot="1" x14ac:dyDescent="0.3">
      <c r="A111" s="781">
        <v>41050500</v>
      </c>
      <c r="B111" s="782" t="s">
        <v>1397</v>
      </c>
      <c r="C111" s="778">
        <f>'d1'!C111-0</f>
        <v>1093438.78</v>
      </c>
      <c r="D111" s="778">
        <f>'d1'!D111-0</f>
        <v>1093438.78</v>
      </c>
      <c r="E111" s="778">
        <f>'d1'!E111-0</f>
        <v>0</v>
      </c>
      <c r="F111" s="778">
        <f>'d1'!F111-0</f>
        <v>0</v>
      </c>
      <c r="G111" s="14"/>
    </row>
    <row r="112" spans="1:7" ht="320.25" thickTop="1" thickBot="1" x14ac:dyDescent="0.3">
      <c r="A112" s="781">
        <v>41050600</v>
      </c>
      <c r="B112" s="782" t="s">
        <v>1398</v>
      </c>
      <c r="C112" s="778">
        <f>'d1'!C112-0</f>
        <v>1751965</v>
      </c>
      <c r="D112" s="778">
        <f>'d1'!D112-0</f>
        <v>1751965</v>
      </c>
      <c r="E112" s="778">
        <f>'d1'!E112-0</f>
        <v>0</v>
      </c>
      <c r="F112" s="778">
        <f>'d1'!F112-0</f>
        <v>0</v>
      </c>
      <c r="G112" s="14"/>
    </row>
    <row r="113" spans="1:7" ht="116.25" thickTop="1" thickBot="1" x14ac:dyDescent="0.3">
      <c r="A113" s="781">
        <v>41050900</v>
      </c>
      <c r="B113" s="782" t="s">
        <v>1399</v>
      </c>
      <c r="C113" s="778">
        <f>'d1'!C113-0</f>
        <v>3577034</v>
      </c>
      <c r="D113" s="778">
        <f>'d1'!D113-0</f>
        <v>3577034</v>
      </c>
      <c r="E113" s="778">
        <f>'d1'!E113-0</f>
        <v>0</v>
      </c>
      <c r="F113" s="778">
        <f>'d1'!F113-0</f>
        <v>0</v>
      </c>
      <c r="G113" s="14"/>
    </row>
    <row r="114" spans="1:7" ht="39.75" thickTop="1" thickBot="1" x14ac:dyDescent="0.3">
      <c r="A114" s="781">
        <v>41051000</v>
      </c>
      <c r="B114" s="782" t="s">
        <v>518</v>
      </c>
      <c r="C114" s="778">
        <f>'d1'!C114-'d1-07'!C108</f>
        <v>0</v>
      </c>
      <c r="D114" s="778">
        <f>'d1'!D114-'d1-07'!D108</f>
        <v>0</v>
      </c>
      <c r="E114" s="778">
        <f>'d1'!E114-'d1-07'!E108</f>
        <v>0</v>
      </c>
      <c r="F114" s="778">
        <f>'d1'!F114-'d1-07'!F108</f>
        <v>0</v>
      </c>
      <c r="G114" s="14"/>
    </row>
    <row r="115" spans="1:7" ht="52.5" thickTop="1" thickBot="1" x14ac:dyDescent="0.3">
      <c r="A115" s="781">
        <v>41051200</v>
      </c>
      <c r="B115" s="782" t="s">
        <v>772</v>
      </c>
      <c r="C115" s="778">
        <f>'d1'!C115-'d1-07'!C109</f>
        <v>0</v>
      </c>
      <c r="D115" s="778">
        <f>'d1'!D115-'d1-07'!D109</f>
        <v>0</v>
      </c>
      <c r="E115" s="778">
        <f>'d1'!E115-'d1-07'!E109</f>
        <v>0</v>
      </c>
      <c r="F115" s="778">
        <f>'d1'!F115-'d1-07'!F109</f>
        <v>0</v>
      </c>
      <c r="G115" s="14"/>
    </row>
    <row r="116" spans="1:7" ht="65.25" thickTop="1" thickBot="1" x14ac:dyDescent="0.3">
      <c r="A116" s="781">
        <v>41051400</v>
      </c>
      <c r="B116" s="782" t="s">
        <v>1299</v>
      </c>
      <c r="C116" s="778">
        <f>'d1'!C116-'d1-07'!C110</f>
        <v>0</v>
      </c>
      <c r="D116" s="778">
        <f>'d1'!D116-'d1-07'!D110</f>
        <v>0</v>
      </c>
      <c r="E116" s="778">
        <f>'d1'!E116-'d1-07'!E110</f>
        <v>0</v>
      </c>
      <c r="F116" s="778">
        <f>'d1'!F116-'d1-07'!F110</f>
        <v>0</v>
      </c>
      <c r="G116" s="14"/>
    </row>
    <row r="117" spans="1:7" ht="65.25" thickTop="1" thickBot="1" x14ac:dyDescent="0.3">
      <c r="A117" s="781">
        <v>41051700</v>
      </c>
      <c r="B117" s="782" t="s">
        <v>1219</v>
      </c>
      <c r="C117" s="778">
        <f>'d1'!C117-'d1-07'!C111</f>
        <v>471964</v>
      </c>
      <c r="D117" s="778">
        <f>'d1'!D117-'d1-07'!D111</f>
        <v>471964</v>
      </c>
      <c r="E117" s="778">
        <f>'d1'!E117-'d1-07'!E111</f>
        <v>0</v>
      </c>
      <c r="F117" s="778">
        <f>'d1'!F117-'d1-07'!F111</f>
        <v>0</v>
      </c>
      <c r="G117" s="14"/>
    </row>
    <row r="118" spans="1:7" ht="90.75" hidden="1" thickTop="1" thickBot="1" x14ac:dyDescent="0.3">
      <c r="A118" s="781">
        <v>41056600</v>
      </c>
      <c r="B118" s="782" t="s">
        <v>1362</v>
      </c>
      <c r="C118" s="778">
        <f>'d1'!C118-'d1-07'!C112</f>
        <v>0</v>
      </c>
      <c r="D118" s="778">
        <f>'d1'!D118-'d1-07'!D112</f>
        <v>0</v>
      </c>
      <c r="E118" s="778">
        <f>'d1'!E118-'d1-07'!E112</f>
        <v>0</v>
      </c>
      <c r="F118" s="778">
        <f>'d1'!F118-'d1-07'!F112</f>
        <v>0</v>
      </c>
      <c r="G118" s="14"/>
    </row>
    <row r="119" spans="1:7" ht="52.5" thickTop="1" thickBot="1" x14ac:dyDescent="0.25">
      <c r="A119" s="781">
        <v>41055000</v>
      </c>
      <c r="B119" s="782" t="s">
        <v>1400</v>
      </c>
      <c r="C119" s="778">
        <f>'d1'!C119-'d1-07'!C113</f>
        <v>0</v>
      </c>
      <c r="D119" s="778">
        <f>'d1'!D119-'d1-07'!D113</f>
        <v>0</v>
      </c>
      <c r="E119" s="778">
        <f>'d1'!E119-'d1-07'!E113</f>
        <v>0</v>
      </c>
      <c r="F119" s="778">
        <f>'d1'!F119-'d1-07'!F113</f>
        <v>0</v>
      </c>
      <c r="G119" s="15"/>
    </row>
    <row r="120" spans="1:7" ht="27" thickTop="1" thickBot="1" x14ac:dyDescent="0.25">
      <c r="A120" s="781">
        <v>41053600</v>
      </c>
      <c r="B120" s="782" t="s">
        <v>1221</v>
      </c>
      <c r="C120" s="778">
        <f>'d1'!C120-'d1-07'!C114</f>
        <v>0</v>
      </c>
      <c r="D120" s="778">
        <f>'d1'!D120-'d1-07'!D114</f>
        <v>0</v>
      </c>
      <c r="E120" s="778">
        <f>'d1'!E120-'d1-07'!E114</f>
        <v>0</v>
      </c>
      <c r="F120" s="778">
        <f>'d1'!F120-'d1-07'!F114</f>
        <v>0</v>
      </c>
      <c r="G120" s="15"/>
    </row>
    <row r="121" spans="1:7" ht="205.5" thickTop="1" thickBot="1" x14ac:dyDescent="0.25">
      <c r="A121" s="781">
        <v>41054200</v>
      </c>
      <c r="B121" s="782" t="s">
        <v>1401</v>
      </c>
      <c r="C121" s="778">
        <f>'d1'!C121-0</f>
        <v>2429312</v>
      </c>
      <c r="D121" s="778">
        <f>'d1'!D121-0</f>
        <v>2429312</v>
      </c>
      <c r="E121" s="778">
        <f>'d1'!E121-0</f>
        <v>0</v>
      </c>
      <c r="F121" s="778">
        <f>'d1'!F121-0</f>
        <v>0</v>
      </c>
      <c r="G121" s="15"/>
    </row>
    <row r="122" spans="1:7" ht="27" thickTop="1" thickBot="1" x14ac:dyDescent="0.25">
      <c r="A122" s="781">
        <v>41053900</v>
      </c>
      <c r="B122" s="782" t="s">
        <v>1092</v>
      </c>
      <c r="C122" s="778">
        <f>'d1'!C122-'d1-07'!C115</f>
        <v>4300000</v>
      </c>
      <c r="D122" s="778">
        <f>'d1'!D122-'d1-07'!D115</f>
        <v>800000</v>
      </c>
      <c r="E122" s="778">
        <f>'d1'!E122-'d1-07'!E115</f>
        <v>3500000</v>
      </c>
      <c r="F122" s="778">
        <f>'d1'!F122-'d1-07'!F115</f>
        <v>3500000</v>
      </c>
      <c r="G122" s="15"/>
    </row>
    <row r="123" spans="1:7" ht="15.75" thickTop="1" thickBot="1" x14ac:dyDescent="0.25">
      <c r="A123" s="781"/>
      <c r="B123" s="801" t="s">
        <v>1222</v>
      </c>
      <c r="C123" s="778">
        <f>'d1'!C123-'d1-07'!C116</f>
        <v>3000000</v>
      </c>
      <c r="D123" s="778">
        <f>'d1'!D123-'d1-07'!D116</f>
        <v>0</v>
      </c>
      <c r="E123" s="778">
        <f>'d1'!E123-'d1-07'!E116</f>
        <v>3000000</v>
      </c>
      <c r="F123" s="778">
        <f>'d1'!F123-'d1-07'!F116</f>
        <v>3000000</v>
      </c>
      <c r="G123" s="15"/>
    </row>
    <row r="124" spans="1:7" ht="39.75" thickTop="1" thickBot="1" x14ac:dyDescent="0.25">
      <c r="A124" s="781"/>
      <c r="B124" s="801" t="s">
        <v>1093</v>
      </c>
      <c r="C124" s="778">
        <f>'d1'!C124-'d1-07'!C117</f>
        <v>0</v>
      </c>
      <c r="D124" s="778">
        <f>'d1'!D124-'d1-07'!D117</f>
        <v>0</v>
      </c>
      <c r="E124" s="778">
        <f>'d1'!E124-'d1-07'!E117</f>
        <v>0</v>
      </c>
      <c r="F124" s="778">
        <f>'d1'!F124-'d1-07'!F117</f>
        <v>0</v>
      </c>
      <c r="G124" s="15"/>
    </row>
    <row r="125" spans="1:7" ht="52.5" thickTop="1" thickBot="1" x14ac:dyDescent="0.25">
      <c r="A125" s="781"/>
      <c r="B125" s="801" t="s">
        <v>1094</v>
      </c>
      <c r="C125" s="778">
        <f>'d1'!C125-'d1-07'!C118</f>
        <v>0</v>
      </c>
      <c r="D125" s="778">
        <f>'d1'!D125-'d1-07'!D118</f>
        <v>0</v>
      </c>
      <c r="E125" s="778">
        <f>'d1'!E125-'d1-07'!E118</f>
        <v>0</v>
      </c>
      <c r="F125" s="778">
        <f>'d1'!F125-'d1-07'!F118</f>
        <v>0</v>
      </c>
      <c r="G125" s="15"/>
    </row>
    <row r="126" spans="1:7" ht="27" thickTop="1" thickBot="1" x14ac:dyDescent="0.25">
      <c r="A126" s="781"/>
      <c r="B126" s="801" t="s">
        <v>1095</v>
      </c>
      <c r="C126" s="778">
        <f>'d1'!C126-'d1-07'!C119</f>
        <v>0</v>
      </c>
      <c r="D126" s="778">
        <f>'d1'!D126-'d1-07'!D119</f>
        <v>0</v>
      </c>
      <c r="E126" s="778">
        <f>'d1'!E126-'d1-07'!E119</f>
        <v>0</v>
      </c>
      <c r="F126" s="778">
        <f>'d1'!F126-'d1-07'!F119</f>
        <v>0</v>
      </c>
      <c r="G126" s="15"/>
    </row>
    <row r="127" spans="1:7" ht="39.75" thickTop="1" thickBot="1" x14ac:dyDescent="0.25">
      <c r="A127" s="781"/>
      <c r="B127" s="801" t="s">
        <v>1458</v>
      </c>
      <c r="C127" s="778">
        <f>'d1'!C127-0</f>
        <v>800000</v>
      </c>
      <c r="D127" s="778">
        <f>'d1'!D127-0</f>
        <v>800000</v>
      </c>
      <c r="E127" s="778">
        <f>'d1'!E127-0</f>
        <v>0</v>
      </c>
      <c r="F127" s="778">
        <f>'d1'!F127-0</f>
        <v>0</v>
      </c>
      <c r="G127" s="15"/>
    </row>
    <row r="128" spans="1:7" ht="27" thickTop="1" thickBot="1" x14ac:dyDescent="0.25">
      <c r="A128" s="781"/>
      <c r="B128" s="801" t="s">
        <v>1459</v>
      </c>
      <c r="C128" s="778">
        <f>'d1'!C128-0</f>
        <v>500000</v>
      </c>
      <c r="D128" s="778">
        <f>'d1'!D128-0</f>
        <v>0</v>
      </c>
      <c r="E128" s="778">
        <f>'d1'!E128-0</f>
        <v>500000</v>
      </c>
      <c r="F128" s="778">
        <f>'d1'!F128-0</f>
        <v>500000</v>
      </c>
      <c r="G128" s="15"/>
    </row>
    <row r="129" spans="1:10" ht="41.25" customHeight="1" thickTop="1" thickBot="1" x14ac:dyDescent="0.3">
      <c r="A129" s="805"/>
      <c r="B129" s="808" t="s">
        <v>1388</v>
      </c>
      <c r="C129" s="806">
        <f>SUM(D129,E129)</f>
        <v>68749855.309999943</v>
      </c>
      <c r="D129" s="807">
        <f>SUM(D96,D97)</f>
        <v>51837605.309999943</v>
      </c>
      <c r="E129" s="807">
        <f>SUM(E96,E100)</f>
        <v>16912250</v>
      </c>
      <c r="F129" s="807">
        <f>SUM(F96,F100)</f>
        <v>14170000</v>
      </c>
      <c r="G129" s="773" t="b">
        <f>C129=C126+C125+C124+C123+C120+C119+C117+C116+C115+C110+C108+C107+C106+C104+C102+C99+C95+C93+C92+C89+C88+C84+C83+C82+C81+C78+C77+C76+C75+C73+C72+C70+C68+C67+C66+C63+C62+C61+C59+C58+C54+C53+C52+C49+C48+C47+C45+C44+C42+C41+C40+C39+C38+C37+C36+C35+C34+C33+C30+C29+C26+C24+C22+C19+C17+C16+C15+C14+C121+C113+C114+C112+C111+C105+C103+C127+C128</f>
        <v>0</v>
      </c>
      <c r="H129" s="773" t="b">
        <f>D129=D126+D125+D124+D123+D120+D119+D117+D116+D115+D110+D108+D107+D106+D104+D102+D99+D95+D93+D92+D89+D88+D84+D83+D82+D81+D78+D77+D76+D75+D73+D72+D70+D68+D67+D66+D63+D62+D61+D59+D58+D54+D53+D52+D49+D48+D47+D45+D44+D42+D41+D40+D39+D38+D37+D36+D35+D34+D33+D30+D29+D26+D24+D22+D19+D17+D16+D15+D14+D121+D113+D114+D112+D111+D105+D103+D127+D128</f>
        <v>0</v>
      </c>
      <c r="I129" s="773" t="b">
        <f>E129=E126+E125+E124+E123+E120+E119+E117+E116+E115+E110+E108+E107+E106+E104+E102+E99+E95+E93+E92+E89+E88+E84+E83+E82+E81+E78+E77+E76+E75+E73+E72+E70+E68+E67+E66+E63+E62+E61+E59+E58+E54+E53+E52+E49+E48+E47+E45+E44+E42+E41+E40+E39+E38+E37+E36+E35+E34+E33+E30+E29+E26+E24+E22+E19+E17+E16+E15+E14+E121+E113+E114+E112+E111+E105+E103+E127+E128</f>
        <v>1</v>
      </c>
      <c r="J129" s="773" t="b">
        <f>F129=F126+F125+F124+F123+F120+F119+F117+F116+F115+F110+F108+F107+F106+F104+F102+F99+F95+F93+F92+F89+F88+F84+F83+F82+F81+F78+F77+F76+F75+F73+F72+F70+F68+F67+F66+F63+F62+F61+F59+F58+F54+F53+F52+F49+F48+F47+F45+F44+F42+F41+F40+F39+F38+F37+F36+F35+F34+F33+F30+F29+F26+F24+F22+F19+F17+F16+F15+F14+F121+F113+F114+F112+F111+F105+F103+F127+F128</f>
        <v>1</v>
      </c>
    </row>
    <row r="130" spans="1:10" ht="13.5" thickTop="1" x14ac:dyDescent="0.2">
      <c r="B130" s="792"/>
      <c r="G130" s="772"/>
    </row>
    <row r="131" spans="1:10" ht="15.75" x14ac:dyDescent="0.25">
      <c r="B131" s="66"/>
      <c r="E131" s="66"/>
      <c r="G131" s="772"/>
    </row>
    <row r="132" spans="1:10" ht="15.75" x14ac:dyDescent="0.2">
      <c r="B132" s="935" t="s">
        <v>1280</v>
      </c>
      <c r="C132" s="912"/>
      <c r="D132" s="912"/>
      <c r="E132" s="657" t="s">
        <v>1211</v>
      </c>
      <c r="F132" s="935"/>
    </row>
    <row r="133" spans="1:10" ht="15.75" x14ac:dyDescent="0.25">
      <c r="B133" s="66"/>
      <c r="E133" s="66"/>
    </row>
    <row r="134" spans="1:10" ht="15.75" x14ac:dyDescent="0.25">
      <c r="A134" s="18"/>
      <c r="B134" s="66" t="s">
        <v>606</v>
      </c>
      <c r="C134" s="66"/>
      <c r="D134" s="66"/>
      <c r="E134" s="66" t="s">
        <v>607</v>
      </c>
      <c r="F134" s="18"/>
    </row>
    <row r="137" spans="1:10" x14ac:dyDescent="0.2">
      <c r="C137" s="772"/>
      <c r="D137" s="772"/>
      <c r="E137" s="772"/>
      <c r="F137" s="772"/>
    </row>
  </sheetData>
  <mergeCells count="10">
    <mergeCell ref="D1:G1"/>
    <mergeCell ref="D2:G2"/>
    <mergeCell ref="D3:G3"/>
    <mergeCell ref="A4:E4"/>
    <mergeCell ref="A5:F5"/>
    <mergeCell ref="A8:A9"/>
    <mergeCell ref="B8:B9"/>
    <mergeCell ref="C8:C9"/>
    <mergeCell ref="D8:D9"/>
    <mergeCell ref="E8:F8"/>
  </mergeCells>
  <hyperlinks>
    <hyperlink ref="B86" location="_ftn1" display="_ftn1"/>
    <hyperlink ref="B85" location="_ftn1" display="_ftn1"/>
    <hyperlink ref="B73" location="_ftn1" display="_ftn1"/>
    <hyperlink ref="B16" location="_ftn1" display="_ftn1"/>
    <hyperlink ref="B15" location="_ftn1" display="_ftn1"/>
    <hyperlink ref="B53" location="_ftn1" display="_ftn1"/>
    <hyperlink ref="B90" location="_ftn1" display="_ftn1"/>
    <hyperlink ref="B91" location="_ftn1" display="_ftn1"/>
    <hyperlink ref="B61" location="_ftn1" display="_ftn1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78" fitToHeight="0" orientation="portrait" verticalDpi="4294967295" r:id="rId1"/>
  <headerFooter alignWithMargins="0"/>
  <rowBreaks count="2" manualBreakCount="2">
    <brk id="65" max="5" man="1"/>
    <brk id="89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5"/>
  <sheetViews>
    <sheetView view="pageBreakPreview" topLeftCell="A55" zoomScaleSheetLayoutView="100" workbookViewId="0">
      <selection activeCell="F3" sqref="F3"/>
    </sheetView>
  </sheetViews>
  <sheetFormatPr defaultColWidth="9.140625" defaultRowHeight="12.75" x14ac:dyDescent="0.2"/>
  <cols>
    <col min="1" max="1" width="9.7109375" style="69" customWidth="1"/>
    <col min="2" max="3" width="22.140625" style="69" customWidth="1"/>
    <col min="4" max="4" width="14.140625" style="69" customWidth="1"/>
    <col min="5" max="5" width="14" style="69" customWidth="1"/>
    <col min="6" max="6" width="15.42578125" style="69" customWidth="1"/>
    <col min="7" max="7" width="15.140625" style="69" customWidth="1"/>
    <col min="8" max="8" width="16.42578125" style="69" customWidth="1"/>
    <col min="9" max="9" width="8.28515625" style="69" customWidth="1"/>
    <col min="10" max="10" width="9.140625" style="69"/>
    <col min="11" max="11" width="9.7109375" style="69" customWidth="1"/>
    <col min="12" max="12" width="9.140625" style="69"/>
    <col min="13" max="13" width="8.140625" style="69" customWidth="1"/>
    <col min="14" max="16384" width="9.140625" style="69"/>
  </cols>
  <sheetData>
    <row r="1" spans="1:17" x14ac:dyDescent="0.2">
      <c r="F1" s="19" t="s">
        <v>126</v>
      </c>
    </row>
    <row r="2" spans="1:17" x14ac:dyDescent="0.2">
      <c r="F2" s="19" t="s">
        <v>1515</v>
      </c>
    </row>
    <row r="3" spans="1:17" x14ac:dyDescent="0.2">
      <c r="F3" s="19" t="s">
        <v>1514</v>
      </c>
    </row>
    <row r="5" spans="1:17" ht="18.75" x14ac:dyDescent="0.2">
      <c r="A5" s="1007" t="s">
        <v>689</v>
      </c>
      <c r="B5" s="1007"/>
      <c r="C5" s="1007"/>
      <c r="D5" s="1007"/>
      <c r="E5" s="1007"/>
      <c r="F5" s="1007"/>
    </row>
    <row r="6" spans="1:17" ht="18.75" x14ac:dyDescent="0.2">
      <c r="A6" s="1007" t="s">
        <v>690</v>
      </c>
      <c r="B6" s="1007"/>
      <c r="C6" s="1007"/>
      <c r="D6" s="1007"/>
      <c r="E6" s="1007"/>
      <c r="F6" s="1007"/>
    </row>
    <row r="7" spans="1:17" ht="18.75" x14ac:dyDescent="0.2">
      <c r="A7" s="295"/>
      <c r="B7" s="295"/>
      <c r="C7" s="295"/>
      <c r="D7" s="295"/>
      <c r="E7" s="295"/>
      <c r="F7" s="295"/>
    </row>
    <row r="8" spans="1:17" x14ac:dyDescent="0.2">
      <c r="A8" s="1008">
        <v>22564000000</v>
      </c>
      <c r="B8" s="1009"/>
      <c r="C8" s="1003"/>
      <c r="D8" s="1003"/>
      <c r="E8" s="1003"/>
      <c r="F8" s="1003"/>
    </row>
    <row r="9" spans="1:17" ht="15" customHeight="1" x14ac:dyDescent="0.2">
      <c r="A9" s="1010" t="s">
        <v>535</v>
      </c>
      <c r="B9" s="1011"/>
      <c r="C9" s="1003"/>
      <c r="D9" s="1003"/>
      <c r="E9" s="1003"/>
      <c r="F9" s="1003"/>
    </row>
    <row r="10" spans="1:17" ht="13.5" thickBot="1" x14ac:dyDescent="0.25">
      <c r="A10" s="88"/>
      <c r="B10" s="88"/>
      <c r="F10" s="67" t="s">
        <v>431</v>
      </c>
    </row>
    <row r="11" spans="1:17" ht="14.25" thickTop="1" thickBot="1" x14ac:dyDescent="0.25">
      <c r="A11" s="1012" t="s">
        <v>64</v>
      </c>
      <c r="B11" s="1012" t="s">
        <v>405</v>
      </c>
      <c r="C11" s="1012" t="s">
        <v>410</v>
      </c>
      <c r="D11" s="1012" t="s">
        <v>12</v>
      </c>
      <c r="E11" s="1012" t="s">
        <v>57</v>
      </c>
      <c r="F11" s="1012"/>
    </row>
    <row r="12" spans="1:17" ht="35.450000000000003" customHeight="1" thickTop="1" thickBot="1" x14ac:dyDescent="0.25">
      <c r="A12" s="1012"/>
      <c r="B12" s="1012"/>
      <c r="C12" s="1012"/>
      <c r="D12" s="1013"/>
      <c r="E12" s="645" t="s">
        <v>411</v>
      </c>
      <c r="F12" s="645" t="s">
        <v>412</v>
      </c>
    </row>
    <row r="13" spans="1:17" ht="14.25" thickTop="1" thickBot="1" x14ac:dyDescent="0.25">
      <c r="A13" s="646">
        <v>1</v>
      </c>
      <c r="B13" s="646">
        <v>2</v>
      </c>
      <c r="C13" s="646">
        <v>3</v>
      </c>
      <c r="D13" s="646">
        <v>4</v>
      </c>
      <c r="E13" s="646">
        <v>5</v>
      </c>
      <c r="F13" s="646">
        <v>6</v>
      </c>
    </row>
    <row r="14" spans="1:17" ht="23.25" customHeight="1" thickTop="1" thickBot="1" x14ac:dyDescent="0.25">
      <c r="A14" s="1014" t="s">
        <v>406</v>
      </c>
      <c r="B14" s="1014"/>
      <c r="C14" s="1015"/>
      <c r="D14" s="1015"/>
      <c r="E14" s="1015"/>
      <c r="F14" s="1015"/>
    </row>
    <row r="15" spans="1:17" ht="14.25" thickTop="1" thickBot="1" x14ac:dyDescent="0.25">
      <c r="A15" s="647" t="s">
        <v>127</v>
      </c>
      <c r="B15" s="693" t="s">
        <v>128</v>
      </c>
      <c r="C15" s="681">
        <f>C16+C20</f>
        <v>147526641.19</v>
      </c>
      <c r="D15" s="681">
        <f>D16+D20</f>
        <v>-368760414.65000057</v>
      </c>
      <c r="E15" s="681">
        <f>E16+E20</f>
        <v>516287055.84000057</v>
      </c>
      <c r="F15" s="681">
        <f>F16+F20</f>
        <v>514026093.07000059</v>
      </c>
      <c r="G15" s="70">
        <f>E15-F15</f>
        <v>2260962.7699999809</v>
      </c>
      <c r="H15" s="70"/>
      <c r="I15" s="70"/>
      <c r="J15" s="70"/>
      <c r="K15" s="70"/>
      <c r="L15" s="70"/>
      <c r="M15" s="70"/>
      <c r="N15" s="70"/>
      <c r="O15" s="70"/>
      <c r="P15" s="70"/>
      <c r="Q15" s="70"/>
    </row>
    <row r="16" spans="1:17" ht="42" thickTop="1" thickBot="1" x14ac:dyDescent="0.25">
      <c r="A16" s="683">
        <v>202000</v>
      </c>
      <c r="B16" s="686" t="s">
        <v>1271</v>
      </c>
      <c r="C16" s="684">
        <f t="shared" ref="C16:C17" si="0">SUM(D16,E16)</f>
        <v>58888889</v>
      </c>
      <c r="D16" s="684">
        <f t="shared" ref="D16" si="1">D17</f>
        <v>0</v>
      </c>
      <c r="E16" s="684">
        <f>E17</f>
        <v>58888889</v>
      </c>
      <c r="F16" s="684">
        <f t="shared" ref="F16" si="2">F17</f>
        <v>58888889</v>
      </c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</row>
    <row r="17" spans="1:17" ht="27" thickTop="1" thickBot="1" x14ac:dyDescent="0.25">
      <c r="A17" s="650">
        <v>202200</v>
      </c>
      <c r="B17" s="679" t="s">
        <v>1273</v>
      </c>
      <c r="C17" s="681">
        <f t="shared" si="0"/>
        <v>58888889</v>
      </c>
      <c r="D17" s="681">
        <f>SUM(D18:D19)</f>
        <v>0</v>
      </c>
      <c r="E17" s="681">
        <f>SUM(E18:E19)</f>
        <v>58888889</v>
      </c>
      <c r="F17" s="681">
        <f>SUM(F18:F19)</f>
        <v>58888889</v>
      </c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</row>
    <row r="18" spans="1:17" ht="14.25" thickTop="1" thickBot="1" x14ac:dyDescent="0.25">
      <c r="A18" s="648">
        <v>202210</v>
      </c>
      <c r="B18" s="649" t="s">
        <v>1272</v>
      </c>
      <c r="C18" s="680">
        <f>SUM(D18,E18)</f>
        <v>60000000</v>
      </c>
      <c r="D18" s="681"/>
      <c r="E18" s="680">
        <v>60000000</v>
      </c>
      <c r="F18" s="680">
        <v>60000000</v>
      </c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</row>
    <row r="19" spans="1:17" ht="14.25" thickTop="1" thickBot="1" x14ac:dyDescent="0.25">
      <c r="A19" s="648">
        <v>202220</v>
      </c>
      <c r="B19" s="649" t="s">
        <v>385</v>
      </c>
      <c r="C19" s="680">
        <f>SUM(D19,E19)</f>
        <v>-1111111</v>
      </c>
      <c r="D19" s="681"/>
      <c r="E19" s="680">
        <v>-1111111</v>
      </c>
      <c r="F19" s="680">
        <v>-1111111</v>
      </c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</row>
    <row r="20" spans="1:17" ht="42" thickTop="1" thickBot="1" x14ac:dyDescent="0.25">
      <c r="A20" s="683">
        <v>208000</v>
      </c>
      <c r="B20" s="694" t="s">
        <v>1275</v>
      </c>
      <c r="C20" s="684">
        <f>C21+C24+C22</f>
        <v>88637752.189999998</v>
      </c>
      <c r="D20" s="684">
        <f>D21+D24+D22</f>
        <v>-368760414.65000057</v>
      </c>
      <c r="E20" s="684">
        <f>E21+E24+E22</f>
        <v>457398166.84000057</v>
      </c>
      <c r="F20" s="684">
        <f>F21+F24+F22</f>
        <v>455137204.07000059</v>
      </c>
      <c r="G20" s="685">
        <f>E20-F20</f>
        <v>2260962.7699999809</v>
      </c>
      <c r="H20" s="70"/>
      <c r="I20" s="70"/>
      <c r="J20" s="70"/>
      <c r="K20" s="70"/>
      <c r="L20" s="70"/>
      <c r="M20" s="70"/>
      <c r="N20" s="70"/>
      <c r="O20" s="70"/>
      <c r="P20" s="70"/>
      <c r="Q20" s="70"/>
    </row>
    <row r="21" spans="1:17" ht="15.75" customHeight="1" thickTop="1" thickBot="1" x14ac:dyDescent="0.25">
      <c r="A21" s="683" t="s">
        <v>129</v>
      </c>
      <c r="B21" s="686" t="s">
        <v>130</v>
      </c>
      <c r="C21" s="684">
        <f>SUM(D21,E21)</f>
        <v>88637752.189999998</v>
      </c>
      <c r="D21" s="684">
        <v>82427581.670000002</v>
      </c>
      <c r="E21" s="684">
        <v>6210170.5199999996</v>
      </c>
      <c r="F21" s="684">
        <f>2956716.87+992490.88</f>
        <v>3949207.75</v>
      </c>
      <c r="G21" s="685"/>
      <c r="H21" s="70"/>
      <c r="I21" s="70"/>
      <c r="J21" s="70"/>
      <c r="K21" s="70"/>
      <c r="L21" s="70"/>
      <c r="M21" s="70"/>
      <c r="N21" s="70"/>
      <c r="O21" s="70"/>
      <c r="P21" s="70"/>
      <c r="Q21" s="70"/>
    </row>
    <row r="22" spans="1:17" ht="15" hidden="1" thickTop="1" thickBot="1" x14ac:dyDescent="0.25">
      <c r="A22" s="690">
        <v>208300</v>
      </c>
      <c r="B22" s="695" t="s">
        <v>1278</v>
      </c>
      <c r="C22" s="684">
        <f>SUM(D22,E22)</f>
        <v>0</v>
      </c>
      <c r="D22" s="684">
        <f>D23</f>
        <v>0</v>
      </c>
      <c r="E22" s="684">
        <f>E23</f>
        <v>0</v>
      </c>
      <c r="F22" s="684">
        <f>F23</f>
        <v>0</v>
      </c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</row>
    <row r="23" spans="1:17" ht="52.5" hidden="1" thickTop="1" thickBot="1" x14ac:dyDescent="0.25">
      <c r="A23" s="692">
        <v>208330</v>
      </c>
      <c r="B23" s="696" t="s">
        <v>1279</v>
      </c>
      <c r="C23" s="684">
        <f>SUM(D23,E23)</f>
        <v>0</v>
      </c>
      <c r="D23" s="680"/>
      <c r="E23" s="680">
        <f>-D23</f>
        <v>0</v>
      </c>
      <c r="F23" s="680">
        <f>E23</f>
        <v>0</v>
      </c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</row>
    <row r="24" spans="1:17" ht="55.5" thickTop="1" thickBot="1" x14ac:dyDescent="0.25">
      <c r="A24" s="683">
        <v>208400</v>
      </c>
      <c r="B24" s="686" t="s">
        <v>131</v>
      </c>
      <c r="C24" s="684">
        <f>SUM(D24,E24)</f>
        <v>0</v>
      </c>
      <c r="D24" s="684">
        <f>'d3'!E356-'d1'!D129+'d4'!N17-D21</f>
        <v>-451187996.32000059</v>
      </c>
      <c r="E24" s="684">
        <f>-D24</f>
        <v>451187996.32000059</v>
      </c>
      <c r="F24" s="684">
        <f>E24</f>
        <v>451187996.32000059</v>
      </c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</row>
    <row r="25" spans="1:17" ht="14.25" thickTop="1" thickBot="1" x14ac:dyDescent="0.25">
      <c r="A25" s="650">
        <v>300000</v>
      </c>
      <c r="B25" s="679" t="s">
        <v>382</v>
      </c>
      <c r="C25" s="681">
        <f>C26</f>
        <v>13786494.58</v>
      </c>
      <c r="D25" s="681">
        <f>D26</f>
        <v>0</v>
      </c>
      <c r="E25" s="681">
        <f>E26</f>
        <v>13786494.58</v>
      </c>
      <c r="F25" s="681">
        <f>F26</f>
        <v>13786494.58</v>
      </c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</row>
    <row r="26" spans="1:17" ht="42" thickTop="1" thickBot="1" x14ac:dyDescent="0.25">
      <c r="A26" s="683">
        <v>301000</v>
      </c>
      <c r="B26" s="686" t="s">
        <v>383</v>
      </c>
      <c r="C26" s="684">
        <f>C27+C28</f>
        <v>13786494.58</v>
      </c>
      <c r="D26" s="684">
        <f>D27+D28</f>
        <v>0</v>
      </c>
      <c r="E26" s="684">
        <f>E27+E28</f>
        <v>13786494.58</v>
      </c>
      <c r="F26" s="684">
        <f>F27+F28</f>
        <v>13786494.58</v>
      </c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</row>
    <row r="27" spans="1:17" ht="14.25" thickTop="1" thickBot="1" x14ac:dyDescent="0.25">
      <c r="A27" s="648">
        <v>301100</v>
      </c>
      <c r="B27" s="649" t="s">
        <v>384</v>
      </c>
      <c r="C27" s="680">
        <f>SUM(D27,E27)</f>
        <v>16535522.58</v>
      </c>
      <c r="D27" s="680"/>
      <c r="E27" s="680">
        <f>(16535522.58)</f>
        <v>16535522.58</v>
      </c>
      <c r="F27" s="680">
        <f>(16535522.58)</f>
        <v>16535522.58</v>
      </c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</row>
    <row r="28" spans="1:17" ht="14.25" thickTop="1" thickBot="1" x14ac:dyDescent="0.25">
      <c r="A28" s="648">
        <v>301200</v>
      </c>
      <c r="B28" s="649" t="s">
        <v>385</v>
      </c>
      <c r="C28" s="680">
        <f>SUM(D28,E28)</f>
        <v>-2749028</v>
      </c>
      <c r="D28" s="680"/>
      <c r="E28" s="680">
        <v>-2749028</v>
      </c>
      <c r="F28" s="680">
        <v>-2749028</v>
      </c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</row>
    <row r="29" spans="1:17" ht="31.5" customHeight="1" thickTop="1" thickBot="1" x14ac:dyDescent="0.25">
      <c r="A29" s="687" t="s">
        <v>408</v>
      </c>
      <c r="B29" s="697" t="s">
        <v>407</v>
      </c>
      <c r="C29" s="688">
        <f>C15+C25</f>
        <v>161313135.77000001</v>
      </c>
      <c r="D29" s="688">
        <f>D15+D25</f>
        <v>-368760414.65000057</v>
      </c>
      <c r="E29" s="688">
        <f>E15+E25</f>
        <v>530073550.42000055</v>
      </c>
      <c r="F29" s="688">
        <f>F15+F25</f>
        <v>527812587.65000057</v>
      </c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</row>
    <row r="30" spans="1:17" ht="35.450000000000003" customHeight="1" thickTop="1" thickBot="1" x14ac:dyDescent="0.25">
      <c r="A30" s="1014" t="s">
        <v>409</v>
      </c>
      <c r="B30" s="1014"/>
      <c r="C30" s="1015"/>
      <c r="D30" s="1015"/>
      <c r="E30" s="1015"/>
      <c r="F30" s="1015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</row>
    <row r="31" spans="1:17" ht="27" thickTop="1" thickBot="1" x14ac:dyDescent="0.25">
      <c r="A31" s="650">
        <v>400000</v>
      </c>
      <c r="B31" s="679" t="s">
        <v>132</v>
      </c>
      <c r="C31" s="681">
        <f>C32+C37</f>
        <v>72675383.579999998</v>
      </c>
      <c r="D31" s="681">
        <f>D32+D37</f>
        <v>0</v>
      </c>
      <c r="E31" s="681">
        <f>E32+E37</f>
        <v>72675383.579999998</v>
      </c>
      <c r="F31" s="681">
        <f>F32+F37</f>
        <v>72675383.579999998</v>
      </c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</row>
    <row r="32" spans="1:17" ht="15" thickTop="1" thickBot="1" x14ac:dyDescent="0.25">
      <c r="A32" s="683">
        <v>401000</v>
      </c>
      <c r="B32" s="686" t="s">
        <v>133</v>
      </c>
      <c r="C32" s="684">
        <f>C33+C35</f>
        <v>76535522.579999998</v>
      </c>
      <c r="D32" s="684">
        <f>D33+D35</f>
        <v>0</v>
      </c>
      <c r="E32" s="684">
        <f>E33+E35</f>
        <v>76535522.579999998</v>
      </c>
      <c r="F32" s="684">
        <f>F33+F35</f>
        <v>76535522.579999998</v>
      </c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</row>
    <row r="33" spans="1:17" ht="14.25" thickTop="1" thickBot="1" x14ac:dyDescent="0.25">
      <c r="A33" s="682">
        <v>401100</v>
      </c>
      <c r="B33" s="698" t="s">
        <v>1274</v>
      </c>
      <c r="C33" s="689">
        <f>C34</f>
        <v>60000000</v>
      </c>
      <c r="D33" s="689">
        <f>D34</f>
        <v>0</v>
      </c>
      <c r="E33" s="689">
        <f>E34</f>
        <v>60000000</v>
      </c>
      <c r="F33" s="689">
        <f>F34</f>
        <v>60000000</v>
      </c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</row>
    <row r="34" spans="1:17" ht="27" thickTop="1" thickBot="1" x14ac:dyDescent="0.25">
      <c r="A34" s="648">
        <v>401101</v>
      </c>
      <c r="B34" s="649" t="s">
        <v>1257</v>
      </c>
      <c r="C34" s="680">
        <f>SUM(D34,E34)</f>
        <v>60000000</v>
      </c>
      <c r="D34" s="681"/>
      <c r="E34" s="680">
        <v>60000000</v>
      </c>
      <c r="F34" s="680">
        <v>60000000</v>
      </c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</row>
    <row r="35" spans="1:17" s="2" customFormat="1" ht="14.25" thickTop="1" thickBot="1" x14ac:dyDescent="0.25">
      <c r="A35" s="682">
        <v>401200</v>
      </c>
      <c r="B35" s="698" t="s">
        <v>386</v>
      </c>
      <c r="C35" s="689">
        <f>SUM(D35,E35)</f>
        <v>16535522.58</v>
      </c>
      <c r="D35" s="689"/>
      <c r="E35" s="689">
        <f>E36</f>
        <v>16535522.58</v>
      </c>
      <c r="F35" s="689">
        <f>F36</f>
        <v>16535522.58</v>
      </c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</row>
    <row r="36" spans="1:17" ht="27" thickTop="1" thickBot="1" x14ac:dyDescent="0.25">
      <c r="A36" s="648">
        <v>401201</v>
      </c>
      <c r="B36" s="649" t="s">
        <v>1257</v>
      </c>
      <c r="C36" s="680">
        <f>SUM(D36,E36)</f>
        <v>16535522.58</v>
      </c>
      <c r="D36" s="681"/>
      <c r="E36" s="680">
        <f>(16535522.58)</f>
        <v>16535522.58</v>
      </c>
      <c r="F36" s="680">
        <f>(16535522.58)</f>
        <v>16535522.58</v>
      </c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</row>
    <row r="37" spans="1:17" s="2" customFormat="1" ht="15" thickTop="1" thickBot="1" x14ac:dyDescent="0.25">
      <c r="A37" s="690">
        <v>402000</v>
      </c>
      <c r="B37" s="695" t="s">
        <v>387</v>
      </c>
      <c r="C37" s="684">
        <f>C40+C38</f>
        <v>-3860139</v>
      </c>
      <c r="D37" s="684">
        <f>D40+D38</f>
        <v>0</v>
      </c>
      <c r="E37" s="684">
        <f>E40+E38</f>
        <v>-3860139</v>
      </c>
      <c r="F37" s="684">
        <f>F40+F38</f>
        <v>-3860139</v>
      </c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</row>
    <row r="38" spans="1:17" s="2" customFormat="1" ht="14.25" thickTop="1" thickBot="1" x14ac:dyDescent="0.25">
      <c r="A38" s="691">
        <v>402100</v>
      </c>
      <c r="B38" s="699" t="s">
        <v>1358</v>
      </c>
      <c r="C38" s="689">
        <f>C39</f>
        <v>-1111111</v>
      </c>
      <c r="D38" s="689">
        <f>D39</f>
        <v>0</v>
      </c>
      <c r="E38" s="689">
        <f>E39</f>
        <v>-1111111</v>
      </c>
      <c r="F38" s="689">
        <f>F39</f>
        <v>-1111111</v>
      </c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</row>
    <row r="39" spans="1:17" s="2" customFormat="1" ht="27" thickTop="1" thickBot="1" x14ac:dyDescent="0.25">
      <c r="A39" s="692">
        <v>402101</v>
      </c>
      <c r="B39" s="696" t="s">
        <v>1257</v>
      </c>
      <c r="C39" s="680">
        <f>SUM(D39,E39)</f>
        <v>-1111111</v>
      </c>
      <c r="D39" s="681"/>
      <c r="E39" s="680">
        <v>-1111111</v>
      </c>
      <c r="F39" s="680">
        <v>-1111111</v>
      </c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</row>
    <row r="40" spans="1:17" s="2" customFormat="1" ht="14.25" thickTop="1" thickBot="1" x14ac:dyDescent="0.25">
      <c r="A40" s="691">
        <v>402200</v>
      </c>
      <c r="B40" s="699" t="s">
        <v>1256</v>
      </c>
      <c r="C40" s="689">
        <f>SUM(C41,C42)</f>
        <v>-2749028</v>
      </c>
      <c r="D40" s="689"/>
      <c r="E40" s="689">
        <f>SUM(E41,E42)</f>
        <v>-2749028</v>
      </c>
      <c r="F40" s="689">
        <f>SUM(F41,F42)</f>
        <v>-2749028</v>
      </c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</row>
    <row r="41" spans="1:17" s="2" customFormat="1" ht="27" hidden="1" thickTop="1" thickBot="1" x14ac:dyDescent="0.25">
      <c r="A41" s="692">
        <v>402201</v>
      </c>
      <c r="B41" s="696" t="s">
        <v>1257</v>
      </c>
      <c r="C41" s="681"/>
      <c r="D41" s="681"/>
      <c r="E41" s="680"/>
      <c r="F41" s="680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</row>
    <row r="42" spans="1:17" ht="25.5" customHeight="1" thickTop="1" thickBot="1" x14ac:dyDescent="0.25">
      <c r="A42" s="692">
        <v>402202</v>
      </c>
      <c r="B42" s="696" t="s">
        <v>1258</v>
      </c>
      <c r="C42" s="680">
        <f>SUM(D42,E42)</f>
        <v>-2749028</v>
      </c>
      <c r="D42" s="681"/>
      <c r="E42" s="680">
        <v>-2749028</v>
      </c>
      <c r="F42" s="680">
        <v>-2749028</v>
      </c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</row>
    <row r="43" spans="1:17" ht="27" thickTop="1" thickBot="1" x14ac:dyDescent="0.25">
      <c r="A43" s="650" t="s">
        <v>134</v>
      </c>
      <c r="B43" s="679" t="s">
        <v>135</v>
      </c>
      <c r="C43" s="681">
        <f>C44</f>
        <v>88637752.189999998</v>
      </c>
      <c r="D43" s="681">
        <f>D44</f>
        <v>-368760414.65000057</v>
      </c>
      <c r="E43" s="681">
        <f t="shared" ref="E43:F43" si="3">E44</f>
        <v>457398166.84000057</v>
      </c>
      <c r="F43" s="681">
        <f t="shared" si="3"/>
        <v>455137204.07000059</v>
      </c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</row>
    <row r="44" spans="1:17" ht="36" customHeight="1" thickTop="1" thickBot="1" x14ac:dyDescent="0.25">
      <c r="A44" s="683">
        <v>602000</v>
      </c>
      <c r="B44" s="686" t="s">
        <v>1276</v>
      </c>
      <c r="C44" s="684">
        <f>C45+C48+C46</f>
        <v>88637752.189999998</v>
      </c>
      <c r="D44" s="684">
        <f>D45+D48+D46</f>
        <v>-368760414.65000057</v>
      </c>
      <c r="E44" s="684">
        <f>E45+E48+E46</f>
        <v>457398166.84000057</v>
      </c>
      <c r="F44" s="684">
        <f>F45+F48+F46</f>
        <v>455137204.07000059</v>
      </c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</row>
    <row r="45" spans="1:17" ht="27" customHeight="1" thickTop="1" thickBot="1" x14ac:dyDescent="0.25">
      <c r="A45" s="682">
        <v>602100</v>
      </c>
      <c r="B45" s="698" t="s">
        <v>1277</v>
      </c>
      <c r="C45" s="689">
        <f>SUM(D45,E45)</f>
        <v>88637752.189999998</v>
      </c>
      <c r="D45" s="689">
        <v>82427581.670000002</v>
      </c>
      <c r="E45" s="689">
        <v>6210170.5199999996</v>
      </c>
      <c r="F45" s="689">
        <f>2956716.87+992490.88</f>
        <v>3949207.75</v>
      </c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</row>
    <row r="46" spans="1:17" ht="27" hidden="1" customHeight="1" thickTop="1" thickBot="1" x14ac:dyDescent="0.25">
      <c r="A46" s="682">
        <v>602300</v>
      </c>
      <c r="B46" s="698" t="s">
        <v>1278</v>
      </c>
      <c r="C46" s="689">
        <f>SUM(D46,E46)</f>
        <v>0</v>
      </c>
      <c r="D46" s="689">
        <f>D47</f>
        <v>0</v>
      </c>
      <c r="E46" s="689">
        <f>E47</f>
        <v>0</v>
      </c>
      <c r="F46" s="689">
        <f>E46</f>
        <v>0</v>
      </c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</row>
    <row r="47" spans="1:17" ht="63.75" hidden="1" customHeight="1" thickTop="1" thickBot="1" x14ac:dyDescent="0.25">
      <c r="A47" s="648">
        <v>602303</v>
      </c>
      <c r="B47" s="649" t="s">
        <v>1279</v>
      </c>
      <c r="C47" s="680">
        <f>SUM(D47,E47)</f>
        <v>0</v>
      </c>
      <c r="D47" s="680"/>
      <c r="E47" s="680">
        <f>-D47</f>
        <v>0</v>
      </c>
      <c r="F47" s="680">
        <f>E47</f>
        <v>0</v>
      </c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</row>
    <row r="48" spans="1:17" ht="52.5" customHeight="1" thickTop="1" thickBot="1" x14ac:dyDescent="0.25">
      <c r="A48" s="682">
        <v>602400</v>
      </c>
      <c r="B48" s="698" t="s">
        <v>131</v>
      </c>
      <c r="C48" s="689">
        <f>SUM(D48,E48)</f>
        <v>0</v>
      </c>
      <c r="D48" s="689">
        <f>D24</f>
        <v>-451187996.32000059</v>
      </c>
      <c r="E48" s="689">
        <f>E24</f>
        <v>451187996.32000059</v>
      </c>
      <c r="F48" s="689">
        <f>F24</f>
        <v>451187996.32000059</v>
      </c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</row>
    <row r="49" spans="1:17" ht="30" customHeight="1" thickTop="1" thickBot="1" x14ac:dyDescent="0.25">
      <c r="A49" s="687" t="s">
        <v>408</v>
      </c>
      <c r="B49" s="697" t="s">
        <v>407</v>
      </c>
      <c r="C49" s="688">
        <f>C31+C43</f>
        <v>161313135.76999998</v>
      </c>
      <c r="D49" s="688">
        <f>D31+D43</f>
        <v>-368760414.65000057</v>
      </c>
      <c r="E49" s="688">
        <f>E31+E43</f>
        <v>530073550.42000055</v>
      </c>
      <c r="F49" s="688">
        <f>F31+F43</f>
        <v>527812587.65000057</v>
      </c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</row>
    <row r="50" spans="1:17" ht="13.5" thickTop="1" x14ac:dyDescent="0.2">
      <c r="A50" s="40"/>
      <c r="B50" s="40"/>
      <c r="C50" s="40"/>
      <c r="D50" s="40"/>
      <c r="E50" s="40"/>
      <c r="F50" s="40"/>
      <c r="G50" s="40"/>
      <c r="H50" s="40"/>
      <c r="I50" s="40"/>
    </row>
    <row r="51" spans="1:17" ht="45.75" hidden="1" x14ac:dyDescent="0.65">
      <c r="A51" s="40"/>
      <c r="B51" s="1004"/>
      <c r="C51" s="1004"/>
      <c r="D51" s="1004"/>
      <c r="E51" s="1004"/>
      <c r="F51" s="1004"/>
      <c r="G51" s="1004"/>
      <c r="H51" s="1004"/>
      <c r="I51" s="1004"/>
      <c r="J51" s="1004"/>
      <c r="K51" s="1004"/>
      <c r="L51" s="1004"/>
      <c r="M51" s="1004"/>
      <c r="N51" s="1004"/>
      <c r="O51" s="1004"/>
    </row>
    <row r="52" spans="1:17" ht="16.5" customHeight="1" x14ac:dyDescent="0.65">
      <c r="A52" s="40"/>
      <c r="B52" s="762" t="s">
        <v>1508</v>
      </c>
      <c r="C52" s="757"/>
      <c r="D52" s="757"/>
      <c r="E52" s="657"/>
      <c r="F52" s="657" t="s">
        <v>1510</v>
      </c>
      <c r="G52" s="294"/>
      <c r="H52" s="294"/>
      <c r="I52" s="294"/>
      <c r="J52" s="294"/>
      <c r="K52" s="294"/>
      <c r="L52" s="294"/>
      <c r="M52" s="294"/>
      <c r="N52" s="294"/>
      <c r="O52" s="294"/>
    </row>
    <row r="53" spans="1:17" ht="15.75" hidden="1" x14ac:dyDescent="0.25">
      <c r="A53" s="40"/>
      <c r="B53" s="1005" t="s">
        <v>606</v>
      </c>
      <c r="C53" s="1005"/>
      <c r="D53" s="1006"/>
      <c r="E53" s="40"/>
      <c r="F53" s="41" t="s">
        <v>607</v>
      </c>
      <c r="G53" s="40"/>
      <c r="H53" s="40"/>
      <c r="I53" s="40"/>
    </row>
    <row r="54" spans="1:17" ht="15.75" x14ac:dyDescent="0.25">
      <c r="A54" s="40"/>
      <c r="B54" s="673"/>
      <c r="C54" s="673"/>
      <c r="D54" s="674"/>
      <c r="E54" s="40"/>
      <c r="F54" s="41"/>
      <c r="G54" s="40"/>
      <c r="H54" s="40"/>
      <c r="I54" s="40"/>
    </row>
    <row r="55" spans="1:17" ht="15.75" x14ac:dyDescent="0.25">
      <c r="B55" s="66" t="s">
        <v>606</v>
      </c>
      <c r="F55" s="66" t="s">
        <v>607</v>
      </c>
    </row>
  </sheetData>
  <mergeCells count="13">
    <mergeCell ref="B51:O51"/>
    <mergeCell ref="B53:D53"/>
    <mergeCell ref="A5:F5"/>
    <mergeCell ref="A6:F6"/>
    <mergeCell ref="A8:F8"/>
    <mergeCell ref="A9:F9"/>
    <mergeCell ref="A11:A12"/>
    <mergeCell ref="B11:B12"/>
    <mergeCell ref="C11:C12"/>
    <mergeCell ref="D11:D12"/>
    <mergeCell ref="E11:F11"/>
    <mergeCell ref="A14:F14"/>
    <mergeCell ref="A30:F30"/>
  </mergeCells>
  <pageMargins left="1.1811023622047245" right="0.44" top="0.39370078740157483" bottom="0.19685039370078741" header="0.39370078740157483" footer="0.15748031496062992"/>
  <pageSetup paperSize="9" scale="7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85"/>
  <sheetViews>
    <sheetView view="pageBreakPreview" zoomScale="25" zoomScaleNormal="25" zoomScaleSheetLayoutView="25" zoomScalePageLayoutView="10" workbookViewId="0">
      <pane ySplit="15" topLeftCell="A334" activePane="bottomLeft" state="frozen"/>
      <selection activeCell="F175" sqref="F175"/>
      <selection pane="bottomLeft" activeCell="N3" sqref="N3:Q3"/>
    </sheetView>
  </sheetViews>
  <sheetFormatPr defaultColWidth="9.140625" defaultRowHeight="12.75" x14ac:dyDescent="0.2"/>
  <cols>
    <col min="1" max="1" width="48" style="1" customWidth="1"/>
    <col min="2" max="2" width="52.5703125" style="1" customWidth="1"/>
    <col min="3" max="3" width="65.7109375" style="1" customWidth="1"/>
    <col min="4" max="4" width="106.28515625" style="1" customWidth="1"/>
    <col min="5" max="5" width="66.42578125" style="5" customWidth="1"/>
    <col min="6" max="6" width="62.5703125" style="1" customWidth="1"/>
    <col min="7" max="7" width="59.7109375" style="1" customWidth="1"/>
    <col min="8" max="8" width="48.140625" style="1" customWidth="1"/>
    <col min="9" max="9" width="41.85546875" style="1" customWidth="1"/>
    <col min="10" max="10" width="50.5703125" style="5" customWidth="1"/>
    <col min="11" max="11" width="52.5703125" style="5" customWidth="1"/>
    <col min="12" max="12" width="56.140625" style="1" customWidth="1"/>
    <col min="13" max="13" width="54.85546875" style="1" customWidth="1"/>
    <col min="14" max="14" width="45.28515625" style="1" bestFit="1" customWidth="1"/>
    <col min="15" max="15" width="56.140625" style="1" bestFit="1" customWidth="1"/>
    <col min="16" max="16" width="86.28515625" style="5" customWidth="1"/>
    <col min="17" max="17" width="52.140625" style="187" customWidth="1"/>
    <col min="18" max="18" width="33.85546875" style="187" customWidth="1"/>
    <col min="19" max="19" width="40.140625" style="132" bestFit="1" customWidth="1"/>
    <col min="20" max="20" width="43.5703125" style="132" bestFit="1" customWidth="1"/>
    <col min="21" max="16384" width="9.140625" style="132"/>
  </cols>
  <sheetData>
    <row r="2" spans="1:18" ht="45.75" x14ac:dyDescent="0.2">
      <c r="D2" s="134"/>
      <c r="E2" s="135"/>
      <c r="F2" s="133"/>
      <c r="G2" s="135"/>
      <c r="H2" s="135"/>
      <c r="I2" s="135"/>
      <c r="J2" s="135"/>
      <c r="K2" s="135"/>
      <c r="L2" s="135"/>
      <c r="M2" s="135"/>
      <c r="N2" s="1059" t="s">
        <v>538</v>
      </c>
      <c r="O2" s="1001"/>
      <c r="P2" s="1001"/>
      <c r="Q2" s="1001"/>
    </row>
    <row r="3" spans="1:18" ht="45.75" x14ac:dyDescent="0.2">
      <c r="A3" s="134"/>
      <c r="B3" s="134"/>
      <c r="C3" s="134"/>
      <c r="D3" s="134"/>
      <c r="E3" s="135"/>
      <c r="F3" s="133"/>
      <c r="G3" s="135"/>
      <c r="H3" s="135"/>
      <c r="I3" s="135"/>
      <c r="J3" s="135"/>
      <c r="K3" s="135"/>
      <c r="L3" s="135"/>
      <c r="M3" s="135"/>
      <c r="N3" s="1059" t="s">
        <v>1516</v>
      </c>
      <c r="O3" s="1060"/>
      <c r="P3" s="1060"/>
      <c r="Q3" s="1060"/>
    </row>
    <row r="4" spans="1:18" ht="40.700000000000003" customHeight="1" x14ac:dyDescent="0.2">
      <c r="A4" s="160"/>
      <c r="B4" s="160"/>
      <c r="C4" s="160"/>
      <c r="D4" s="160"/>
      <c r="E4" s="167"/>
      <c r="F4" s="159"/>
      <c r="G4" s="167"/>
      <c r="H4" s="167"/>
      <c r="I4" s="167"/>
      <c r="J4" s="167"/>
      <c r="K4" s="167"/>
      <c r="L4" s="167"/>
      <c r="M4" s="167"/>
      <c r="N4" s="167"/>
      <c r="O4" s="1059"/>
      <c r="P4" s="1061"/>
    </row>
    <row r="5" spans="1:18" ht="45.75" hidden="1" x14ac:dyDescent="0.2">
      <c r="A5" s="160"/>
      <c r="B5" s="160"/>
      <c r="C5" s="160"/>
      <c r="D5" s="160"/>
      <c r="E5" s="167"/>
      <c r="F5" s="159"/>
      <c r="G5" s="167"/>
      <c r="H5" s="167"/>
      <c r="I5" s="167"/>
      <c r="J5" s="167"/>
      <c r="K5" s="167"/>
      <c r="L5" s="167"/>
      <c r="M5" s="167"/>
      <c r="N5" s="167"/>
      <c r="O5" s="160"/>
      <c r="P5" s="159"/>
    </row>
    <row r="6" spans="1:18" ht="45" x14ac:dyDescent="0.2">
      <c r="A6" s="1062" t="s">
        <v>680</v>
      </c>
      <c r="B6" s="1062"/>
      <c r="C6" s="1062"/>
      <c r="D6" s="1062"/>
      <c r="E6" s="1062"/>
      <c r="F6" s="1062"/>
      <c r="G6" s="1062"/>
      <c r="H6" s="1062"/>
      <c r="I6" s="1062"/>
      <c r="J6" s="1062"/>
      <c r="K6" s="1062"/>
      <c r="L6" s="1062"/>
      <c r="M6" s="1062"/>
      <c r="N6" s="1062"/>
      <c r="O6" s="1062"/>
      <c r="P6" s="1062"/>
    </row>
    <row r="7" spans="1:18" ht="45" x14ac:dyDescent="0.2">
      <c r="A7" s="1062" t="s">
        <v>679</v>
      </c>
      <c r="B7" s="1062"/>
      <c r="C7" s="1062"/>
      <c r="D7" s="1062"/>
      <c r="E7" s="1062"/>
      <c r="F7" s="1062"/>
      <c r="G7" s="1062"/>
      <c r="H7" s="1062"/>
      <c r="I7" s="1062"/>
      <c r="J7" s="1062"/>
      <c r="K7" s="1062"/>
      <c r="L7" s="1062"/>
      <c r="M7" s="1062"/>
      <c r="N7" s="1062"/>
      <c r="O7" s="1062"/>
      <c r="P7" s="1062"/>
    </row>
    <row r="8" spans="1:18" ht="45" x14ac:dyDescent="0.2">
      <c r="A8" s="135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</row>
    <row r="9" spans="1:18" ht="45.75" x14ac:dyDescent="0.65">
      <c r="A9" s="1063">
        <v>22564000000</v>
      </c>
      <c r="B9" s="1064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</row>
    <row r="10" spans="1:18" ht="45.75" x14ac:dyDescent="0.2">
      <c r="A10" s="1068" t="s">
        <v>535</v>
      </c>
      <c r="B10" s="1069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</row>
    <row r="11" spans="1:18" ht="53.45" customHeight="1" thickBot="1" x14ac:dyDescent="0.25">
      <c r="A11" s="135"/>
      <c r="B11" s="135"/>
      <c r="C11" s="135"/>
      <c r="D11" s="135"/>
      <c r="E11" s="135"/>
      <c r="F11" s="133"/>
      <c r="G11" s="135"/>
      <c r="H11" s="135"/>
      <c r="I11" s="135"/>
      <c r="J11" s="135"/>
      <c r="K11" s="135"/>
      <c r="L11" s="135"/>
      <c r="M11" s="135"/>
      <c r="N11" s="135"/>
      <c r="O11" s="135"/>
      <c r="P11" s="6" t="s">
        <v>431</v>
      </c>
    </row>
    <row r="12" spans="1:18" ht="62.45" customHeight="1" thickTop="1" thickBot="1" x14ac:dyDescent="0.25">
      <c r="A12" s="1067" t="s">
        <v>536</v>
      </c>
      <c r="B12" s="1067" t="s">
        <v>537</v>
      </c>
      <c r="C12" s="1067" t="s">
        <v>417</v>
      </c>
      <c r="D12" s="1067" t="s">
        <v>691</v>
      </c>
      <c r="E12" s="1065" t="s">
        <v>12</v>
      </c>
      <c r="F12" s="1065"/>
      <c r="G12" s="1065"/>
      <c r="H12" s="1065"/>
      <c r="I12" s="1065"/>
      <c r="J12" s="1065" t="s">
        <v>57</v>
      </c>
      <c r="K12" s="1065"/>
      <c r="L12" s="1065"/>
      <c r="M12" s="1065"/>
      <c r="N12" s="1065"/>
      <c r="O12" s="1066"/>
      <c r="P12" s="1065" t="s">
        <v>11</v>
      </c>
    </row>
    <row r="13" spans="1:18" ht="96" customHeight="1" thickTop="1" thickBot="1" x14ac:dyDescent="0.25">
      <c r="A13" s="1065"/>
      <c r="B13" s="1070"/>
      <c r="C13" s="1070"/>
      <c r="D13" s="1065"/>
      <c r="E13" s="1067" t="s">
        <v>411</v>
      </c>
      <c r="F13" s="1067" t="s">
        <v>58</v>
      </c>
      <c r="G13" s="1067" t="s">
        <v>13</v>
      </c>
      <c r="H13" s="1067"/>
      <c r="I13" s="1067" t="s">
        <v>60</v>
      </c>
      <c r="J13" s="1067" t="s">
        <v>411</v>
      </c>
      <c r="K13" s="1067" t="s">
        <v>412</v>
      </c>
      <c r="L13" s="1067" t="s">
        <v>58</v>
      </c>
      <c r="M13" s="1067" t="s">
        <v>13</v>
      </c>
      <c r="N13" s="1067"/>
      <c r="O13" s="1067" t="s">
        <v>60</v>
      </c>
      <c r="P13" s="1065"/>
    </row>
    <row r="14" spans="1:18" ht="328.5" customHeight="1" thickTop="1" thickBot="1" x14ac:dyDescent="0.25">
      <c r="A14" s="1070"/>
      <c r="B14" s="1070"/>
      <c r="C14" s="1070"/>
      <c r="D14" s="1070"/>
      <c r="E14" s="1067"/>
      <c r="F14" s="1067"/>
      <c r="G14" s="172" t="s">
        <v>59</v>
      </c>
      <c r="H14" s="172" t="s">
        <v>15</v>
      </c>
      <c r="I14" s="1067"/>
      <c r="J14" s="1067"/>
      <c r="K14" s="1067"/>
      <c r="L14" s="1067"/>
      <c r="M14" s="172" t="s">
        <v>59</v>
      </c>
      <c r="N14" s="172" t="s">
        <v>15</v>
      </c>
      <c r="O14" s="1067"/>
      <c r="P14" s="1065"/>
    </row>
    <row r="15" spans="1:18" s="2" customFormat="1" ht="47.25" thickTop="1" thickBot="1" x14ac:dyDescent="0.25">
      <c r="A15" s="173" t="s">
        <v>2</v>
      </c>
      <c r="B15" s="173" t="s">
        <v>3</v>
      </c>
      <c r="C15" s="173" t="s">
        <v>14</v>
      </c>
      <c r="D15" s="173" t="s">
        <v>5</v>
      </c>
      <c r="E15" s="173" t="s">
        <v>419</v>
      </c>
      <c r="F15" s="173" t="s">
        <v>420</v>
      </c>
      <c r="G15" s="173" t="s">
        <v>421</v>
      </c>
      <c r="H15" s="173" t="s">
        <v>422</v>
      </c>
      <c r="I15" s="173" t="s">
        <v>423</v>
      </c>
      <c r="J15" s="173" t="s">
        <v>424</v>
      </c>
      <c r="K15" s="173" t="s">
        <v>425</v>
      </c>
      <c r="L15" s="173" t="s">
        <v>426</v>
      </c>
      <c r="M15" s="173" t="s">
        <v>427</v>
      </c>
      <c r="N15" s="173" t="s">
        <v>428</v>
      </c>
      <c r="O15" s="173" t="s">
        <v>429</v>
      </c>
      <c r="P15" s="173" t="s">
        <v>430</v>
      </c>
      <c r="Q15" s="188"/>
      <c r="R15" s="189"/>
    </row>
    <row r="16" spans="1:18" s="2" customFormat="1" ht="136.5" thickTop="1" thickBot="1" x14ac:dyDescent="0.25">
      <c r="A16" s="853" t="s">
        <v>162</v>
      </c>
      <c r="B16" s="853"/>
      <c r="C16" s="853"/>
      <c r="D16" s="854" t="s">
        <v>164</v>
      </c>
      <c r="E16" s="855">
        <f>E17</f>
        <v>133818291.59</v>
      </c>
      <c r="F16" s="856">
        <f t="shared" ref="F16:N16" si="0">F17</f>
        <v>133818291.59</v>
      </c>
      <c r="G16" s="856">
        <f t="shared" si="0"/>
        <v>86332671.030000001</v>
      </c>
      <c r="H16" s="856">
        <f t="shared" si="0"/>
        <v>3506900</v>
      </c>
      <c r="I16" s="856">
        <f t="shared" si="0"/>
        <v>0</v>
      </c>
      <c r="J16" s="855">
        <f t="shared" si="0"/>
        <v>9721144.5800000001</v>
      </c>
      <c r="K16" s="856">
        <f t="shared" si="0"/>
        <v>6046500</v>
      </c>
      <c r="L16" s="856">
        <f t="shared" si="0"/>
        <v>3575644.58</v>
      </c>
      <c r="M16" s="856">
        <f t="shared" si="0"/>
        <v>0</v>
      </c>
      <c r="N16" s="856">
        <f t="shared" si="0"/>
        <v>0</v>
      </c>
      <c r="O16" s="855">
        <f>O17</f>
        <v>6145500</v>
      </c>
      <c r="P16" s="856">
        <f t="shared" ref="P16" si="1">P17</f>
        <v>143539436.17000002</v>
      </c>
      <c r="Q16" s="190"/>
      <c r="R16" s="190"/>
    </row>
    <row r="17" spans="1:18" s="2" customFormat="1" ht="136.5" thickTop="1" thickBot="1" x14ac:dyDescent="0.25">
      <c r="A17" s="857" t="s">
        <v>163</v>
      </c>
      <c r="B17" s="857"/>
      <c r="C17" s="857"/>
      <c r="D17" s="858" t="s">
        <v>165</v>
      </c>
      <c r="E17" s="859">
        <f>E18+E23+E33+E36</f>
        <v>133818291.59</v>
      </c>
      <c r="F17" s="859">
        <f>F18+F23+F33+F36</f>
        <v>133818291.59</v>
      </c>
      <c r="G17" s="859">
        <f t="shared" ref="G17:I17" si="2">G18+G23+G33+G36</f>
        <v>86332671.030000001</v>
      </c>
      <c r="H17" s="859">
        <f t="shared" si="2"/>
        <v>3506900</v>
      </c>
      <c r="I17" s="859">
        <f t="shared" si="2"/>
        <v>0</v>
      </c>
      <c r="J17" s="859">
        <f>L17+O17</f>
        <v>9721144.5800000001</v>
      </c>
      <c r="K17" s="859">
        <f>K18+K23+K33+K36</f>
        <v>6046500</v>
      </c>
      <c r="L17" s="859">
        <f>L18+L23+L33+L36</f>
        <v>3575644.58</v>
      </c>
      <c r="M17" s="859">
        <f t="shared" ref="M17:N17" si="3">M18+M23+M33+M36</f>
        <v>0</v>
      </c>
      <c r="N17" s="859">
        <f t="shared" si="3"/>
        <v>0</v>
      </c>
      <c r="O17" s="859">
        <f>O18+O23+O33+O36</f>
        <v>6145500</v>
      </c>
      <c r="P17" s="859">
        <f>E17+J17</f>
        <v>143539436.17000002</v>
      </c>
      <c r="Q17" s="124" t="b">
        <f>P17=P19+P20+P21+P22+P25+P28+P30+P35+P38+P39+P32+P40+P26</f>
        <v>1</v>
      </c>
      <c r="R17" s="124" t="b">
        <f>K17='d6'!J12</f>
        <v>1</v>
      </c>
    </row>
    <row r="18" spans="1:18" s="402" customFormat="1" ht="47.25" thickTop="1" thickBot="1" x14ac:dyDescent="0.25">
      <c r="A18" s="455" t="s">
        <v>842</v>
      </c>
      <c r="B18" s="455" t="s">
        <v>843</v>
      </c>
      <c r="C18" s="455"/>
      <c r="D18" s="455" t="s">
        <v>844</v>
      </c>
      <c r="E18" s="389">
        <f>SUM(E19:E22)</f>
        <v>116755749</v>
      </c>
      <c r="F18" s="389">
        <f>SUM(F19:F22)</f>
        <v>116755749</v>
      </c>
      <c r="G18" s="389">
        <f t="shared" ref="G18:P18" si="4">SUM(G19:G22)</f>
        <v>86332671.030000001</v>
      </c>
      <c r="H18" s="389">
        <f t="shared" si="4"/>
        <v>3506900</v>
      </c>
      <c r="I18" s="389">
        <f t="shared" si="4"/>
        <v>0</v>
      </c>
      <c r="J18" s="822">
        <f t="shared" si="4"/>
        <v>3206500</v>
      </c>
      <c r="K18" s="822">
        <f t="shared" si="4"/>
        <v>3206500</v>
      </c>
      <c r="L18" s="822">
        <f t="shared" si="4"/>
        <v>0</v>
      </c>
      <c r="M18" s="822">
        <f t="shared" si="4"/>
        <v>0</v>
      </c>
      <c r="N18" s="822">
        <f t="shared" si="4"/>
        <v>0</v>
      </c>
      <c r="O18" s="822">
        <f t="shared" si="4"/>
        <v>3206500</v>
      </c>
      <c r="P18" s="822">
        <f t="shared" si="4"/>
        <v>119962249</v>
      </c>
      <c r="Q18" s="368"/>
      <c r="R18" s="368"/>
    </row>
    <row r="19" spans="1:18" ht="321.75" thickTop="1" thickBot="1" x14ac:dyDescent="0.25">
      <c r="A19" s="300" t="s">
        <v>250</v>
      </c>
      <c r="B19" s="300" t="s">
        <v>251</v>
      </c>
      <c r="C19" s="300" t="s">
        <v>252</v>
      </c>
      <c r="D19" s="300" t="s">
        <v>249</v>
      </c>
      <c r="E19" s="299">
        <f t="shared" ref="E19:E38" si="5">F19</f>
        <v>109666000</v>
      </c>
      <c r="F19" s="170">
        <f>6884000+500000-200000-200000+250000-30000-300000+180000+(5000+6000+67000+((77782670+17112190+1242480+3766300+30000+1650000+50000+1400000+159900+80000+800000)-1948540)+80000+49000+250000)</f>
        <v>109666000</v>
      </c>
      <c r="G19" s="170">
        <f>((77782670)-1597170)+6884000</f>
        <v>83069500</v>
      </c>
      <c r="H19" s="170">
        <f>250000-30000-300000+180000+((1650000+50000+1400000+159900+80000)+67000)</f>
        <v>3506900</v>
      </c>
      <c r="I19" s="170"/>
      <c r="J19" s="822">
        <f t="shared" ref="J19:J28" si="6">L19+O19</f>
        <v>3206500</v>
      </c>
      <c r="K19" s="170">
        <f>369667-17667+((977200+330000+15000+241300)+336000+900000+55000)</f>
        <v>3206500</v>
      </c>
      <c r="L19" s="847"/>
      <c r="M19" s="848"/>
      <c r="N19" s="848"/>
      <c r="O19" s="849">
        <f t="shared" ref="O19:O28" si="7">K19</f>
        <v>3206500</v>
      </c>
      <c r="P19" s="822">
        <f>+J19+E19</f>
        <v>112872500</v>
      </c>
      <c r="Q19" s="192"/>
      <c r="R19" s="205" t="b">
        <f>K19='d6'!J14+'d6'!J15</f>
        <v>1</v>
      </c>
    </row>
    <row r="20" spans="1:18" s="237" customFormat="1" ht="230.25" thickTop="1" thickBot="1" x14ac:dyDescent="0.25">
      <c r="A20" s="300" t="s">
        <v>708</v>
      </c>
      <c r="B20" s="300" t="s">
        <v>254</v>
      </c>
      <c r="C20" s="300" t="s">
        <v>252</v>
      </c>
      <c r="D20" s="300" t="s">
        <v>253</v>
      </c>
      <c r="E20" s="299">
        <f t="shared" ref="E20" si="8">F20</f>
        <v>4104999</v>
      </c>
      <c r="F20" s="170">
        <f>(4305000+1948540)-2148541</f>
        <v>4104999</v>
      </c>
      <c r="G20" s="170">
        <f>((2460000)+1597170)-793998.97</f>
        <v>3263171.0300000003</v>
      </c>
      <c r="H20" s="170"/>
      <c r="I20" s="170"/>
      <c r="J20" s="822">
        <f t="shared" ref="J20" si="9">L20+O20</f>
        <v>0</v>
      </c>
      <c r="K20" s="170"/>
      <c r="L20" s="847"/>
      <c r="M20" s="848"/>
      <c r="N20" s="848"/>
      <c r="O20" s="849">
        <f t="shared" si="7"/>
        <v>0</v>
      </c>
      <c r="P20" s="822">
        <f>+J20+E20</f>
        <v>4104999</v>
      </c>
      <c r="Q20" s="192"/>
      <c r="R20" s="205"/>
    </row>
    <row r="21" spans="1:18" s="298" customFormat="1" ht="184.5" thickTop="1" thickBot="1" x14ac:dyDescent="0.25">
      <c r="A21" s="306" t="s">
        <v>777</v>
      </c>
      <c r="B21" s="306" t="s">
        <v>388</v>
      </c>
      <c r="C21" s="306" t="s">
        <v>778</v>
      </c>
      <c r="D21" s="306" t="s">
        <v>779</v>
      </c>
      <c r="E21" s="307">
        <f t="shared" ref="E21" si="10">F21</f>
        <v>49000</v>
      </c>
      <c r="F21" s="308">
        <v>49000</v>
      </c>
      <c r="G21" s="308"/>
      <c r="H21" s="308"/>
      <c r="I21" s="308"/>
      <c r="J21" s="827">
        <f t="shared" ref="J21" si="11">L21+O21</f>
        <v>0</v>
      </c>
      <c r="K21" s="308"/>
      <c r="L21" s="850"/>
      <c r="M21" s="851"/>
      <c r="N21" s="851"/>
      <c r="O21" s="852">
        <f t="shared" si="7"/>
        <v>0</v>
      </c>
      <c r="P21" s="827">
        <f>+J21+E21</f>
        <v>49000</v>
      </c>
      <c r="Q21" s="192"/>
      <c r="R21" s="191"/>
    </row>
    <row r="22" spans="1:18" ht="93" thickTop="1" thickBot="1" x14ac:dyDescent="0.25">
      <c r="A22" s="306" t="s">
        <v>265</v>
      </c>
      <c r="B22" s="306" t="s">
        <v>45</v>
      </c>
      <c r="C22" s="306" t="s">
        <v>44</v>
      </c>
      <c r="D22" s="306" t="s">
        <v>266</v>
      </c>
      <c r="E22" s="307">
        <f t="shared" si="5"/>
        <v>2935750</v>
      </c>
      <c r="F22" s="309">
        <f>-200000+((3159750-49000)+25000)</f>
        <v>2935750</v>
      </c>
      <c r="G22" s="309"/>
      <c r="H22" s="309"/>
      <c r="I22" s="309"/>
      <c r="J22" s="827">
        <f t="shared" si="6"/>
        <v>0</v>
      </c>
      <c r="K22" s="309"/>
      <c r="L22" s="309"/>
      <c r="M22" s="309"/>
      <c r="N22" s="309"/>
      <c r="O22" s="852">
        <f t="shared" si="7"/>
        <v>0</v>
      </c>
      <c r="P22" s="827">
        <f>E22+J22</f>
        <v>2935750</v>
      </c>
      <c r="Q22" s="192"/>
      <c r="R22" s="191"/>
    </row>
    <row r="23" spans="1:18" s="402" customFormat="1" ht="47.25" thickTop="1" thickBot="1" x14ac:dyDescent="0.3">
      <c r="A23" s="455" t="s">
        <v>907</v>
      </c>
      <c r="B23" s="454" t="s">
        <v>908</v>
      </c>
      <c r="C23" s="454"/>
      <c r="D23" s="454" t="s">
        <v>909</v>
      </c>
      <c r="E23" s="390">
        <f t="shared" ref="E23:P23" si="12">SUM(E24:E32)-E24-E27-E29</f>
        <v>6533142.5899999999</v>
      </c>
      <c r="F23" s="390">
        <f t="shared" si="12"/>
        <v>6533142.5899999999</v>
      </c>
      <c r="G23" s="549">
        <f t="shared" si="12"/>
        <v>0</v>
      </c>
      <c r="H23" s="549">
        <f t="shared" si="12"/>
        <v>0</v>
      </c>
      <c r="I23" s="549">
        <f t="shared" si="12"/>
        <v>0</v>
      </c>
      <c r="J23" s="827">
        <f t="shared" si="12"/>
        <v>5174644.58</v>
      </c>
      <c r="K23" s="827">
        <f t="shared" si="12"/>
        <v>1500000</v>
      </c>
      <c r="L23" s="827">
        <f t="shared" si="12"/>
        <v>3575644.58</v>
      </c>
      <c r="M23" s="827">
        <f t="shared" si="12"/>
        <v>0</v>
      </c>
      <c r="N23" s="827">
        <f t="shared" si="12"/>
        <v>0</v>
      </c>
      <c r="O23" s="827">
        <f t="shared" si="12"/>
        <v>1599000</v>
      </c>
      <c r="P23" s="827">
        <f t="shared" si="12"/>
        <v>11707787.170000004</v>
      </c>
      <c r="Q23" s="456"/>
      <c r="R23" s="457"/>
    </row>
    <row r="24" spans="1:18" s="39" customFormat="1" ht="91.5" thickTop="1" thickBot="1" x14ac:dyDescent="0.25">
      <c r="A24" s="404" t="s">
        <v>845</v>
      </c>
      <c r="B24" s="404" t="s">
        <v>846</v>
      </c>
      <c r="C24" s="404"/>
      <c r="D24" s="404" t="s">
        <v>847</v>
      </c>
      <c r="E24" s="366">
        <f t="shared" ref="E24:P24" si="13">SUM(E25:E26)</f>
        <v>4642400</v>
      </c>
      <c r="F24" s="366">
        <f t="shared" si="13"/>
        <v>4642400</v>
      </c>
      <c r="G24" s="366">
        <f t="shared" si="13"/>
        <v>0</v>
      </c>
      <c r="H24" s="366">
        <f t="shared" si="13"/>
        <v>0</v>
      </c>
      <c r="I24" s="366">
        <f t="shared" si="13"/>
        <v>0</v>
      </c>
      <c r="J24" s="366">
        <f t="shared" si="13"/>
        <v>1500000</v>
      </c>
      <c r="K24" s="366">
        <f t="shared" si="13"/>
        <v>1500000</v>
      </c>
      <c r="L24" s="366">
        <f t="shared" si="13"/>
        <v>0</v>
      </c>
      <c r="M24" s="366">
        <f t="shared" si="13"/>
        <v>0</v>
      </c>
      <c r="N24" s="366">
        <f t="shared" si="13"/>
        <v>0</v>
      </c>
      <c r="O24" s="366">
        <f t="shared" si="13"/>
        <v>1500000</v>
      </c>
      <c r="P24" s="366">
        <f t="shared" si="13"/>
        <v>6142400</v>
      </c>
      <c r="Q24" s="458"/>
      <c r="R24" s="459"/>
    </row>
    <row r="25" spans="1:18" ht="93" thickTop="1" thickBot="1" x14ac:dyDescent="0.25">
      <c r="A25" s="306" t="s">
        <v>256</v>
      </c>
      <c r="B25" s="306" t="s">
        <v>257</v>
      </c>
      <c r="C25" s="306" t="s">
        <v>258</v>
      </c>
      <c r="D25" s="306" t="s">
        <v>255</v>
      </c>
      <c r="E25" s="307">
        <f t="shared" si="5"/>
        <v>4392400</v>
      </c>
      <c r="F25" s="309">
        <v>4392400</v>
      </c>
      <c r="G25" s="309"/>
      <c r="H25" s="309"/>
      <c r="I25" s="309"/>
      <c r="J25" s="827">
        <f t="shared" si="6"/>
        <v>1500000</v>
      </c>
      <c r="K25" s="309">
        <v>1500000</v>
      </c>
      <c r="L25" s="309"/>
      <c r="M25" s="309"/>
      <c r="N25" s="309"/>
      <c r="O25" s="852">
        <f t="shared" si="7"/>
        <v>1500000</v>
      </c>
      <c r="P25" s="827">
        <f>+J25+E25</f>
        <v>5892400</v>
      </c>
      <c r="Q25" s="192"/>
      <c r="R25" s="205" t="b">
        <f>K25='d6'!J16</f>
        <v>1</v>
      </c>
    </row>
    <row r="26" spans="1:18" s="703" customFormat="1" ht="230.25" thickTop="1" thickBot="1" x14ac:dyDescent="0.25">
      <c r="A26" s="707" t="s">
        <v>1288</v>
      </c>
      <c r="B26" s="707" t="s">
        <v>1289</v>
      </c>
      <c r="C26" s="707" t="s">
        <v>258</v>
      </c>
      <c r="D26" s="707" t="s">
        <v>1290</v>
      </c>
      <c r="E26" s="708">
        <f t="shared" si="5"/>
        <v>250000</v>
      </c>
      <c r="F26" s="309">
        <v>250000</v>
      </c>
      <c r="G26" s="309"/>
      <c r="H26" s="309"/>
      <c r="I26" s="309"/>
      <c r="J26" s="827">
        <f t="shared" si="6"/>
        <v>0</v>
      </c>
      <c r="K26" s="309"/>
      <c r="L26" s="309"/>
      <c r="M26" s="309"/>
      <c r="N26" s="309"/>
      <c r="O26" s="852"/>
      <c r="P26" s="827">
        <f>+J26+E26</f>
        <v>250000</v>
      </c>
      <c r="Q26" s="192"/>
      <c r="R26" s="205"/>
    </row>
    <row r="27" spans="1:18" s="79" customFormat="1" ht="136.5" thickTop="1" thickBot="1" x14ac:dyDescent="0.25">
      <c r="A27" s="405" t="s">
        <v>849</v>
      </c>
      <c r="B27" s="405" t="s">
        <v>850</v>
      </c>
      <c r="C27" s="405"/>
      <c r="D27" s="405" t="s">
        <v>848</v>
      </c>
      <c r="E27" s="366">
        <f>SUM(E28)+E29</f>
        <v>1890742.59</v>
      </c>
      <c r="F27" s="366">
        <f t="shared" ref="F27:P27" si="14">SUM(F28)+F29</f>
        <v>1890742.59</v>
      </c>
      <c r="G27" s="366">
        <f t="shared" si="14"/>
        <v>0</v>
      </c>
      <c r="H27" s="366">
        <f t="shared" si="14"/>
        <v>0</v>
      </c>
      <c r="I27" s="366">
        <f t="shared" si="14"/>
        <v>0</v>
      </c>
      <c r="J27" s="366">
        <f t="shared" si="14"/>
        <v>3674644.58</v>
      </c>
      <c r="K27" s="366">
        <f t="shared" si="14"/>
        <v>0</v>
      </c>
      <c r="L27" s="366">
        <f t="shared" si="14"/>
        <v>3575644.58</v>
      </c>
      <c r="M27" s="366">
        <f t="shared" si="14"/>
        <v>0</v>
      </c>
      <c r="N27" s="366">
        <f t="shared" si="14"/>
        <v>0</v>
      </c>
      <c r="O27" s="366">
        <f t="shared" si="14"/>
        <v>99000</v>
      </c>
      <c r="P27" s="366">
        <f t="shared" si="14"/>
        <v>5565387.1699999999</v>
      </c>
      <c r="Q27" s="408"/>
      <c r="R27" s="460"/>
    </row>
    <row r="28" spans="1:18" ht="138.75" thickTop="1" thickBot="1" x14ac:dyDescent="0.25">
      <c r="A28" s="306" t="s">
        <v>318</v>
      </c>
      <c r="B28" s="306" t="s">
        <v>319</v>
      </c>
      <c r="C28" s="306" t="s">
        <v>184</v>
      </c>
      <c r="D28" s="306" t="s">
        <v>475</v>
      </c>
      <c r="E28" s="307">
        <f t="shared" si="5"/>
        <v>290200</v>
      </c>
      <c r="F28" s="309">
        <v>290200</v>
      </c>
      <c r="G28" s="309"/>
      <c r="H28" s="309"/>
      <c r="I28" s="309"/>
      <c r="J28" s="827">
        <f t="shared" si="6"/>
        <v>0</v>
      </c>
      <c r="K28" s="309"/>
      <c r="L28" s="309"/>
      <c r="M28" s="309"/>
      <c r="N28" s="309"/>
      <c r="O28" s="852">
        <f t="shared" si="7"/>
        <v>0</v>
      </c>
      <c r="P28" s="827">
        <f>+J28+E28</f>
        <v>290200</v>
      </c>
      <c r="Q28" s="192"/>
      <c r="R28" s="191"/>
    </row>
    <row r="29" spans="1:18" s="79" customFormat="1" ht="48" thickTop="1" thickBot="1" x14ac:dyDescent="0.25">
      <c r="A29" s="403" t="s">
        <v>852</v>
      </c>
      <c r="B29" s="403" t="s">
        <v>853</v>
      </c>
      <c r="C29" s="403"/>
      <c r="D29" s="406" t="s">
        <v>851</v>
      </c>
      <c r="E29" s="367">
        <f>SUM(E30:E32)</f>
        <v>1600542.59</v>
      </c>
      <c r="F29" s="367">
        <f t="shared" ref="F29:O29" si="15">SUM(F30:F32)</f>
        <v>1600542.59</v>
      </c>
      <c r="G29" s="367">
        <f t="shared" si="15"/>
        <v>0</v>
      </c>
      <c r="H29" s="367">
        <f t="shared" si="15"/>
        <v>0</v>
      </c>
      <c r="I29" s="367">
        <f t="shared" si="15"/>
        <v>0</v>
      </c>
      <c r="J29" s="367">
        <f t="shared" si="15"/>
        <v>3674644.58</v>
      </c>
      <c r="K29" s="367">
        <f t="shared" si="15"/>
        <v>0</v>
      </c>
      <c r="L29" s="367">
        <f t="shared" si="15"/>
        <v>3575644.58</v>
      </c>
      <c r="M29" s="367">
        <f t="shared" si="15"/>
        <v>0</v>
      </c>
      <c r="N29" s="367">
        <f t="shared" si="15"/>
        <v>0</v>
      </c>
      <c r="O29" s="367">
        <f t="shared" si="15"/>
        <v>99000</v>
      </c>
      <c r="P29" s="367">
        <f>E29+J29</f>
        <v>5275187.17</v>
      </c>
      <c r="Q29" s="408"/>
      <c r="R29" s="409"/>
    </row>
    <row r="30" spans="1:18" s="39" customFormat="1" ht="361.5" customHeight="1" thickTop="1" thickBot="1" x14ac:dyDescent="0.7">
      <c r="A30" s="1044" t="s">
        <v>364</v>
      </c>
      <c r="B30" s="1044" t="s">
        <v>363</v>
      </c>
      <c r="C30" s="1044" t="s">
        <v>184</v>
      </c>
      <c r="D30" s="311" t="s">
        <v>473</v>
      </c>
      <c r="E30" s="1077">
        <f t="shared" si="5"/>
        <v>0</v>
      </c>
      <c r="F30" s="1042"/>
      <c r="G30" s="1042"/>
      <c r="H30" s="1042"/>
      <c r="I30" s="1042"/>
      <c r="J30" s="1078">
        <f>L30+O30</f>
        <v>3674644.58</v>
      </c>
      <c r="K30" s="1042"/>
      <c r="L30" s="1042">
        <f>((1308600+69000+601000+1471600)+1155966.58)-450000-580522</f>
        <v>3575644.58</v>
      </c>
      <c r="M30" s="1042"/>
      <c r="N30" s="1042"/>
      <c r="O30" s="1073">
        <f>(49000)+50000</f>
        <v>99000</v>
      </c>
      <c r="P30" s="1075">
        <f>E30+J30</f>
        <v>3674644.58</v>
      </c>
      <c r="Q30" s="193"/>
      <c r="R30" s="194"/>
    </row>
    <row r="31" spans="1:18" s="39" customFormat="1" ht="184.5" thickTop="1" thickBot="1" x14ac:dyDescent="0.25">
      <c r="A31" s="1046"/>
      <c r="B31" s="1045"/>
      <c r="C31" s="1046"/>
      <c r="D31" s="312" t="s">
        <v>474</v>
      </c>
      <c r="E31" s="1046"/>
      <c r="F31" s="1043"/>
      <c r="G31" s="1043"/>
      <c r="H31" s="1043"/>
      <c r="I31" s="1043"/>
      <c r="J31" s="1079"/>
      <c r="K31" s="1043"/>
      <c r="L31" s="1043"/>
      <c r="M31" s="1043"/>
      <c r="N31" s="1043"/>
      <c r="O31" s="1074"/>
      <c r="P31" s="1076"/>
      <c r="Q31" s="194"/>
      <c r="R31" s="194"/>
    </row>
    <row r="32" spans="1:18" s="39" customFormat="1" ht="93" thickTop="1" thickBot="1" x14ac:dyDescent="0.25">
      <c r="A32" s="548" t="s">
        <v>1122</v>
      </c>
      <c r="B32" s="548" t="s">
        <v>275</v>
      </c>
      <c r="C32" s="548" t="s">
        <v>184</v>
      </c>
      <c r="D32" s="548" t="s">
        <v>273</v>
      </c>
      <c r="E32" s="549">
        <f>F32</f>
        <v>1600542.59</v>
      </c>
      <c r="F32" s="309">
        <v>1600542.59</v>
      </c>
      <c r="G32" s="309"/>
      <c r="H32" s="309"/>
      <c r="I32" s="309"/>
      <c r="J32" s="827">
        <f>L32+O32</f>
        <v>0</v>
      </c>
      <c r="K32" s="309"/>
      <c r="L32" s="309"/>
      <c r="M32" s="309"/>
      <c r="N32" s="309"/>
      <c r="O32" s="852"/>
      <c r="P32" s="827">
        <f>E32+J32</f>
        <v>1600542.59</v>
      </c>
      <c r="Q32" s="194"/>
      <c r="R32" s="194"/>
    </row>
    <row r="33" spans="1:20" s="39" customFormat="1" ht="46.5" customHeight="1" thickTop="1" thickBot="1" x14ac:dyDescent="0.25">
      <c r="A33" s="455" t="s">
        <v>854</v>
      </c>
      <c r="B33" s="455" t="s">
        <v>855</v>
      </c>
      <c r="C33" s="455"/>
      <c r="D33" s="455" t="s">
        <v>856</v>
      </c>
      <c r="E33" s="389">
        <f>E34</f>
        <v>6359300</v>
      </c>
      <c r="F33" s="389">
        <f t="shared" ref="F33:O33" si="16">F34</f>
        <v>6359300</v>
      </c>
      <c r="G33" s="389">
        <f t="shared" si="16"/>
        <v>0</v>
      </c>
      <c r="H33" s="389">
        <f t="shared" si="16"/>
        <v>0</v>
      </c>
      <c r="I33" s="389">
        <f t="shared" si="16"/>
        <v>0</v>
      </c>
      <c r="J33" s="822">
        <f t="shared" si="16"/>
        <v>0</v>
      </c>
      <c r="K33" s="822">
        <f t="shared" si="16"/>
        <v>0</v>
      </c>
      <c r="L33" s="822">
        <f t="shared" si="16"/>
        <v>0</v>
      </c>
      <c r="M33" s="822">
        <f t="shared" si="16"/>
        <v>0</v>
      </c>
      <c r="N33" s="822">
        <f t="shared" si="16"/>
        <v>0</v>
      </c>
      <c r="O33" s="822">
        <f t="shared" si="16"/>
        <v>0</v>
      </c>
      <c r="P33" s="822">
        <f>P34</f>
        <v>6359300</v>
      </c>
      <c r="Q33" s="194"/>
      <c r="R33" s="194"/>
    </row>
    <row r="34" spans="1:20" s="39" customFormat="1" ht="47.25" thickTop="1" thickBot="1" x14ac:dyDescent="0.25">
      <c r="A34" s="404" t="s">
        <v>857</v>
      </c>
      <c r="B34" s="404" t="s">
        <v>858</v>
      </c>
      <c r="C34" s="404"/>
      <c r="D34" s="404" t="s">
        <v>859</v>
      </c>
      <c r="E34" s="366">
        <f>SUM(E35)</f>
        <v>6359300</v>
      </c>
      <c r="F34" s="366">
        <f t="shared" ref="F34:P34" si="17">SUM(F35)</f>
        <v>6359300</v>
      </c>
      <c r="G34" s="366">
        <f t="shared" si="17"/>
        <v>0</v>
      </c>
      <c r="H34" s="366">
        <f t="shared" si="17"/>
        <v>0</v>
      </c>
      <c r="I34" s="366">
        <f t="shared" si="17"/>
        <v>0</v>
      </c>
      <c r="J34" s="366">
        <f t="shared" si="17"/>
        <v>0</v>
      </c>
      <c r="K34" s="366">
        <f t="shared" si="17"/>
        <v>0</v>
      </c>
      <c r="L34" s="366">
        <f t="shared" si="17"/>
        <v>0</v>
      </c>
      <c r="M34" s="366">
        <f t="shared" si="17"/>
        <v>0</v>
      </c>
      <c r="N34" s="366">
        <f t="shared" si="17"/>
        <v>0</v>
      </c>
      <c r="O34" s="366">
        <f t="shared" si="17"/>
        <v>0</v>
      </c>
      <c r="P34" s="366">
        <f t="shared" si="17"/>
        <v>6359300</v>
      </c>
    </row>
    <row r="35" spans="1:20" ht="93" thickTop="1" thickBot="1" x14ac:dyDescent="0.25">
      <c r="A35" s="306" t="s">
        <v>259</v>
      </c>
      <c r="B35" s="306" t="s">
        <v>260</v>
      </c>
      <c r="C35" s="306" t="s">
        <v>261</v>
      </c>
      <c r="D35" s="306" t="s">
        <v>262</v>
      </c>
      <c r="E35" s="307">
        <f>F35</f>
        <v>6359300</v>
      </c>
      <c r="F35" s="309">
        <v>6359300</v>
      </c>
      <c r="G35" s="309"/>
      <c r="H35" s="309"/>
      <c r="I35" s="309"/>
      <c r="J35" s="827">
        <f>L35+O35</f>
        <v>0</v>
      </c>
      <c r="K35" s="309"/>
      <c r="L35" s="309"/>
      <c r="M35" s="309"/>
      <c r="N35" s="309"/>
      <c r="O35" s="852">
        <f>K35</f>
        <v>0</v>
      </c>
      <c r="P35" s="827">
        <f>E35+J35</f>
        <v>6359300</v>
      </c>
    </row>
    <row r="36" spans="1:20" s="382" customFormat="1" ht="47.25" thickTop="1" thickBot="1" x14ac:dyDescent="0.25">
      <c r="A36" s="455" t="s">
        <v>860</v>
      </c>
      <c r="B36" s="455" t="s">
        <v>861</v>
      </c>
      <c r="C36" s="455"/>
      <c r="D36" s="455" t="s">
        <v>862</v>
      </c>
      <c r="E36" s="389">
        <f t="shared" ref="E36:P36" si="18">E37+E40</f>
        <v>4170100</v>
      </c>
      <c r="F36" s="603">
        <f t="shared" si="18"/>
        <v>4170100</v>
      </c>
      <c r="G36" s="603">
        <f t="shared" si="18"/>
        <v>0</v>
      </c>
      <c r="H36" s="603">
        <f t="shared" si="18"/>
        <v>0</v>
      </c>
      <c r="I36" s="603">
        <f t="shared" si="18"/>
        <v>0</v>
      </c>
      <c r="J36" s="822">
        <f t="shared" si="18"/>
        <v>1340000</v>
      </c>
      <c r="K36" s="822">
        <f t="shared" si="18"/>
        <v>1340000</v>
      </c>
      <c r="L36" s="822">
        <f t="shared" si="18"/>
        <v>0</v>
      </c>
      <c r="M36" s="822">
        <f t="shared" si="18"/>
        <v>0</v>
      </c>
      <c r="N36" s="822">
        <f t="shared" si="18"/>
        <v>0</v>
      </c>
      <c r="O36" s="822">
        <f t="shared" si="18"/>
        <v>1340000</v>
      </c>
      <c r="P36" s="822">
        <f t="shared" si="18"/>
        <v>5510100</v>
      </c>
      <c r="Q36" s="387"/>
      <c r="R36" s="387"/>
    </row>
    <row r="37" spans="1:20" s="39" customFormat="1" ht="271.5" thickTop="1" thickBot="1" x14ac:dyDescent="0.25">
      <c r="A37" s="404" t="s">
        <v>863</v>
      </c>
      <c r="B37" s="404" t="s">
        <v>864</v>
      </c>
      <c r="C37" s="404"/>
      <c r="D37" s="404" t="s">
        <v>865</v>
      </c>
      <c r="E37" s="366">
        <f>SUM(E38:E39)</f>
        <v>420100</v>
      </c>
      <c r="F37" s="366">
        <f t="shared" ref="F37:P37" si="19">SUM(F38:F39)</f>
        <v>420100</v>
      </c>
      <c r="G37" s="366">
        <f t="shared" si="19"/>
        <v>0</v>
      </c>
      <c r="H37" s="366">
        <f t="shared" si="19"/>
        <v>0</v>
      </c>
      <c r="I37" s="366">
        <f t="shared" si="19"/>
        <v>0</v>
      </c>
      <c r="J37" s="366">
        <f t="shared" si="19"/>
        <v>0</v>
      </c>
      <c r="K37" s="366">
        <f t="shared" si="19"/>
        <v>0</v>
      </c>
      <c r="L37" s="366">
        <f t="shared" si="19"/>
        <v>0</v>
      </c>
      <c r="M37" s="366">
        <f t="shared" si="19"/>
        <v>0</v>
      </c>
      <c r="N37" s="366">
        <f t="shared" si="19"/>
        <v>0</v>
      </c>
      <c r="O37" s="366">
        <f t="shared" si="19"/>
        <v>0</v>
      </c>
      <c r="P37" s="366">
        <f t="shared" si="19"/>
        <v>420100</v>
      </c>
      <c r="Q37" s="194"/>
      <c r="R37" s="194"/>
    </row>
    <row r="38" spans="1:20" ht="276" thickTop="1" thickBot="1" x14ac:dyDescent="0.25">
      <c r="A38" s="300" t="s">
        <v>263</v>
      </c>
      <c r="B38" s="300" t="s">
        <v>264</v>
      </c>
      <c r="C38" s="300" t="s">
        <v>45</v>
      </c>
      <c r="D38" s="300" t="s">
        <v>476</v>
      </c>
      <c r="E38" s="299">
        <f t="shared" si="5"/>
        <v>300000</v>
      </c>
      <c r="F38" s="313">
        <v>300000</v>
      </c>
      <c r="G38" s="313"/>
      <c r="H38" s="313"/>
      <c r="I38" s="313"/>
      <c r="J38" s="822">
        <f>L38+O38</f>
        <v>0</v>
      </c>
      <c r="K38" s="313"/>
      <c r="L38" s="313"/>
      <c r="M38" s="313"/>
      <c r="N38" s="313"/>
      <c r="O38" s="849">
        <f>K38</f>
        <v>0</v>
      </c>
      <c r="P38" s="822">
        <f>E38+J38</f>
        <v>300000</v>
      </c>
    </row>
    <row r="39" spans="1:20" s="185" customFormat="1" ht="93" thickTop="1" thickBot="1" x14ac:dyDescent="0.25">
      <c r="A39" s="300" t="s">
        <v>695</v>
      </c>
      <c r="B39" s="300" t="s">
        <v>389</v>
      </c>
      <c r="C39" s="300" t="s">
        <v>45</v>
      </c>
      <c r="D39" s="300" t="s">
        <v>390</v>
      </c>
      <c r="E39" s="299">
        <f t="shared" ref="E39:E40" si="20">F39</f>
        <v>120100</v>
      </c>
      <c r="F39" s="313">
        <v>120100</v>
      </c>
      <c r="G39" s="313"/>
      <c r="H39" s="313"/>
      <c r="I39" s="313"/>
      <c r="J39" s="822">
        <f>L39+O39</f>
        <v>0</v>
      </c>
      <c r="K39" s="313"/>
      <c r="L39" s="313"/>
      <c r="M39" s="313"/>
      <c r="N39" s="313"/>
      <c r="O39" s="849">
        <f>K39</f>
        <v>0</v>
      </c>
      <c r="P39" s="822">
        <f>E39+J39</f>
        <v>120100</v>
      </c>
      <c r="Q39" s="209"/>
      <c r="R39" s="209"/>
    </row>
    <row r="40" spans="1:20" s="598" customFormat="1" ht="271.5" thickTop="1" thickBot="1" x14ac:dyDescent="0.25">
      <c r="A40" s="404" t="s">
        <v>560</v>
      </c>
      <c r="B40" s="404" t="s">
        <v>561</v>
      </c>
      <c r="C40" s="404" t="s">
        <v>45</v>
      </c>
      <c r="D40" s="404" t="s">
        <v>562</v>
      </c>
      <c r="E40" s="366">
        <f t="shared" si="20"/>
        <v>3750000</v>
      </c>
      <c r="F40" s="366">
        <f>120000+(500000+300000+80000+50000+(500000+400000+80000+400000+80000+60000+200000+80000+300000+500000+100000))</f>
        <v>3750000</v>
      </c>
      <c r="G40" s="366"/>
      <c r="H40" s="366"/>
      <c r="I40" s="366"/>
      <c r="J40" s="366">
        <f>L40+O40</f>
        <v>1340000</v>
      </c>
      <c r="K40" s="309">
        <f>380000+(80000+300000+500000+80000)</f>
        <v>1340000</v>
      </c>
      <c r="L40" s="366"/>
      <c r="M40" s="366"/>
      <c r="N40" s="366"/>
      <c r="O40" s="366">
        <f>K40</f>
        <v>1340000</v>
      </c>
      <c r="P40" s="366">
        <f>E40+J40</f>
        <v>5090000</v>
      </c>
      <c r="Q40" s="607"/>
      <c r="R40" s="124" t="b">
        <f>K40='d6'!J18+'d6'!J17</f>
        <v>1</v>
      </c>
    </row>
    <row r="41" spans="1:20" ht="136.5" thickTop="1" thickBot="1" x14ac:dyDescent="0.25">
      <c r="A41" s="853" t="s">
        <v>166</v>
      </c>
      <c r="B41" s="853"/>
      <c r="C41" s="853"/>
      <c r="D41" s="854" t="s">
        <v>0</v>
      </c>
      <c r="E41" s="855">
        <f>E42</f>
        <v>1621102272.95</v>
      </c>
      <c r="F41" s="856">
        <f t="shared" ref="F41" si="21">F42</f>
        <v>1621102272.95</v>
      </c>
      <c r="G41" s="856">
        <f>G42</f>
        <v>1116100054.47</v>
      </c>
      <c r="H41" s="856">
        <f>H42</f>
        <v>118906983.78999999</v>
      </c>
      <c r="I41" s="856">
        <f t="shared" ref="I41" si="22">I42</f>
        <v>0</v>
      </c>
      <c r="J41" s="855">
        <f>J42</f>
        <v>206421160.25</v>
      </c>
      <c r="K41" s="856">
        <f>K42</f>
        <v>58955496.250000007</v>
      </c>
      <c r="L41" s="856">
        <f>L42</f>
        <v>145883030</v>
      </c>
      <c r="M41" s="856">
        <f t="shared" ref="M41" si="23">M42</f>
        <v>42570629</v>
      </c>
      <c r="N41" s="856">
        <f>N42</f>
        <v>13673760</v>
      </c>
      <c r="O41" s="855">
        <f>O42</f>
        <v>60538130.250000007</v>
      </c>
      <c r="P41" s="856">
        <f t="shared" ref="P41" si="24">P42</f>
        <v>1827523433.2</v>
      </c>
    </row>
    <row r="42" spans="1:20" ht="136.5" thickTop="1" thickBot="1" x14ac:dyDescent="0.25">
      <c r="A42" s="857" t="s">
        <v>167</v>
      </c>
      <c r="B42" s="857"/>
      <c r="C42" s="857"/>
      <c r="D42" s="858" t="s">
        <v>1</v>
      </c>
      <c r="E42" s="859">
        <f>E43+E74+E85+E79</f>
        <v>1621102272.95</v>
      </c>
      <c r="F42" s="859">
        <f>F43+F74+F85+F79</f>
        <v>1621102272.95</v>
      </c>
      <c r="G42" s="859">
        <f>G43+G74+G85+G79</f>
        <v>1116100054.47</v>
      </c>
      <c r="H42" s="859">
        <f>H43+H74+H85+H79</f>
        <v>118906983.78999999</v>
      </c>
      <c r="I42" s="859">
        <f>I43+I74+I85+I79</f>
        <v>0</v>
      </c>
      <c r="J42" s="859">
        <f>L42+O42</f>
        <v>206421160.25</v>
      </c>
      <c r="K42" s="859">
        <f>K43+K74+K85+K79</f>
        <v>58955496.250000007</v>
      </c>
      <c r="L42" s="859">
        <f>L43+L74+L85+L79</f>
        <v>145883030</v>
      </c>
      <c r="M42" s="859">
        <f>M43+M74+M85+M79</f>
        <v>42570629</v>
      </c>
      <c r="N42" s="859">
        <f>N43+N74+N85+N79</f>
        <v>13673760</v>
      </c>
      <c r="O42" s="859">
        <f>O43+O74+O85+O79</f>
        <v>60538130.250000007</v>
      </c>
      <c r="P42" s="859">
        <f>E42+J42</f>
        <v>1827523433.2</v>
      </c>
      <c r="Q42" s="124" t="b">
        <f>P42=P44+P46+P47+P50+P54+P56+P57+P59+P60+P62+P63+P64+P66+P72+P75+P53+P73+P48+P67+P69+P77+P70+P87+P78+P82+P84</f>
        <v>1</v>
      </c>
      <c r="R42" s="124" t="b">
        <f>K42='d6'!J20</f>
        <v>1</v>
      </c>
    </row>
    <row r="43" spans="1:20" s="382" customFormat="1" ht="47.25" thickTop="1" thickBot="1" x14ac:dyDescent="0.25">
      <c r="A43" s="455" t="s">
        <v>866</v>
      </c>
      <c r="B43" s="455" t="s">
        <v>867</v>
      </c>
      <c r="C43" s="455"/>
      <c r="D43" s="455" t="s">
        <v>868</v>
      </c>
      <c r="E43" s="389">
        <f>E44+E45+E49+E54+E55+E58+E61+E64+E65+E72+E51+E73+E68+E76</f>
        <v>1621018095.95</v>
      </c>
      <c r="F43" s="714">
        <f t="shared" ref="F43:P43" si="25">F44+F45+F49+F54+F55+F58+F61+F64+F65+F72+F51+F73+F68+F76</f>
        <v>1621018095.95</v>
      </c>
      <c r="G43" s="714">
        <f t="shared" si="25"/>
        <v>1116100054.47</v>
      </c>
      <c r="H43" s="714">
        <f t="shared" si="25"/>
        <v>118906983.78999999</v>
      </c>
      <c r="I43" s="714">
        <f t="shared" si="25"/>
        <v>0</v>
      </c>
      <c r="J43" s="822">
        <f t="shared" si="25"/>
        <v>201518172.25</v>
      </c>
      <c r="K43" s="822">
        <f t="shared" si="25"/>
        <v>54052508.250000007</v>
      </c>
      <c r="L43" s="822">
        <f t="shared" si="25"/>
        <v>145883030</v>
      </c>
      <c r="M43" s="822">
        <f t="shared" si="25"/>
        <v>42570629</v>
      </c>
      <c r="N43" s="822">
        <f t="shared" si="25"/>
        <v>13673760</v>
      </c>
      <c r="O43" s="822">
        <f t="shared" si="25"/>
        <v>55635142.250000007</v>
      </c>
      <c r="P43" s="822">
        <f t="shared" si="25"/>
        <v>1822536268.2</v>
      </c>
      <c r="Q43" s="124"/>
      <c r="R43" s="124"/>
    </row>
    <row r="44" spans="1:20" ht="99" customHeight="1" thickTop="1" thickBot="1" x14ac:dyDescent="0.6">
      <c r="A44" s="343" t="s">
        <v>216</v>
      </c>
      <c r="B44" s="343" t="s">
        <v>217</v>
      </c>
      <c r="C44" s="343" t="s">
        <v>219</v>
      </c>
      <c r="D44" s="343" t="s">
        <v>220</v>
      </c>
      <c r="E44" s="344">
        <f>F44</f>
        <v>477496842</v>
      </c>
      <c r="F44" s="313">
        <f>186032+29939+130281+49999+9245600+48500+200000+864900+8600-3000000-140000+(236775-228977.94+274310.94+46235+566500+40000+5100+37560+((372491460+6155150+631440+29930200+2557000+20309300+734740+914480+6850060+1542435+90625+530000+37683.94+102316.06+90274+29393+150000+101020+33980+1000000+18794374+1868908)-1600000-400000+14500+180000+1400000-19760+20000)+3760945+85400+18800+490764)</f>
        <v>477496842</v>
      </c>
      <c r="G44" s="313">
        <f>(((305204300+12733230+1420850)-1600000)+3760945+85400)-3000000</f>
        <v>318604725</v>
      </c>
      <c r="H44" s="313">
        <f>9245600+48500+200000+864900+8600+((20309300+734740+914480+6850060+1542435+1159227+80427)+1400000-19760)+613864+30400+246500-200000-200000</f>
        <v>43829273</v>
      </c>
      <c r="I44" s="313"/>
      <c r="J44" s="822">
        <f t="shared" ref="J44:J67" si="26">L44+O44</f>
        <v>72874415.370000005</v>
      </c>
      <c r="K44" s="313">
        <f>1000000-45333+((800000+3100000+160000+440000+130000+30333+15000+300000+1172122-1172122)+48000+542134.23+700000+500000+500000+59561.14+49000)</f>
        <v>8328695.3700000001</v>
      </c>
      <c r="L44" s="313">
        <f>-19221-4519-100016-1600-1723318-78200-5650-2000-5800+2000000+(69500+12950-19800-38600-1650-400+(12568180+2758370+5329340+76070+37006700+2376280+17030+812980+26200+2000+18400+2848150))</f>
        <v>63921376</v>
      </c>
      <c r="M44" s="313">
        <f>-19221+(69500+(12568180+803420))</f>
        <v>13421879</v>
      </c>
      <c r="N44" s="313">
        <f>2000000+(222380+222120+356490+1320+10670+30130)</f>
        <v>2843110</v>
      </c>
      <c r="O44" s="849">
        <f>-59676+(-22000+(K44+667020+39000))</f>
        <v>8953039.370000001</v>
      </c>
      <c r="P44" s="822">
        <f t="shared" ref="P44:P56" si="27">E44+J44</f>
        <v>550371257.37</v>
      </c>
      <c r="Q44" s="195"/>
      <c r="R44" s="124" t="b">
        <f>K44='d6'!J21+'d6'!J22+'d6'!J23+'d6'!J24+'d6'!J25+'d6'!J26+'d6'!J28+'d6'!J29+'d6'!J30+'d6'!J31</f>
        <v>1</v>
      </c>
    </row>
    <row r="45" spans="1:20" s="79" customFormat="1" ht="138.75" thickTop="1" thickBot="1" x14ac:dyDescent="0.6">
      <c r="A45" s="365" t="s">
        <v>221</v>
      </c>
      <c r="B45" s="365" t="s">
        <v>218</v>
      </c>
      <c r="C45" s="365"/>
      <c r="D45" s="365" t="s">
        <v>802</v>
      </c>
      <c r="E45" s="367">
        <f>E46+E47+E48</f>
        <v>322845698.95999998</v>
      </c>
      <c r="F45" s="367">
        <f t="shared" ref="F45:I45" si="28">F46+F47+F48</f>
        <v>322845698.95999998</v>
      </c>
      <c r="G45" s="367">
        <f t="shared" si="28"/>
        <v>170344377</v>
      </c>
      <c r="H45" s="367">
        <f t="shared" si="28"/>
        <v>56911170.789999999</v>
      </c>
      <c r="I45" s="367">
        <f t="shared" si="28"/>
        <v>0</v>
      </c>
      <c r="J45" s="367">
        <f t="shared" ref="J45" si="29">J46+J47+J48</f>
        <v>78534267.890000001</v>
      </c>
      <c r="K45" s="367">
        <f t="shared" ref="K45" si="30">K46+K47+K48</f>
        <v>25737347.890000004</v>
      </c>
      <c r="L45" s="367">
        <f t="shared" ref="L45" si="31">L46+L47+L48</f>
        <v>52179630</v>
      </c>
      <c r="M45" s="367">
        <f t="shared" ref="M45" si="32">M46+M47+M48</f>
        <v>19898430</v>
      </c>
      <c r="N45" s="367">
        <f t="shared" ref="N45" si="33">N46+N47+N48</f>
        <v>1839250</v>
      </c>
      <c r="O45" s="367">
        <f t="shared" ref="O45" si="34">O46+O47+O48</f>
        <v>26354637.890000004</v>
      </c>
      <c r="P45" s="367">
        <f>E45+J45</f>
        <v>401379966.84999996</v>
      </c>
      <c r="Q45" s="195"/>
      <c r="R45" s="48"/>
    </row>
    <row r="46" spans="1:20" ht="138.75" thickTop="1" thickBot="1" x14ac:dyDescent="0.6">
      <c r="A46" s="370" t="s">
        <v>799</v>
      </c>
      <c r="B46" s="370" t="s">
        <v>800</v>
      </c>
      <c r="C46" s="370" t="s">
        <v>222</v>
      </c>
      <c r="D46" s="370" t="s">
        <v>801</v>
      </c>
      <c r="E46" s="369">
        <f t="shared" ref="E46:E56" si="35">F46</f>
        <v>293855234.13999999</v>
      </c>
      <c r="F46" s="313">
        <f>-186032+87835+45127+93550+49933+28685+190802-27700-9262+9262-11926+11926-43880+199000+49900+262000+58000+650010+6700+29730+302720+2562+4500+2680-47400+11682900+16400-1400000+1795700+67000-9200000+(5100+46200+199000-10500+90000-90000-12600-99400+250000+((293431677)+314737.33-3489794.54-2700000-2424285.65+35000+199620+70000+155500+5000+5000+85000+126230+99400+45000+150000+50000+20000+40000+49900+662500+80000+34010+1101400+17170-165000-635000+200000+795970)-410000-90000+46650+751028+100000)</f>
        <v>293855234.13999999</v>
      </c>
      <c r="G46" s="313">
        <f>262000-6000000+((665932900-12733230-496181500)-410000)</f>
        <v>150870170</v>
      </c>
      <c r="H46" s="313">
        <f>302720+2562+4500+2680+11682900+16400-1400000+1795700+67000+((28409070+505115+696000+1555400+9873130+1177895-1159227+6058967)+314737.33-3489794.54-2700000+662500-165000-635000+200000)+46000+977800-200000-200000+127228</f>
        <v>54529282.789999999</v>
      </c>
      <c r="I46" s="313"/>
      <c r="J46" s="822">
        <f t="shared" si="26"/>
        <v>77616914.890000001</v>
      </c>
      <c r="K46" s="313">
        <f>900000+17667+343190+81373+13800-93500-250000+37800+1000000+32821-160000-33000-176100+40000+(4930406+10500+93500+12600+86900+274000-73565+69862+((548818+750000+750000+1000000+200000+750000+400000+2000000+3000000+1970000+500000+500000+50000+50000+300000+92450+1224076-1224076-1970000)+400000+17500+75000+42000+48000+1738790+1007090+500000+292490.88+49000+110000+78000+220000+250000+250000+49000+49000+1261682+92850.01+291970))</f>
        <v>24871894.890000004</v>
      </c>
      <c r="L46" s="313">
        <f>-9400-8730-184120-5000-260450-55000-25750-8100-1500+894130+(450580+91432-275800-180000-28937-1405-2000-1070+(20260670+4446400+3714280+69930+22978640+1904840+107920+944650+28110+4600+143360-2848150)-16400)</f>
        <v>52127730</v>
      </c>
      <c r="M46" s="313">
        <f>-9400+(450580+(20260670-803420))</f>
        <v>19898430</v>
      </c>
      <c r="N46" s="313">
        <f>894130+(315710+155250+435040+38650-30130)</f>
        <v>1808650</v>
      </c>
      <c r="O46" s="849">
        <f>-148110-52800+((K46+840800-39000)+16400)</f>
        <v>25489184.890000004</v>
      </c>
      <c r="P46" s="822">
        <f t="shared" si="27"/>
        <v>371472149.02999997</v>
      </c>
      <c r="Q46" s="195"/>
      <c r="R46" s="124" t="b">
        <f>K46='d6'!J32+'d6'!J34+'d6'!J35+'d6'!J36+'d6'!J37+'d6'!J39+'d6'!J40+'d6'!J41+'d6'!J42+'d6'!J43+'d6'!J44+'d6'!J45+'d6'!J46+'d6'!J47+'d6'!J48+'d6'!J49+'d6'!J50+'d6'!J51+'d6'!J38+'d6'!J53+'d6'!J54+'d6'!J55+'d6'!J56+'d6'!J57+'d6'!J58+'d6'!J59+'d6'!J60+'d6'!J61+'d6'!J62+'d6'!J33+'d6'!J52</f>
        <v>1</v>
      </c>
      <c r="T46" s="236"/>
    </row>
    <row r="47" spans="1:20" ht="276" thickTop="1" thickBot="1" x14ac:dyDescent="0.25">
      <c r="A47" s="370" t="s">
        <v>809</v>
      </c>
      <c r="B47" s="370" t="s">
        <v>810</v>
      </c>
      <c r="C47" s="370" t="s">
        <v>225</v>
      </c>
      <c r="D47" s="370" t="s">
        <v>543</v>
      </c>
      <c r="E47" s="369">
        <f t="shared" si="35"/>
        <v>20335732</v>
      </c>
      <c r="F47" s="313">
        <f>1950+145500-2813600+(((21983082)+14000-38115-8385)+818000+193300+30000+10000)</f>
        <v>20335732</v>
      </c>
      <c r="G47" s="313">
        <f>-150000-2178000+(((18140130-1420850)-38115)+818000)</f>
        <v>15171165</v>
      </c>
      <c r="H47" s="313">
        <f>161500-10000-6000+(((779700+14900+108615+22080-80427)+14000)+192900+400)</f>
        <v>1197668</v>
      </c>
      <c r="I47" s="313"/>
      <c r="J47" s="822">
        <f t="shared" si="26"/>
        <v>917353</v>
      </c>
      <c r="K47" s="313">
        <f>-29400+(-54288+((300000+100000+120000+38430+59425+30000-30000)+16386+314900))</f>
        <v>865453</v>
      </c>
      <c r="L47" s="313">
        <f>(10100+6900+2500+30600+1800)</f>
        <v>51900</v>
      </c>
      <c r="M47" s="313"/>
      <c r="N47" s="313">
        <f>(18600+800+10600+600)</f>
        <v>30600</v>
      </c>
      <c r="O47" s="849">
        <f>K47</f>
        <v>865453</v>
      </c>
      <c r="P47" s="822">
        <f t="shared" si="27"/>
        <v>21253085</v>
      </c>
      <c r="R47" s="368" t="b">
        <f>K47='d6'!J63+'d6'!J64</f>
        <v>1</v>
      </c>
    </row>
    <row r="48" spans="1:20" s="711" customFormat="1" ht="184.5" thickTop="1" thickBot="1" x14ac:dyDescent="0.25">
      <c r="A48" s="713" t="s">
        <v>1318</v>
      </c>
      <c r="B48" s="713" t="s">
        <v>1319</v>
      </c>
      <c r="C48" s="713" t="s">
        <v>225</v>
      </c>
      <c r="D48" s="713" t="s">
        <v>1320</v>
      </c>
      <c r="E48" s="714">
        <f t="shared" ref="E48" si="36">F48</f>
        <v>8654732.8200000003</v>
      </c>
      <c r="F48" s="313">
        <f>2676050+583050+393085+1755+12377+687450+1005+20870+3555+650+(1626992+355000+25000+1600+1764440+13500+293420+37415+137520+2985+28053.82-11040)</f>
        <v>8654732.8200000003</v>
      </c>
      <c r="G48" s="313">
        <f>1626992+2676050</f>
        <v>4303042</v>
      </c>
      <c r="H48" s="313">
        <f>687450+1005+20870+3555+(293420+37415+137520+2985)</f>
        <v>1184220</v>
      </c>
      <c r="I48" s="313"/>
      <c r="J48" s="822">
        <f t="shared" ref="J48" si="37">L48+O48</f>
        <v>0</v>
      </c>
      <c r="K48" s="313"/>
      <c r="L48" s="313"/>
      <c r="M48" s="313"/>
      <c r="N48" s="313"/>
      <c r="O48" s="849">
        <f>K48</f>
        <v>0</v>
      </c>
      <c r="P48" s="822">
        <f t="shared" ref="P48" si="38">E48+J48</f>
        <v>8654732.8200000003</v>
      </c>
      <c r="Q48" s="719"/>
      <c r="R48" s="368"/>
    </row>
    <row r="49" spans="1:18" s="79" customFormat="1" ht="138.75" thickTop="1" thickBot="1" x14ac:dyDescent="0.25">
      <c r="A49" s="365" t="s">
        <v>544</v>
      </c>
      <c r="B49" s="365" t="s">
        <v>223</v>
      </c>
      <c r="C49" s="365"/>
      <c r="D49" s="365" t="s">
        <v>817</v>
      </c>
      <c r="E49" s="367">
        <f>E50</f>
        <v>608795058</v>
      </c>
      <c r="F49" s="367">
        <f>F50</f>
        <v>608795058</v>
      </c>
      <c r="G49" s="367">
        <f t="shared" ref="G49:P49" si="39">G50</f>
        <v>496181500</v>
      </c>
      <c r="H49" s="367">
        <f t="shared" si="39"/>
        <v>0</v>
      </c>
      <c r="I49" s="367">
        <f t="shared" si="39"/>
        <v>0</v>
      </c>
      <c r="J49" s="367">
        <f t="shared" si="39"/>
        <v>0</v>
      </c>
      <c r="K49" s="367">
        <f t="shared" si="39"/>
        <v>0</v>
      </c>
      <c r="L49" s="367">
        <f t="shared" si="39"/>
        <v>0</v>
      </c>
      <c r="M49" s="367">
        <f t="shared" si="39"/>
        <v>0</v>
      </c>
      <c r="N49" s="367">
        <f t="shared" si="39"/>
        <v>0</v>
      </c>
      <c r="O49" s="367">
        <f t="shared" si="39"/>
        <v>0</v>
      </c>
      <c r="P49" s="367">
        <f t="shared" si="39"/>
        <v>608795058</v>
      </c>
      <c r="Q49" s="387"/>
      <c r="R49" s="409"/>
    </row>
    <row r="50" spans="1:18" s="346" customFormat="1" ht="138.75" thickTop="1" thickBot="1" x14ac:dyDescent="0.25">
      <c r="A50" s="370" t="s">
        <v>818</v>
      </c>
      <c r="B50" s="370" t="s">
        <v>819</v>
      </c>
      <c r="C50" s="370" t="s">
        <v>222</v>
      </c>
      <c r="D50" s="588" t="s">
        <v>801</v>
      </c>
      <c r="E50" s="369">
        <f t="shared" ref="E50" si="40">F50</f>
        <v>608795058</v>
      </c>
      <c r="F50" s="313">
        <v>608795058</v>
      </c>
      <c r="G50" s="313">
        <v>496181500</v>
      </c>
      <c r="H50" s="313"/>
      <c r="I50" s="313"/>
      <c r="J50" s="822">
        <f t="shared" ref="J50" si="41">L50+O50</f>
        <v>0</v>
      </c>
      <c r="K50" s="313"/>
      <c r="L50" s="313"/>
      <c r="M50" s="313"/>
      <c r="N50" s="313"/>
      <c r="O50" s="849">
        <f>K50</f>
        <v>0</v>
      </c>
      <c r="P50" s="822">
        <f t="shared" ref="P50:P53" si="42">E50+J50</f>
        <v>608795058</v>
      </c>
      <c r="Q50" s="351"/>
      <c r="R50" s="191"/>
    </row>
    <row r="51" spans="1:18" s="584" customFormat="1" ht="409.6" thickTop="1" x14ac:dyDescent="0.65">
      <c r="A51" s="1057" t="s">
        <v>1169</v>
      </c>
      <c r="B51" s="1057" t="s">
        <v>52</v>
      </c>
      <c r="C51" s="1057"/>
      <c r="D51" s="595" t="s">
        <v>1172</v>
      </c>
      <c r="E51" s="1040">
        <f t="shared" ref="E51:O51" si="43">E53</f>
        <v>0</v>
      </c>
      <c r="F51" s="1040">
        <f t="shared" si="43"/>
        <v>0</v>
      </c>
      <c r="G51" s="1040">
        <f t="shared" si="43"/>
        <v>0</v>
      </c>
      <c r="H51" s="1040">
        <f t="shared" si="43"/>
        <v>0</v>
      </c>
      <c r="I51" s="1040">
        <f t="shared" si="43"/>
        <v>0</v>
      </c>
      <c r="J51" s="1040">
        <f t="shared" si="43"/>
        <v>6197509.9900000002</v>
      </c>
      <c r="K51" s="1040">
        <f t="shared" si="43"/>
        <v>6197509.9900000002</v>
      </c>
      <c r="L51" s="1040">
        <f t="shared" si="43"/>
        <v>0</v>
      </c>
      <c r="M51" s="1040">
        <f t="shared" si="43"/>
        <v>0</v>
      </c>
      <c r="N51" s="1040">
        <f t="shared" si="43"/>
        <v>0</v>
      </c>
      <c r="O51" s="1040">
        <f t="shared" si="43"/>
        <v>6197509.9900000002</v>
      </c>
      <c r="P51" s="1040">
        <f>E51+J51</f>
        <v>6197509.9900000002</v>
      </c>
      <c r="Q51" s="594"/>
      <c r="R51" s="191"/>
    </row>
    <row r="52" spans="1:18" s="584" customFormat="1" ht="183.75" thickBot="1" x14ac:dyDescent="0.25">
      <c r="A52" s="1018"/>
      <c r="B52" s="1018"/>
      <c r="C52" s="1018"/>
      <c r="D52" s="596" t="s">
        <v>1173</v>
      </c>
      <c r="E52" s="1018"/>
      <c r="F52" s="1018"/>
      <c r="G52" s="1018"/>
      <c r="H52" s="1018"/>
      <c r="I52" s="1018"/>
      <c r="J52" s="1018"/>
      <c r="K52" s="1018"/>
      <c r="L52" s="1018"/>
      <c r="M52" s="1018"/>
      <c r="N52" s="1018"/>
      <c r="O52" s="1018"/>
      <c r="P52" s="1018"/>
      <c r="Q52" s="594"/>
      <c r="R52" s="191"/>
    </row>
    <row r="53" spans="1:18" s="584" customFormat="1" ht="138.75" thickTop="1" thickBot="1" x14ac:dyDescent="0.25">
      <c r="A53" s="588" t="s">
        <v>1170</v>
      </c>
      <c r="B53" s="588" t="s">
        <v>1171</v>
      </c>
      <c r="C53" s="588" t="s">
        <v>222</v>
      </c>
      <c r="D53" s="588" t="s">
        <v>1174</v>
      </c>
      <c r="E53" s="589">
        <f t="shared" ref="E53" si="44">F53</f>
        <v>0</v>
      </c>
      <c r="F53" s="313"/>
      <c r="G53" s="313"/>
      <c r="H53" s="313"/>
      <c r="I53" s="313"/>
      <c r="J53" s="822">
        <f t="shared" ref="J53" si="45">L53+O53</f>
        <v>6197509.9900000002</v>
      </c>
      <c r="K53" s="313">
        <f>700000+700000+2000000+700000+500000+107149.99+400000+400000+690360</f>
        <v>6197509.9900000002</v>
      </c>
      <c r="L53" s="313"/>
      <c r="M53" s="313"/>
      <c r="N53" s="313"/>
      <c r="O53" s="849">
        <f>K53</f>
        <v>6197509.9900000002</v>
      </c>
      <c r="P53" s="822">
        <f t="shared" si="42"/>
        <v>6197509.9900000002</v>
      </c>
      <c r="Q53" s="594"/>
      <c r="R53" s="124" t="b">
        <f>K53='d6'!J65+'d6'!J66+'d6'!J67+'d6'!J68+'d6'!J69+'d6'!J70+'d6'!J71+'d6'!J72+'d6'!J73</f>
        <v>1</v>
      </c>
    </row>
    <row r="54" spans="1:18" ht="184.5" thickTop="1" thickBot="1" x14ac:dyDescent="0.25">
      <c r="A54" s="348" t="s">
        <v>820</v>
      </c>
      <c r="B54" s="348" t="s">
        <v>224</v>
      </c>
      <c r="C54" s="348" t="s">
        <v>199</v>
      </c>
      <c r="D54" s="348" t="s">
        <v>545</v>
      </c>
      <c r="E54" s="347">
        <f t="shared" si="35"/>
        <v>32055658</v>
      </c>
      <c r="F54" s="313">
        <f>-6110-60810-321070-159054-1511+370725-1070000+(36000-31000+198000+43600+210+3420+16600+3720+(((27590745+205730+10500+221500+130820+1620460+33365+388480+37100+8875+121133)+56500+75000+918750+1201665+264366+22418+49800+391485+31000+93850+328696)-542300-257700+30700))</f>
        <v>32055658</v>
      </c>
      <c r="G54" s="313">
        <f>-890000+((((22671115)+1201665)-542300)+198000)</f>
        <v>22638480</v>
      </c>
      <c r="H54" s="313">
        <f>459700-100000+9525+1500+((((1620460+33365+388480+37100)+56500)+30700)+210+3420+16600)</f>
        <v>2557560</v>
      </c>
      <c r="I54" s="313"/>
      <c r="J54" s="822">
        <f t="shared" si="26"/>
        <v>7128900</v>
      </c>
      <c r="K54" s="313">
        <f>-87345-1000000+(-352450+31000+((761045)+177100+2000000))</f>
        <v>1529350</v>
      </c>
      <c r="L54" s="313">
        <f>(1398310+307720+983700+48960+1732500+659140+33260+245150+4900+64910)</f>
        <v>5478550</v>
      </c>
      <c r="M54" s="313">
        <v>1398310</v>
      </c>
      <c r="N54" s="313">
        <f>(14930+1030+228040+1150)+74960</f>
        <v>320110</v>
      </c>
      <c r="O54" s="849">
        <f>K54+121000</f>
        <v>1650350</v>
      </c>
      <c r="P54" s="822">
        <f t="shared" si="27"/>
        <v>39184558</v>
      </c>
      <c r="R54" s="124" t="b">
        <f>K54='d6'!J74+'d6'!J75</f>
        <v>1</v>
      </c>
    </row>
    <row r="55" spans="1:18" s="79" customFormat="1" ht="184.5" thickTop="1" thickBot="1" x14ac:dyDescent="0.25">
      <c r="A55" s="365" t="s">
        <v>226</v>
      </c>
      <c r="B55" s="365" t="s">
        <v>209</v>
      </c>
      <c r="C55" s="365"/>
      <c r="D55" s="365" t="s">
        <v>547</v>
      </c>
      <c r="E55" s="367">
        <f>E56+E57</f>
        <v>130730172.98999999</v>
      </c>
      <c r="F55" s="367">
        <f t="shared" ref="F55:O55" si="46">F56+F57</f>
        <v>130730172.98999999</v>
      </c>
      <c r="G55" s="367">
        <f t="shared" si="46"/>
        <v>79121648.469999999</v>
      </c>
      <c r="H55" s="367">
        <f t="shared" si="46"/>
        <v>14455050</v>
      </c>
      <c r="I55" s="367">
        <f t="shared" si="46"/>
        <v>0</v>
      </c>
      <c r="J55" s="367">
        <f t="shared" si="46"/>
        <v>26157091</v>
      </c>
      <c r="K55" s="367">
        <f t="shared" si="46"/>
        <v>2048217</v>
      </c>
      <c r="L55" s="367">
        <f t="shared" si="46"/>
        <v>23888874</v>
      </c>
      <c r="M55" s="367">
        <f t="shared" si="46"/>
        <v>7659590</v>
      </c>
      <c r="N55" s="367">
        <f t="shared" si="46"/>
        <v>8619380</v>
      </c>
      <c r="O55" s="367">
        <f t="shared" si="46"/>
        <v>2268217</v>
      </c>
      <c r="P55" s="367">
        <f t="shared" si="27"/>
        <v>156887263.99000001</v>
      </c>
      <c r="Q55" s="387"/>
      <c r="R55" s="409"/>
    </row>
    <row r="56" spans="1:18" ht="230.25" thickTop="1" thickBot="1" x14ac:dyDescent="0.25">
      <c r="A56" s="370" t="s">
        <v>821</v>
      </c>
      <c r="B56" s="370" t="s">
        <v>822</v>
      </c>
      <c r="C56" s="370" t="s">
        <v>227</v>
      </c>
      <c r="D56" s="370" t="s">
        <v>823</v>
      </c>
      <c r="E56" s="369">
        <f t="shared" si="35"/>
        <v>112959072.98999999</v>
      </c>
      <c r="F56" s="313">
        <f>49000-500000-500000+3200000-19200+138400-4000+5030340+1339000+(((99149586)+227750+30185+47050+160945+1806575+765263-2155895.53-398189.48-455467-6740-34278-840305)+4460413+788636+680005)</f>
        <v>112959072.98999999</v>
      </c>
      <c r="G56" s="313">
        <f>5030340+(((71786791-14686900)-2155895.53)+4460413)</f>
        <v>64434748.469999999</v>
      </c>
      <c r="H56" s="313">
        <f>3200000-19200+138400-4000+((6850730+76600+19000+3448900+561100)-455467-6740-34278)+680005</f>
        <v>14455050</v>
      </c>
      <c r="I56" s="313"/>
      <c r="J56" s="822">
        <f>L56+O56</f>
        <v>26157091</v>
      </c>
      <c r="K56" s="313">
        <f>20000+(300000+(1170637+15000+542580))</f>
        <v>2048217</v>
      </c>
      <c r="L56" s="313">
        <f>10000+500-20000-22000-12000-6000+237000+21500+45300+605000+216880+275000+20000+13600+530000+79500+((((6797480+1421290+1203730+12000+1235200+849000+70500+6568900+81500+2101880+60940+71000)+95000)+332110+74064)+320000+300000+290290+9710)</f>
        <v>23888874</v>
      </c>
      <c r="M56" s="313">
        <f>530000+((6797480)+332110)</f>
        <v>7659590</v>
      </c>
      <c r="N56" s="313">
        <f>605000+216880+275000+20000+13600+(3761200+749500+1883100+35000+140100)+320000+300000+290290+9710</f>
        <v>8619380</v>
      </c>
      <c r="O56" s="849">
        <f>60000+(K56+160000)</f>
        <v>2268217</v>
      </c>
      <c r="P56" s="822">
        <f t="shared" si="27"/>
        <v>139116163.99000001</v>
      </c>
      <c r="R56" s="124" t="b">
        <f>K56='d6'!J76+'d6'!J77+'d6'!J78</f>
        <v>1</v>
      </c>
    </row>
    <row r="57" spans="1:18" s="346" customFormat="1" ht="230.25" thickTop="1" thickBot="1" x14ac:dyDescent="0.25">
      <c r="A57" s="370" t="s">
        <v>825</v>
      </c>
      <c r="B57" s="370" t="s">
        <v>824</v>
      </c>
      <c r="C57" s="370" t="s">
        <v>227</v>
      </c>
      <c r="D57" s="370" t="s">
        <v>826</v>
      </c>
      <c r="E57" s="369">
        <f t="shared" ref="E57" si="47">F57</f>
        <v>17771100</v>
      </c>
      <c r="F57" s="313">
        <v>17771100</v>
      </c>
      <c r="G57" s="313">
        <v>14686900</v>
      </c>
      <c r="H57" s="313"/>
      <c r="I57" s="313"/>
      <c r="J57" s="822">
        <f>L57+O57</f>
        <v>0</v>
      </c>
      <c r="K57" s="313"/>
      <c r="L57" s="313"/>
      <c r="M57" s="313"/>
      <c r="N57" s="313"/>
      <c r="O57" s="849"/>
      <c r="P57" s="822">
        <f t="shared" ref="P57" si="48">E57+J57</f>
        <v>17771100</v>
      </c>
      <c r="Q57" s="351"/>
      <c r="R57" s="191"/>
    </row>
    <row r="58" spans="1:18" s="79" customFormat="1" ht="93" thickTop="1" thickBot="1" x14ac:dyDescent="0.25">
      <c r="A58" s="365" t="s">
        <v>828</v>
      </c>
      <c r="B58" s="365" t="s">
        <v>827</v>
      </c>
      <c r="C58" s="365"/>
      <c r="D58" s="365" t="s">
        <v>829</v>
      </c>
      <c r="E58" s="367">
        <f>E59+E60</f>
        <v>26615682</v>
      </c>
      <c r="F58" s="367">
        <f t="shared" ref="F58:O58" si="49">F59+F60</f>
        <v>26615682</v>
      </c>
      <c r="G58" s="367">
        <f t="shared" si="49"/>
        <v>19288662</v>
      </c>
      <c r="H58" s="367">
        <f t="shared" si="49"/>
        <v>983425</v>
      </c>
      <c r="I58" s="367">
        <f t="shared" si="49"/>
        <v>0</v>
      </c>
      <c r="J58" s="367">
        <f t="shared" si="49"/>
        <v>414600</v>
      </c>
      <c r="K58" s="367">
        <f t="shared" si="49"/>
        <v>0</v>
      </c>
      <c r="L58" s="367">
        <f t="shared" si="49"/>
        <v>414600</v>
      </c>
      <c r="M58" s="367">
        <f t="shared" si="49"/>
        <v>192420</v>
      </c>
      <c r="N58" s="367">
        <f t="shared" si="49"/>
        <v>51910</v>
      </c>
      <c r="O58" s="367">
        <f t="shared" si="49"/>
        <v>0</v>
      </c>
      <c r="P58" s="367">
        <f>E58+J58</f>
        <v>27030282</v>
      </c>
      <c r="Q58" s="387"/>
      <c r="R58" s="409"/>
    </row>
    <row r="59" spans="1:18" s="346" customFormat="1" ht="93" thickTop="1" thickBot="1" x14ac:dyDescent="0.25">
      <c r="A59" s="370" t="s">
        <v>830</v>
      </c>
      <c r="B59" s="370" t="s">
        <v>831</v>
      </c>
      <c r="C59" s="370" t="s">
        <v>228</v>
      </c>
      <c r="D59" s="370" t="s">
        <v>548</v>
      </c>
      <c r="E59" s="369">
        <f>F59</f>
        <v>26408442</v>
      </c>
      <c r="F59" s="313">
        <f>7000-20000+145610-1815000+(((27876650+503000+1370+1193900+45500+638560+11800+2700+192610+15890+5070+2700+300+50000-2996350)+53000+151800+63100+20000)+97700+95700+29200+25000+11632)</f>
        <v>26408442</v>
      </c>
      <c r="G59" s="313">
        <f>-1380000+(22849710-2181048)</f>
        <v>19288662</v>
      </c>
      <c r="H59" s="313">
        <f>141300+2110+2200+((638560+11800+2700+192610+15890-174445)+53000)+17000+2600+77000+1100</f>
        <v>983425</v>
      </c>
      <c r="I59" s="313"/>
      <c r="J59" s="822">
        <f>L59+O59</f>
        <v>414600</v>
      </c>
      <c r="K59" s="313"/>
      <c r="L59" s="313">
        <f>(192420+42340+66010+2500+46010+1210+51910+3000+9200)</f>
        <v>414600</v>
      </c>
      <c r="M59" s="313">
        <v>192420</v>
      </c>
      <c r="N59" s="313">
        <f>(45600+2540+3440+330)</f>
        <v>51910</v>
      </c>
      <c r="O59" s="849">
        <f>K59</f>
        <v>0</v>
      </c>
      <c r="P59" s="822">
        <f>E59+J59</f>
        <v>26823042</v>
      </c>
      <c r="Q59" s="351"/>
      <c r="R59" s="191"/>
    </row>
    <row r="60" spans="1:18" s="346" customFormat="1" ht="93" thickTop="1" thickBot="1" x14ac:dyDescent="0.25">
      <c r="A60" s="370" t="s">
        <v>832</v>
      </c>
      <c r="B60" s="370" t="s">
        <v>833</v>
      </c>
      <c r="C60" s="370" t="s">
        <v>228</v>
      </c>
      <c r="D60" s="370" t="s">
        <v>362</v>
      </c>
      <c r="E60" s="369">
        <f>F60</f>
        <v>207240</v>
      </c>
      <c r="F60" s="313">
        <f>(200000)+7240</f>
        <v>207240</v>
      </c>
      <c r="G60" s="313"/>
      <c r="H60" s="313"/>
      <c r="I60" s="313"/>
      <c r="J60" s="822">
        <f>L60+O60</f>
        <v>0</v>
      </c>
      <c r="K60" s="313"/>
      <c r="L60" s="313"/>
      <c r="M60" s="313"/>
      <c r="N60" s="313"/>
      <c r="O60" s="849">
        <f>K60</f>
        <v>0</v>
      </c>
      <c r="P60" s="822">
        <f>E60+J60</f>
        <v>207240</v>
      </c>
      <c r="Q60" s="351"/>
      <c r="R60" s="191"/>
    </row>
    <row r="61" spans="1:18" s="79" customFormat="1" ht="93" thickTop="1" thickBot="1" x14ac:dyDescent="0.25">
      <c r="A61" s="365" t="s">
        <v>834</v>
      </c>
      <c r="B61" s="365" t="s">
        <v>835</v>
      </c>
      <c r="C61" s="365"/>
      <c r="D61" s="365" t="s">
        <v>459</v>
      </c>
      <c r="E61" s="367">
        <f>E62+E63</f>
        <v>4937485</v>
      </c>
      <c r="F61" s="367">
        <f>F62+F63</f>
        <v>4937485</v>
      </c>
      <c r="G61" s="367">
        <f t="shared" ref="G61:O61" si="50">G62+G63</f>
        <v>3686490</v>
      </c>
      <c r="H61" s="367">
        <f t="shared" si="50"/>
        <v>87755</v>
      </c>
      <c r="I61" s="367">
        <f t="shared" si="50"/>
        <v>0</v>
      </c>
      <c r="J61" s="367">
        <f t="shared" si="50"/>
        <v>50000</v>
      </c>
      <c r="K61" s="367">
        <f t="shared" si="50"/>
        <v>50000</v>
      </c>
      <c r="L61" s="367">
        <f t="shared" si="50"/>
        <v>0</v>
      </c>
      <c r="M61" s="367">
        <f t="shared" si="50"/>
        <v>0</v>
      </c>
      <c r="N61" s="367">
        <f t="shared" si="50"/>
        <v>0</v>
      </c>
      <c r="O61" s="367">
        <f t="shared" si="50"/>
        <v>50000</v>
      </c>
      <c r="P61" s="367">
        <f>E61+J61</f>
        <v>4987485</v>
      </c>
      <c r="Q61" s="387"/>
      <c r="R61" s="409"/>
    </row>
    <row r="62" spans="1:18" s="346" customFormat="1" ht="184.5" thickTop="1" thickBot="1" x14ac:dyDescent="0.25">
      <c r="A62" s="370" t="s">
        <v>836</v>
      </c>
      <c r="B62" s="370" t="s">
        <v>837</v>
      </c>
      <c r="C62" s="370" t="s">
        <v>228</v>
      </c>
      <c r="D62" s="370" t="s">
        <v>838</v>
      </c>
      <c r="E62" s="369">
        <f>F62</f>
        <v>1050685</v>
      </c>
      <c r="F62" s="313">
        <f>-97000+((708190+179200+39200+15020+76200+1430+6000+4125+2320)+116000)</f>
        <v>1050685</v>
      </c>
      <c r="G62" s="313">
        <f>-80000+(580490)</f>
        <v>500490</v>
      </c>
      <c r="H62" s="313">
        <f>(76200+1430+6000+4125)</f>
        <v>87755</v>
      </c>
      <c r="I62" s="313"/>
      <c r="J62" s="822">
        <f>L62+O62</f>
        <v>50000</v>
      </c>
      <c r="K62" s="313">
        <v>50000</v>
      </c>
      <c r="L62" s="313"/>
      <c r="M62" s="313"/>
      <c r="N62" s="313"/>
      <c r="O62" s="849">
        <f>K62</f>
        <v>50000</v>
      </c>
      <c r="P62" s="822">
        <f>E62+J62</f>
        <v>1100685</v>
      </c>
      <c r="Q62" s="351"/>
      <c r="R62" s="124" t="b">
        <f>K62='d6'!J79</f>
        <v>1</v>
      </c>
    </row>
    <row r="63" spans="1:18" s="346" customFormat="1" ht="138.75" thickTop="1" thickBot="1" x14ac:dyDescent="0.25">
      <c r="A63" s="370" t="s">
        <v>839</v>
      </c>
      <c r="B63" s="370" t="s">
        <v>840</v>
      </c>
      <c r="C63" s="370" t="s">
        <v>228</v>
      </c>
      <c r="D63" s="370" t="s">
        <v>841</v>
      </c>
      <c r="E63" s="369">
        <f>F63</f>
        <v>3886800</v>
      </c>
      <c r="F63" s="313">
        <f>(3886800)</f>
        <v>3886800</v>
      </c>
      <c r="G63" s="313">
        <f>(3186000)</f>
        <v>3186000</v>
      </c>
      <c r="H63" s="313"/>
      <c r="I63" s="313"/>
      <c r="J63" s="822">
        <f t="shared" ref="J63" si="51">L63+O63</f>
        <v>0</v>
      </c>
      <c r="K63" s="313"/>
      <c r="L63" s="313"/>
      <c r="M63" s="313"/>
      <c r="N63" s="313"/>
      <c r="O63" s="849">
        <f t="shared" ref="O63" si="52">K63</f>
        <v>0</v>
      </c>
      <c r="P63" s="822">
        <f t="shared" ref="P63" si="53">E63+J63</f>
        <v>3886800</v>
      </c>
      <c r="Q63" s="351"/>
      <c r="R63" s="191"/>
    </row>
    <row r="64" spans="1:18" s="341" customFormat="1" ht="138.75" thickTop="1" thickBot="1" x14ac:dyDescent="0.25">
      <c r="A64" s="343" t="s">
        <v>806</v>
      </c>
      <c r="B64" s="343" t="s">
        <v>807</v>
      </c>
      <c r="C64" s="343" t="s">
        <v>228</v>
      </c>
      <c r="D64" s="343" t="s">
        <v>808</v>
      </c>
      <c r="E64" s="344">
        <f t="shared" ref="E64" si="54">F64</f>
        <v>1850615</v>
      </c>
      <c r="F64" s="313">
        <f>-209800+((2996350)-692000-152240-80795-2000-8900)</f>
        <v>1850615</v>
      </c>
      <c r="G64" s="313">
        <f>-172000+((2181048)-692000)</f>
        <v>1317048</v>
      </c>
      <c r="H64" s="313">
        <f>(174445)-80795-2000-8900</f>
        <v>82750</v>
      </c>
      <c r="I64" s="313"/>
      <c r="J64" s="822">
        <f t="shared" ref="J64" si="55">L64+O64</f>
        <v>50000</v>
      </c>
      <c r="K64" s="313">
        <v>50000</v>
      </c>
      <c r="L64" s="313"/>
      <c r="M64" s="313"/>
      <c r="N64" s="313"/>
      <c r="O64" s="849">
        <f t="shared" ref="O64" si="56">K64</f>
        <v>50000</v>
      </c>
      <c r="P64" s="822">
        <f t="shared" ref="P64" si="57">E64+J64</f>
        <v>1900615</v>
      </c>
      <c r="Q64" s="345"/>
      <c r="R64" s="124" t="b">
        <f>K64='d6'!J80</f>
        <v>1</v>
      </c>
    </row>
    <row r="65" spans="1:18" s="39" customFormat="1" ht="230.25" thickTop="1" thickBot="1" x14ac:dyDescent="0.25">
      <c r="A65" s="365" t="s">
        <v>811</v>
      </c>
      <c r="B65" s="365" t="s">
        <v>812</v>
      </c>
      <c r="C65" s="365"/>
      <c r="D65" s="365" t="s">
        <v>813</v>
      </c>
      <c r="E65" s="367">
        <f t="shared" ref="E65:E78" si="58">F65</f>
        <v>9043301</v>
      </c>
      <c r="F65" s="367">
        <f>SUM(F66:F67)</f>
        <v>9043301</v>
      </c>
      <c r="G65" s="367">
        <f t="shared" ref="G65:I65" si="59">SUM(G66:G67)</f>
        <v>0</v>
      </c>
      <c r="H65" s="367">
        <f t="shared" si="59"/>
        <v>0</v>
      </c>
      <c r="I65" s="367">
        <f t="shared" si="59"/>
        <v>0</v>
      </c>
      <c r="J65" s="367">
        <f t="shared" si="26"/>
        <v>3500200</v>
      </c>
      <c r="K65" s="367">
        <f>SUM(K66:K67)</f>
        <v>3500200</v>
      </c>
      <c r="L65" s="367">
        <f t="shared" ref="L65:N65" si="60">SUM(L66:L67)</f>
        <v>0</v>
      </c>
      <c r="M65" s="367">
        <f t="shared" si="60"/>
        <v>0</v>
      </c>
      <c r="N65" s="367">
        <f t="shared" si="60"/>
        <v>0</v>
      </c>
      <c r="O65" s="367">
        <f>SUM(O66:O67)</f>
        <v>3500200</v>
      </c>
      <c r="P65" s="367">
        <f t="shared" ref="P65:P70" si="61">E65+J65</f>
        <v>12543501</v>
      </c>
      <c r="Q65" s="194"/>
      <c r="R65" s="48"/>
    </row>
    <row r="66" spans="1:18" s="39" customFormat="1" ht="367.5" thickTop="1" thickBot="1" x14ac:dyDescent="0.25">
      <c r="A66" s="370" t="s">
        <v>814</v>
      </c>
      <c r="B66" s="370" t="s">
        <v>815</v>
      </c>
      <c r="C66" s="370" t="s">
        <v>228</v>
      </c>
      <c r="D66" s="370" t="s">
        <v>816</v>
      </c>
      <c r="E66" s="369">
        <f t="shared" si="58"/>
        <v>4362735</v>
      </c>
      <c r="F66" s="313">
        <f>(2300000+600000)+1462735</f>
        <v>4362735</v>
      </c>
      <c r="G66" s="313"/>
      <c r="H66" s="313"/>
      <c r="I66" s="313"/>
      <c r="J66" s="822">
        <f t="shared" si="26"/>
        <v>2117071</v>
      </c>
      <c r="K66" s="313">
        <f>117071+(2000000)</f>
        <v>2117071</v>
      </c>
      <c r="L66" s="313"/>
      <c r="M66" s="313"/>
      <c r="N66" s="313"/>
      <c r="O66" s="849">
        <f t="shared" ref="O66:O67" si="62">K66</f>
        <v>2117071</v>
      </c>
      <c r="P66" s="822">
        <f t="shared" si="61"/>
        <v>6479806</v>
      </c>
      <c r="Q66" s="194"/>
      <c r="R66" s="124" t="b">
        <f>K66='d6'!J81</f>
        <v>1</v>
      </c>
    </row>
    <row r="67" spans="1:18" s="39" customFormat="1" ht="321.75" thickTop="1" thickBot="1" x14ac:dyDescent="0.25">
      <c r="A67" s="705" t="s">
        <v>1291</v>
      </c>
      <c r="B67" s="705" t="s">
        <v>1292</v>
      </c>
      <c r="C67" s="705" t="s">
        <v>228</v>
      </c>
      <c r="D67" s="705" t="s">
        <v>1293</v>
      </c>
      <c r="E67" s="706">
        <f t="shared" si="58"/>
        <v>4680566</v>
      </c>
      <c r="F67" s="313">
        <v>4680566</v>
      </c>
      <c r="G67" s="313"/>
      <c r="H67" s="313"/>
      <c r="I67" s="313"/>
      <c r="J67" s="822">
        <f t="shared" si="26"/>
        <v>1383129</v>
      </c>
      <c r="K67" s="313">
        <v>1383129</v>
      </c>
      <c r="L67" s="313"/>
      <c r="M67" s="313"/>
      <c r="N67" s="313"/>
      <c r="O67" s="849">
        <f t="shared" si="62"/>
        <v>1383129</v>
      </c>
      <c r="P67" s="822">
        <f t="shared" si="61"/>
        <v>6063695</v>
      </c>
      <c r="Q67" s="194"/>
      <c r="R67" s="124" t="b">
        <f>K67='d6'!J82</f>
        <v>1</v>
      </c>
    </row>
    <row r="68" spans="1:18" s="39" customFormat="1" ht="409.6" hidden="1" thickTop="1" thickBot="1" x14ac:dyDescent="0.25">
      <c r="A68" s="365" t="s">
        <v>1321</v>
      </c>
      <c r="B68" s="365" t="s">
        <v>1323</v>
      </c>
      <c r="C68" s="365"/>
      <c r="D68" s="365" t="s">
        <v>1325</v>
      </c>
      <c r="E68" s="367">
        <f>E69+E70</f>
        <v>0</v>
      </c>
      <c r="F68" s="367">
        <f>F69+F70</f>
        <v>0</v>
      </c>
      <c r="G68" s="367">
        <f t="shared" ref="G68:I68" si="63">G69+G70</f>
        <v>0</v>
      </c>
      <c r="H68" s="367">
        <f t="shared" si="63"/>
        <v>0</v>
      </c>
      <c r="I68" s="367">
        <f t="shared" si="63"/>
        <v>0</v>
      </c>
      <c r="J68" s="839">
        <f>L68+O68</f>
        <v>0</v>
      </c>
      <c r="K68" s="839">
        <f t="shared" ref="K68:O68" si="64">K69+K70</f>
        <v>0</v>
      </c>
      <c r="L68" s="839">
        <f t="shared" si="64"/>
        <v>0</v>
      </c>
      <c r="M68" s="839">
        <f t="shared" si="64"/>
        <v>0</v>
      </c>
      <c r="N68" s="839">
        <f t="shared" si="64"/>
        <v>0</v>
      </c>
      <c r="O68" s="839">
        <f t="shared" si="64"/>
        <v>0</v>
      </c>
      <c r="P68" s="839">
        <f t="shared" si="61"/>
        <v>0</v>
      </c>
      <c r="Q68" s="194"/>
      <c r="R68" s="124"/>
    </row>
    <row r="69" spans="1:18" s="39" customFormat="1" ht="409.6" hidden="1" thickTop="1" thickBot="1" x14ac:dyDescent="0.25">
      <c r="A69" s="713" t="s">
        <v>1322</v>
      </c>
      <c r="B69" s="713" t="s">
        <v>1324</v>
      </c>
      <c r="C69" s="713" t="s">
        <v>228</v>
      </c>
      <c r="D69" s="713" t="s">
        <v>1326</v>
      </c>
      <c r="E69" s="714">
        <f t="shared" ref="E69" si="65">F69</f>
        <v>0</v>
      </c>
      <c r="F69" s="313"/>
      <c r="G69" s="313"/>
      <c r="H69" s="313"/>
      <c r="I69" s="313"/>
      <c r="J69" s="836">
        <f t="shared" ref="J69" si="66">L69+O69</f>
        <v>0</v>
      </c>
      <c r="K69" s="809">
        <f>4547046.18-4547046.18</f>
        <v>0</v>
      </c>
      <c r="L69" s="809"/>
      <c r="M69" s="809"/>
      <c r="N69" s="809"/>
      <c r="O69" s="838">
        <f t="shared" ref="O69" si="67">K69</f>
        <v>0</v>
      </c>
      <c r="P69" s="836">
        <f t="shared" si="61"/>
        <v>0</v>
      </c>
      <c r="Q69" s="194"/>
      <c r="R69" s="124" t="b">
        <f>K69='d6'!J83</f>
        <v>1</v>
      </c>
    </row>
    <row r="70" spans="1:18" s="39" customFormat="1" ht="312" hidden="1" customHeight="1" thickTop="1" x14ac:dyDescent="0.2">
      <c r="A70" s="1051" t="s">
        <v>1350</v>
      </c>
      <c r="B70" s="1051" t="s">
        <v>1351</v>
      </c>
      <c r="C70" s="1051" t="s">
        <v>228</v>
      </c>
      <c r="D70" s="1051" t="s">
        <v>1352</v>
      </c>
      <c r="E70" s="1016">
        <f t="shared" ref="E70" si="68">F70</f>
        <v>0</v>
      </c>
      <c r="F70" s="1016"/>
      <c r="G70" s="1016"/>
      <c r="H70" s="1016"/>
      <c r="I70" s="1016"/>
      <c r="J70" s="1033">
        <f t="shared" ref="J70" si="69">L70+O70</f>
        <v>0</v>
      </c>
      <c r="K70" s="1035">
        <f>10623233.82-10623233.82</f>
        <v>0</v>
      </c>
      <c r="L70" s="1033"/>
      <c r="M70" s="1033"/>
      <c r="N70" s="1033"/>
      <c r="O70" s="1035">
        <f t="shared" ref="O70" si="70">K70</f>
        <v>0</v>
      </c>
      <c r="P70" s="1033">
        <f t="shared" si="61"/>
        <v>0</v>
      </c>
      <c r="Q70" s="194"/>
      <c r="R70" s="124" t="b">
        <f>K70='d6'!J84</f>
        <v>1</v>
      </c>
    </row>
    <row r="71" spans="1:18" s="39" customFormat="1" ht="195" hidden="1" customHeight="1" thickBot="1" x14ac:dyDescent="0.25">
      <c r="A71" s="1026"/>
      <c r="B71" s="1026"/>
      <c r="C71" s="1026"/>
      <c r="D71" s="1026"/>
      <c r="E71" s="1026"/>
      <c r="F71" s="1026"/>
      <c r="G71" s="1026"/>
      <c r="H71" s="1026"/>
      <c r="I71" s="1026"/>
      <c r="J71" s="1034"/>
      <c r="K71" s="1036"/>
      <c r="L71" s="1034"/>
      <c r="M71" s="1034"/>
      <c r="N71" s="1034"/>
      <c r="O71" s="1036"/>
      <c r="P71" s="1034"/>
      <c r="Q71" s="194"/>
      <c r="R71" s="124"/>
    </row>
    <row r="72" spans="1:18" s="39" customFormat="1" ht="321.75" thickTop="1" thickBot="1" x14ac:dyDescent="0.25">
      <c r="A72" s="343" t="s">
        <v>803</v>
      </c>
      <c r="B72" s="343" t="s">
        <v>804</v>
      </c>
      <c r="C72" s="343" t="s">
        <v>228</v>
      </c>
      <c r="D72" s="343" t="s">
        <v>805</v>
      </c>
      <c r="E72" s="344">
        <f t="shared" si="58"/>
        <v>4721984</v>
      </c>
      <c r="F72" s="313">
        <f>4721984</f>
        <v>4721984</v>
      </c>
      <c r="G72" s="313">
        <f>(1855198+1937278)</f>
        <v>3792476</v>
      </c>
      <c r="H72" s="313"/>
      <c r="I72" s="313"/>
      <c r="J72" s="822">
        <f t="shared" ref="J72" si="71">L72+O72</f>
        <v>2396198</v>
      </c>
      <c r="K72" s="313">
        <v>2396198</v>
      </c>
      <c r="L72" s="313"/>
      <c r="M72" s="313"/>
      <c r="N72" s="313"/>
      <c r="O72" s="849">
        <f t="shared" ref="O72" si="72">K72</f>
        <v>2396198</v>
      </c>
      <c r="P72" s="822">
        <f t="shared" ref="P72" si="73">E72+J72</f>
        <v>7118182</v>
      </c>
      <c r="Q72" s="194"/>
      <c r="R72" s="124" t="b">
        <f>K72='d6'!J86</f>
        <v>1</v>
      </c>
    </row>
    <row r="73" spans="1:18" s="39" customFormat="1" ht="321.75" thickTop="1" thickBot="1" x14ac:dyDescent="0.25">
      <c r="A73" s="636" t="s">
        <v>1213</v>
      </c>
      <c r="B73" s="636" t="s">
        <v>1214</v>
      </c>
      <c r="C73" s="636" t="s">
        <v>228</v>
      </c>
      <c r="D73" s="636" t="s">
        <v>1215</v>
      </c>
      <c r="E73" s="638">
        <f t="shared" ref="E73" si="74">F73</f>
        <v>1371699</v>
      </c>
      <c r="F73" s="313">
        <f>(879350+193085)+245298+53966</f>
        <v>1371699</v>
      </c>
      <c r="G73" s="313">
        <f>(879350)+245298</f>
        <v>1124648</v>
      </c>
      <c r="H73" s="313"/>
      <c r="I73" s="313"/>
      <c r="J73" s="822">
        <f t="shared" ref="J73" si="75">L73+O73</f>
        <v>748890</v>
      </c>
      <c r="K73" s="313">
        <f>(576190)+172700</f>
        <v>748890</v>
      </c>
      <c r="L73" s="313"/>
      <c r="M73" s="313"/>
      <c r="N73" s="313"/>
      <c r="O73" s="849">
        <f t="shared" ref="O73" si="76">K73</f>
        <v>748890</v>
      </c>
      <c r="P73" s="822">
        <f t="shared" ref="P73" si="77">E73+J73</f>
        <v>2120589</v>
      </c>
      <c r="Q73" s="194"/>
      <c r="R73" s="124" t="b">
        <f>K73='d6'!J87</f>
        <v>1</v>
      </c>
    </row>
    <row r="74" spans="1:18" s="39" customFormat="1" ht="91.5" hidden="1" thickTop="1" thickBot="1" x14ac:dyDescent="0.25">
      <c r="A74" s="455" t="s">
        <v>869</v>
      </c>
      <c r="B74" s="455" t="s">
        <v>870</v>
      </c>
      <c r="C74" s="455"/>
      <c r="D74" s="455" t="s">
        <v>871</v>
      </c>
      <c r="E74" s="389">
        <f>SUM(E75)</f>
        <v>0</v>
      </c>
      <c r="F74" s="389">
        <f t="shared" ref="F74:O74" si="78">SUM(F75)</f>
        <v>0</v>
      </c>
      <c r="G74" s="389">
        <f t="shared" si="78"/>
        <v>0</v>
      </c>
      <c r="H74" s="389">
        <f t="shared" si="78"/>
        <v>0</v>
      </c>
      <c r="I74" s="389">
        <f t="shared" si="78"/>
        <v>0</v>
      </c>
      <c r="J74" s="836">
        <f t="shared" si="78"/>
        <v>0</v>
      </c>
      <c r="K74" s="836">
        <f t="shared" si="78"/>
        <v>0</v>
      </c>
      <c r="L74" s="836">
        <f t="shared" si="78"/>
        <v>0</v>
      </c>
      <c r="M74" s="836">
        <f t="shared" si="78"/>
        <v>0</v>
      </c>
      <c r="N74" s="836">
        <f t="shared" si="78"/>
        <v>0</v>
      </c>
      <c r="O74" s="836">
        <f t="shared" si="78"/>
        <v>0</v>
      </c>
      <c r="P74" s="836">
        <f>SUM(P75)</f>
        <v>0</v>
      </c>
      <c r="Q74" s="194"/>
      <c r="R74" s="124"/>
    </row>
    <row r="75" spans="1:18" s="39" customFormat="1" ht="367.5" hidden="1" thickTop="1" thickBot="1" x14ac:dyDescent="0.25">
      <c r="A75" s="348" t="s">
        <v>461</v>
      </c>
      <c r="B75" s="348" t="s">
        <v>462</v>
      </c>
      <c r="C75" s="348" t="s">
        <v>203</v>
      </c>
      <c r="D75" s="348" t="s">
        <v>460</v>
      </c>
      <c r="E75" s="347">
        <f t="shared" si="58"/>
        <v>0</v>
      </c>
      <c r="F75" s="313">
        <f>(2688000)-2688000</f>
        <v>0</v>
      </c>
      <c r="G75" s="313"/>
      <c r="H75" s="313"/>
      <c r="I75" s="313"/>
      <c r="J75" s="836">
        <f>L75+O75</f>
        <v>0</v>
      </c>
      <c r="K75" s="809"/>
      <c r="L75" s="809"/>
      <c r="M75" s="809"/>
      <c r="N75" s="809"/>
      <c r="O75" s="838">
        <f>K75</f>
        <v>0</v>
      </c>
      <c r="P75" s="836">
        <f>E75+J75</f>
        <v>0</v>
      </c>
      <c r="Q75" s="194"/>
      <c r="R75" s="196"/>
    </row>
    <row r="76" spans="1:18" s="39" customFormat="1" ht="230.25" thickTop="1" thickBot="1" x14ac:dyDescent="0.25">
      <c r="A76" s="365" t="s">
        <v>1327</v>
      </c>
      <c r="B76" s="365" t="s">
        <v>1329</v>
      </c>
      <c r="C76" s="365"/>
      <c r="D76" s="365" t="s">
        <v>1331</v>
      </c>
      <c r="E76" s="367">
        <f t="shared" si="58"/>
        <v>553900</v>
      </c>
      <c r="F76" s="367">
        <f>SUM(F77:F78)</f>
        <v>553900</v>
      </c>
      <c r="G76" s="367">
        <f>SUM(G77:G78)</f>
        <v>0</v>
      </c>
      <c r="H76" s="367">
        <f>SUM(H77:H78)</f>
        <v>0</v>
      </c>
      <c r="I76" s="367">
        <f>SUM(I77:I78)</f>
        <v>0</v>
      </c>
      <c r="J76" s="367">
        <f>L76+O76</f>
        <v>3466100</v>
      </c>
      <c r="K76" s="367">
        <f>SUM(K77:K78)</f>
        <v>3466100</v>
      </c>
      <c r="L76" s="367">
        <f>SUM(L77:L78)</f>
        <v>0</v>
      </c>
      <c r="M76" s="367">
        <f>SUM(M77:M78)</f>
        <v>0</v>
      </c>
      <c r="N76" s="367">
        <f>SUM(N77:N78)</f>
        <v>0</v>
      </c>
      <c r="O76" s="367">
        <f>SUM(O77:O78)</f>
        <v>3466100</v>
      </c>
      <c r="P76" s="367">
        <f>E76+J76</f>
        <v>4020000</v>
      </c>
      <c r="Q76" s="194"/>
      <c r="R76" s="196"/>
    </row>
    <row r="77" spans="1:18" s="39" customFormat="1" ht="367.5" thickTop="1" thickBot="1" x14ac:dyDescent="0.25">
      <c r="A77" s="713" t="s">
        <v>1328</v>
      </c>
      <c r="B77" s="713" t="s">
        <v>1330</v>
      </c>
      <c r="C77" s="713" t="s">
        <v>228</v>
      </c>
      <c r="D77" s="713" t="s">
        <v>1332</v>
      </c>
      <c r="E77" s="714">
        <f t="shared" si="58"/>
        <v>0</v>
      </c>
      <c r="F77" s="313"/>
      <c r="G77" s="313"/>
      <c r="H77" s="313"/>
      <c r="I77" s="313"/>
      <c r="J77" s="822">
        <f t="shared" ref="J77:J78" si="79">L77+O77</f>
        <v>1500000</v>
      </c>
      <c r="K77" s="313">
        <f>100000+1400000</f>
        <v>1500000</v>
      </c>
      <c r="L77" s="313"/>
      <c r="M77" s="313"/>
      <c r="N77" s="313"/>
      <c r="O77" s="849">
        <f t="shared" ref="O77:O78" si="80">K77</f>
        <v>1500000</v>
      </c>
      <c r="P77" s="822">
        <f>E77+J77</f>
        <v>1500000</v>
      </c>
      <c r="Q77" s="194"/>
      <c r="R77" s="124" t="b">
        <f>K77='d6'!J88+'d6'!J89</f>
        <v>1</v>
      </c>
    </row>
    <row r="78" spans="1:18" s="39" customFormat="1" ht="321.75" thickTop="1" thickBot="1" x14ac:dyDescent="0.25">
      <c r="A78" s="817" t="s">
        <v>1403</v>
      </c>
      <c r="B78" s="817" t="s">
        <v>1404</v>
      </c>
      <c r="C78" s="817" t="s">
        <v>228</v>
      </c>
      <c r="D78" s="817" t="s">
        <v>1402</v>
      </c>
      <c r="E78" s="816">
        <f t="shared" si="58"/>
        <v>553900</v>
      </c>
      <c r="F78" s="313">
        <v>553900</v>
      </c>
      <c r="G78" s="313"/>
      <c r="H78" s="313"/>
      <c r="I78" s="313"/>
      <c r="J78" s="822">
        <f t="shared" si="79"/>
        <v>1966100</v>
      </c>
      <c r="K78" s="313">
        <v>1966100</v>
      </c>
      <c r="L78" s="313"/>
      <c r="M78" s="313"/>
      <c r="N78" s="313"/>
      <c r="O78" s="849">
        <f t="shared" si="80"/>
        <v>1966100</v>
      </c>
      <c r="P78" s="822">
        <f>E78+J78</f>
        <v>2520000</v>
      </c>
      <c r="Q78" s="194"/>
      <c r="R78" s="124" t="b">
        <f>K78='d6'!J90</f>
        <v>1</v>
      </c>
    </row>
    <row r="79" spans="1:18" s="39" customFormat="1" ht="47.25" thickTop="1" thickBot="1" x14ac:dyDescent="0.25">
      <c r="A79" s="455" t="s">
        <v>1465</v>
      </c>
      <c r="B79" s="455" t="s">
        <v>908</v>
      </c>
      <c r="C79" s="455"/>
      <c r="D79" s="455" t="s">
        <v>1464</v>
      </c>
      <c r="E79" s="894">
        <f>E80+E83</f>
        <v>84177</v>
      </c>
      <c r="F79" s="894">
        <f t="shared" ref="F79:P79" si="81">F80+F83</f>
        <v>84177</v>
      </c>
      <c r="G79" s="894">
        <f t="shared" si="81"/>
        <v>0</v>
      </c>
      <c r="H79" s="894">
        <f t="shared" si="81"/>
        <v>0</v>
      </c>
      <c r="I79" s="894">
        <f t="shared" si="81"/>
        <v>0</v>
      </c>
      <c r="J79" s="894">
        <f t="shared" si="81"/>
        <v>200000</v>
      </c>
      <c r="K79" s="894">
        <f t="shared" si="81"/>
        <v>200000</v>
      </c>
      <c r="L79" s="894">
        <f t="shared" si="81"/>
        <v>0</v>
      </c>
      <c r="M79" s="894">
        <f t="shared" si="81"/>
        <v>0</v>
      </c>
      <c r="N79" s="894">
        <f t="shared" si="81"/>
        <v>0</v>
      </c>
      <c r="O79" s="894">
        <f t="shared" si="81"/>
        <v>200000</v>
      </c>
      <c r="P79" s="894">
        <f t="shared" si="81"/>
        <v>284177</v>
      </c>
      <c r="Q79" s="194"/>
      <c r="R79" s="124"/>
    </row>
    <row r="80" spans="1:18" s="39" customFormat="1" ht="91.5" thickTop="1" thickBot="1" x14ac:dyDescent="0.25">
      <c r="A80" s="404" t="s">
        <v>1463</v>
      </c>
      <c r="B80" s="404" t="s">
        <v>964</v>
      </c>
      <c r="C80" s="404"/>
      <c r="D80" s="404" t="s">
        <v>965</v>
      </c>
      <c r="E80" s="366">
        <f>E81</f>
        <v>0</v>
      </c>
      <c r="F80" s="366">
        <f t="shared" ref="F80:P81" si="82">F81</f>
        <v>0</v>
      </c>
      <c r="G80" s="366">
        <f t="shared" si="82"/>
        <v>0</v>
      </c>
      <c r="H80" s="366">
        <f t="shared" si="82"/>
        <v>0</v>
      </c>
      <c r="I80" s="366">
        <f t="shared" si="82"/>
        <v>0</v>
      </c>
      <c r="J80" s="366">
        <f t="shared" si="82"/>
        <v>200000</v>
      </c>
      <c r="K80" s="366">
        <f t="shared" si="82"/>
        <v>200000</v>
      </c>
      <c r="L80" s="366">
        <f t="shared" si="82"/>
        <v>0</v>
      </c>
      <c r="M80" s="366">
        <f t="shared" si="82"/>
        <v>0</v>
      </c>
      <c r="N80" s="366">
        <f t="shared" si="82"/>
        <v>0</v>
      </c>
      <c r="O80" s="366">
        <f t="shared" si="82"/>
        <v>200000</v>
      </c>
      <c r="P80" s="366">
        <f t="shared" si="82"/>
        <v>200000</v>
      </c>
      <c r="Q80" s="194"/>
      <c r="R80" s="124"/>
    </row>
    <row r="81" spans="1:18" s="39" customFormat="1" ht="145.5" thickTop="1" thickBot="1" x14ac:dyDescent="0.25">
      <c r="A81" s="365" t="s">
        <v>1466</v>
      </c>
      <c r="B81" s="365" t="s">
        <v>983</v>
      </c>
      <c r="C81" s="365"/>
      <c r="D81" s="365" t="s">
        <v>1467</v>
      </c>
      <c r="E81" s="367">
        <f>E82</f>
        <v>0</v>
      </c>
      <c r="F81" s="367">
        <f t="shared" si="82"/>
        <v>0</v>
      </c>
      <c r="G81" s="367">
        <f t="shared" si="82"/>
        <v>0</v>
      </c>
      <c r="H81" s="367">
        <f t="shared" si="82"/>
        <v>0</v>
      </c>
      <c r="I81" s="367">
        <f t="shared" si="82"/>
        <v>0</v>
      </c>
      <c r="J81" s="367">
        <f t="shared" si="82"/>
        <v>200000</v>
      </c>
      <c r="K81" s="367">
        <f t="shared" si="82"/>
        <v>200000</v>
      </c>
      <c r="L81" s="367">
        <f t="shared" si="82"/>
        <v>0</v>
      </c>
      <c r="M81" s="367">
        <f t="shared" si="82"/>
        <v>0</v>
      </c>
      <c r="N81" s="367">
        <f t="shared" si="82"/>
        <v>0</v>
      </c>
      <c r="O81" s="367">
        <f t="shared" si="82"/>
        <v>200000</v>
      </c>
      <c r="P81" s="367">
        <f t="shared" si="82"/>
        <v>200000</v>
      </c>
      <c r="Q81" s="194"/>
      <c r="R81" s="124"/>
    </row>
    <row r="82" spans="1:18" s="39" customFormat="1" ht="99.75" thickTop="1" thickBot="1" x14ac:dyDescent="0.25">
      <c r="A82" s="893" t="s">
        <v>1485</v>
      </c>
      <c r="B82" s="365" t="s">
        <v>334</v>
      </c>
      <c r="C82" s="893" t="s">
        <v>323</v>
      </c>
      <c r="D82" s="921" t="s">
        <v>781</v>
      </c>
      <c r="E82" s="894">
        <f t="shared" ref="E82" si="83">F82</f>
        <v>0</v>
      </c>
      <c r="F82" s="313"/>
      <c r="G82" s="313"/>
      <c r="H82" s="313"/>
      <c r="I82" s="313"/>
      <c r="J82" s="894">
        <f t="shared" ref="J82" si="84">L82+O82</f>
        <v>200000</v>
      </c>
      <c r="K82" s="313">
        <v>200000</v>
      </c>
      <c r="L82" s="313"/>
      <c r="M82" s="313"/>
      <c r="N82" s="313"/>
      <c r="O82" s="896">
        <f t="shared" ref="O82" si="85">K82</f>
        <v>200000</v>
      </c>
      <c r="P82" s="894">
        <f>E82+J82</f>
        <v>200000</v>
      </c>
      <c r="Q82" s="124"/>
      <c r="R82" s="124" t="b">
        <f>K82='d6'!J91</f>
        <v>1</v>
      </c>
    </row>
    <row r="83" spans="1:18" s="39" customFormat="1" ht="136.5" thickTop="1" thickBot="1" x14ac:dyDescent="0.25">
      <c r="A83" s="404" t="s">
        <v>1470</v>
      </c>
      <c r="B83" s="404" t="s">
        <v>850</v>
      </c>
      <c r="C83" s="404"/>
      <c r="D83" s="404" t="s">
        <v>848</v>
      </c>
      <c r="E83" s="366">
        <f>E84</f>
        <v>84177</v>
      </c>
      <c r="F83" s="366">
        <f t="shared" ref="F83:P83" si="86">F84</f>
        <v>84177</v>
      </c>
      <c r="G83" s="366">
        <f t="shared" si="86"/>
        <v>0</v>
      </c>
      <c r="H83" s="366">
        <f t="shared" si="86"/>
        <v>0</v>
      </c>
      <c r="I83" s="366">
        <f t="shared" si="86"/>
        <v>0</v>
      </c>
      <c r="J83" s="366">
        <f t="shared" si="86"/>
        <v>0</v>
      </c>
      <c r="K83" s="366">
        <f t="shared" si="86"/>
        <v>0</v>
      </c>
      <c r="L83" s="366">
        <f t="shared" si="86"/>
        <v>0</v>
      </c>
      <c r="M83" s="366">
        <f t="shared" si="86"/>
        <v>0</v>
      </c>
      <c r="N83" s="366">
        <f t="shared" si="86"/>
        <v>0</v>
      </c>
      <c r="O83" s="366">
        <f t="shared" si="86"/>
        <v>0</v>
      </c>
      <c r="P83" s="366">
        <f t="shared" si="86"/>
        <v>84177</v>
      </c>
      <c r="Q83" s="124"/>
      <c r="R83" s="124"/>
    </row>
    <row r="84" spans="1:18" s="39" customFormat="1" ht="48" thickTop="1" thickBot="1" x14ac:dyDescent="0.25">
      <c r="A84" s="893" t="s">
        <v>1471</v>
      </c>
      <c r="B84" s="365" t="s">
        <v>230</v>
      </c>
      <c r="C84" s="893" t="s">
        <v>231</v>
      </c>
      <c r="D84" s="893" t="s">
        <v>43</v>
      </c>
      <c r="E84" s="894">
        <f t="shared" ref="E84" si="87">F84</f>
        <v>84177</v>
      </c>
      <c r="F84" s="313">
        <f>8177+76000</f>
        <v>84177</v>
      </c>
      <c r="G84" s="313"/>
      <c r="H84" s="313"/>
      <c r="I84" s="313"/>
      <c r="J84" s="894">
        <f t="shared" ref="J84" si="88">L84+O84</f>
        <v>0</v>
      </c>
      <c r="K84" s="313"/>
      <c r="L84" s="313"/>
      <c r="M84" s="313"/>
      <c r="N84" s="313"/>
      <c r="O84" s="896">
        <f t="shared" ref="O84" si="89">K84</f>
        <v>0</v>
      </c>
      <c r="P84" s="894">
        <f>E84+J84</f>
        <v>84177</v>
      </c>
      <c r="Q84" s="124"/>
      <c r="R84" s="124"/>
    </row>
    <row r="85" spans="1:18" s="39" customFormat="1" ht="47.25" thickTop="1" thickBot="1" x14ac:dyDescent="0.25">
      <c r="A85" s="455" t="s">
        <v>1373</v>
      </c>
      <c r="B85" s="455" t="s">
        <v>861</v>
      </c>
      <c r="C85" s="455"/>
      <c r="D85" s="455" t="s">
        <v>862</v>
      </c>
      <c r="E85" s="765">
        <f>E86</f>
        <v>0</v>
      </c>
      <c r="F85" s="765">
        <f t="shared" ref="F85:P86" si="90">F86</f>
        <v>0</v>
      </c>
      <c r="G85" s="765">
        <f t="shared" si="90"/>
        <v>0</v>
      </c>
      <c r="H85" s="765">
        <f t="shared" si="90"/>
        <v>0</v>
      </c>
      <c r="I85" s="765">
        <f t="shared" si="90"/>
        <v>0</v>
      </c>
      <c r="J85" s="822">
        <f t="shared" si="90"/>
        <v>4702988</v>
      </c>
      <c r="K85" s="822">
        <f t="shared" si="90"/>
        <v>4702988</v>
      </c>
      <c r="L85" s="822">
        <f t="shared" si="90"/>
        <v>0</v>
      </c>
      <c r="M85" s="822">
        <f t="shared" si="90"/>
        <v>0</v>
      </c>
      <c r="N85" s="822">
        <f t="shared" si="90"/>
        <v>0</v>
      </c>
      <c r="O85" s="822">
        <f t="shared" si="90"/>
        <v>4702988</v>
      </c>
      <c r="P85" s="822">
        <f t="shared" si="90"/>
        <v>4702988</v>
      </c>
      <c r="Q85" s="194"/>
      <c r="R85" s="124"/>
    </row>
    <row r="86" spans="1:18" s="39" customFormat="1" ht="271.5" thickTop="1" thickBot="1" x14ac:dyDescent="0.25">
      <c r="A86" s="404" t="s">
        <v>1374</v>
      </c>
      <c r="B86" s="404" t="s">
        <v>864</v>
      </c>
      <c r="C86" s="404"/>
      <c r="D86" s="404" t="s">
        <v>865</v>
      </c>
      <c r="E86" s="366">
        <f>E87</f>
        <v>0</v>
      </c>
      <c r="F86" s="366">
        <f t="shared" si="90"/>
        <v>0</v>
      </c>
      <c r="G86" s="366">
        <f t="shared" si="90"/>
        <v>0</v>
      </c>
      <c r="H86" s="366">
        <f t="shared" si="90"/>
        <v>0</v>
      </c>
      <c r="I86" s="366">
        <f t="shared" si="90"/>
        <v>0</v>
      </c>
      <c r="J86" s="366">
        <f t="shared" si="90"/>
        <v>4702988</v>
      </c>
      <c r="K86" s="366">
        <f t="shared" si="90"/>
        <v>4702988</v>
      </c>
      <c r="L86" s="366">
        <f t="shared" si="90"/>
        <v>0</v>
      </c>
      <c r="M86" s="366">
        <f t="shared" si="90"/>
        <v>0</v>
      </c>
      <c r="N86" s="366">
        <f t="shared" si="90"/>
        <v>0</v>
      </c>
      <c r="O86" s="366">
        <f t="shared" si="90"/>
        <v>4702988</v>
      </c>
      <c r="P86" s="366">
        <f t="shared" si="90"/>
        <v>4702988</v>
      </c>
      <c r="Q86" s="194"/>
      <c r="R86" s="124"/>
    </row>
    <row r="87" spans="1:18" s="39" customFormat="1" ht="93" thickTop="1" thickBot="1" x14ac:dyDescent="0.25">
      <c r="A87" s="767" t="s">
        <v>1375</v>
      </c>
      <c r="B87" s="767" t="s">
        <v>389</v>
      </c>
      <c r="C87" s="767" t="s">
        <v>45</v>
      </c>
      <c r="D87" s="767" t="s">
        <v>390</v>
      </c>
      <c r="E87" s="765">
        <f t="shared" ref="E87" si="91">F87</f>
        <v>0</v>
      </c>
      <c r="F87" s="313"/>
      <c r="G87" s="313"/>
      <c r="H87" s="313"/>
      <c r="I87" s="313"/>
      <c r="J87" s="822">
        <f>L87+O87</f>
        <v>4702988</v>
      </c>
      <c r="K87" s="313">
        <f>(4547046.18)+155941.82</f>
        <v>4702988</v>
      </c>
      <c r="L87" s="313"/>
      <c r="M87" s="313"/>
      <c r="N87" s="313"/>
      <c r="O87" s="849">
        <f>K87</f>
        <v>4702988</v>
      </c>
      <c r="P87" s="822">
        <f>E87+J87</f>
        <v>4702988</v>
      </c>
      <c r="Q87" s="194"/>
      <c r="R87" s="124" t="b">
        <f>K87='d6'!J92</f>
        <v>1</v>
      </c>
    </row>
    <row r="88" spans="1:18" ht="136.5" thickTop="1" thickBot="1" x14ac:dyDescent="0.25">
      <c r="A88" s="853" t="s">
        <v>168</v>
      </c>
      <c r="B88" s="853"/>
      <c r="C88" s="853"/>
      <c r="D88" s="854" t="s">
        <v>18</v>
      </c>
      <c r="E88" s="855">
        <f>E89</f>
        <v>83985402</v>
      </c>
      <c r="F88" s="856">
        <f t="shared" ref="F88:G88" si="92">F89</f>
        <v>83985402</v>
      </c>
      <c r="G88" s="856">
        <f t="shared" si="92"/>
        <v>4293600</v>
      </c>
      <c r="H88" s="856">
        <f>H89</f>
        <v>201540</v>
      </c>
      <c r="I88" s="856">
        <f t="shared" ref="I88" si="93">I89</f>
        <v>0</v>
      </c>
      <c r="J88" s="855">
        <f>J89</f>
        <v>25204420</v>
      </c>
      <c r="K88" s="856">
        <f>K89</f>
        <v>25182420</v>
      </c>
      <c r="L88" s="856">
        <f>L89</f>
        <v>22000</v>
      </c>
      <c r="M88" s="856">
        <f t="shared" ref="M88" si="94">M89</f>
        <v>0</v>
      </c>
      <c r="N88" s="856">
        <f>N89</f>
        <v>0</v>
      </c>
      <c r="O88" s="855">
        <f>O89</f>
        <v>25182420</v>
      </c>
      <c r="P88" s="856">
        <f>P89</f>
        <v>109189822</v>
      </c>
    </row>
    <row r="89" spans="1:18" ht="136.5" thickTop="1" thickBot="1" x14ac:dyDescent="0.25">
      <c r="A89" s="857" t="s">
        <v>169</v>
      </c>
      <c r="B89" s="857"/>
      <c r="C89" s="857"/>
      <c r="D89" s="858" t="s">
        <v>38</v>
      </c>
      <c r="E89" s="859">
        <f>E90+E92+E105</f>
        <v>83985402</v>
      </c>
      <c r="F89" s="859">
        <f t="shared" ref="F89:I89" si="95">F90+F92+F105</f>
        <v>83985402</v>
      </c>
      <c r="G89" s="859">
        <f t="shared" si="95"/>
        <v>4293600</v>
      </c>
      <c r="H89" s="859">
        <f t="shared" si="95"/>
        <v>201540</v>
      </c>
      <c r="I89" s="859">
        <f t="shared" si="95"/>
        <v>0</v>
      </c>
      <c r="J89" s="859">
        <f>L89+O89</f>
        <v>25204420</v>
      </c>
      <c r="K89" s="859">
        <f t="shared" ref="K89:O89" si="96">K90+K92+K105</f>
        <v>25182420</v>
      </c>
      <c r="L89" s="859">
        <f t="shared" si="96"/>
        <v>22000</v>
      </c>
      <c r="M89" s="859">
        <f t="shared" si="96"/>
        <v>0</v>
      </c>
      <c r="N89" s="859">
        <f t="shared" si="96"/>
        <v>0</v>
      </c>
      <c r="O89" s="859">
        <f t="shared" si="96"/>
        <v>25182420</v>
      </c>
      <c r="P89" s="859">
        <f t="shared" ref="P89:P111" si="97">E89+J89</f>
        <v>109189822</v>
      </c>
      <c r="Q89" s="124" t="b">
        <f>P89=P91+P93+P94+P95+P96+P97+P99+P101+P103+P104+P110+P108</f>
        <v>1</v>
      </c>
      <c r="R89" s="124" t="b">
        <f>K89='d6'!J94</f>
        <v>1</v>
      </c>
    </row>
    <row r="90" spans="1:18" s="382" customFormat="1" ht="47.25" thickTop="1" thickBot="1" x14ac:dyDescent="0.25">
      <c r="A90" s="455" t="s">
        <v>872</v>
      </c>
      <c r="B90" s="455" t="s">
        <v>843</v>
      </c>
      <c r="C90" s="455"/>
      <c r="D90" s="455" t="s">
        <v>844</v>
      </c>
      <c r="E90" s="389">
        <f>SUM(E91)</f>
        <v>2578825</v>
      </c>
      <c r="F90" s="389">
        <f t="shared" ref="F90:O90" si="98">SUM(F91)</f>
        <v>2578825</v>
      </c>
      <c r="G90" s="389">
        <f t="shared" si="98"/>
        <v>1928600</v>
      </c>
      <c r="H90" s="389">
        <f t="shared" si="98"/>
        <v>110635</v>
      </c>
      <c r="I90" s="389">
        <f t="shared" si="98"/>
        <v>0</v>
      </c>
      <c r="J90" s="822">
        <f t="shared" si="98"/>
        <v>100000</v>
      </c>
      <c r="K90" s="822">
        <f t="shared" si="98"/>
        <v>100000</v>
      </c>
      <c r="L90" s="822">
        <f t="shared" si="98"/>
        <v>0</v>
      </c>
      <c r="M90" s="822">
        <f t="shared" si="98"/>
        <v>0</v>
      </c>
      <c r="N90" s="822">
        <f t="shared" si="98"/>
        <v>0</v>
      </c>
      <c r="O90" s="822">
        <f t="shared" si="98"/>
        <v>100000</v>
      </c>
      <c r="P90" s="822">
        <f>SUM(P91)</f>
        <v>2678825</v>
      </c>
      <c r="Q90" s="124"/>
      <c r="R90" s="124"/>
    </row>
    <row r="91" spans="1:18" ht="230.25" thickTop="1" thickBot="1" x14ac:dyDescent="0.25">
      <c r="A91" s="893" t="s">
        <v>444</v>
      </c>
      <c r="B91" s="893" t="s">
        <v>254</v>
      </c>
      <c r="C91" s="893" t="s">
        <v>252</v>
      </c>
      <c r="D91" s="893" t="s">
        <v>253</v>
      </c>
      <c r="E91" s="894">
        <f>F91</f>
        <v>2578825</v>
      </c>
      <c r="F91" s="313">
        <f>107000+24000+((1821600+400750+56870+45495+11375+110635+1100))</f>
        <v>2578825</v>
      </c>
      <c r="G91" s="313">
        <f>107000+(1821600)</f>
        <v>1928600</v>
      </c>
      <c r="H91" s="313">
        <f>(1900+27000+81735)</f>
        <v>110635</v>
      </c>
      <c r="I91" s="313"/>
      <c r="J91" s="894">
        <f t="shared" ref="J91:J111" si="99">L91+O91</f>
        <v>100000</v>
      </c>
      <c r="K91" s="313">
        <v>100000</v>
      </c>
      <c r="L91" s="313"/>
      <c r="M91" s="313"/>
      <c r="N91" s="313"/>
      <c r="O91" s="896">
        <f>K91</f>
        <v>100000</v>
      </c>
      <c r="P91" s="894">
        <f t="shared" si="97"/>
        <v>2678825</v>
      </c>
      <c r="Q91" s="196"/>
      <c r="R91" s="124" t="b">
        <f>K91='d6'!J95</f>
        <v>1</v>
      </c>
    </row>
    <row r="92" spans="1:18" s="382" customFormat="1" ht="47.25" thickTop="1" thickBot="1" x14ac:dyDescent="0.25">
      <c r="A92" s="455" t="s">
        <v>873</v>
      </c>
      <c r="B92" s="455" t="s">
        <v>874</v>
      </c>
      <c r="C92" s="455"/>
      <c r="D92" s="455" t="s">
        <v>875</v>
      </c>
      <c r="E92" s="389">
        <f>SUM(E93:E104)-E98-E100-E102</f>
        <v>81406577</v>
      </c>
      <c r="F92" s="389">
        <f t="shared" ref="F92:P92" si="100">SUM(F93:F104)-F98-F100-F102</f>
        <v>81406577</v>
      </c>
      <c r="G92" s="389">
        <f t="shared" si="100"/>
        <v>2365000</v>
      </c>
      <c r="H92" s="389">
        <f t="shared" si="100"/>
        <v>90905</v>
      </c>
      <c r="I92" s="389">
        <f t="shared" si="100"/>
        <v>0</v>
      </c>
      <c r="J92" s="822">
        <f t="shared" si="100"/>
        <v>46000</v>
      </c>
      <c r="K92" s="822">
        <f t="shared" si="100"/>
        <v>24000</v>
      </c>
      <c r="L92" s="822">
        <f t="shared" si="100"/>
        <v>22000</v>
      </c>
      <c r="M92" s="822">
        <f t="shared" si="100"/>
        <v>0</v>
      </c>
      <c r="N92" s="822">
        <f t="shared" si="100"/>
        <v>0</v>
      </c>
      <c r="O92" s="822">
        <f t="shared" si="100"/>
        <v>24000</v>
      </c>
      <c r="P92" s="822">
        <f t="shared" si="100"/>
        <v>81452577</v>
      </c>
      <c r="Q92" s="196"/>
      <c r="R92" s="196"/>
    </row>
    <row r="93" spans="1:18" ht="93" thickTop="1" thickBot="1" x14ac:dyDescent="0.25">
      <c r="A93" s="332" t="s">
        <v>232</v>
      </c>
      <c r="B93" s="332" t="s">
        <v>229</v>
      </c>
      <c r="C93" s="332" t="s">
        <v>233</v>
      </c>
      <c r="D93" s="332" t="s">
        <v>19</v>
      </c>
      <c r="E93" s="331">
        <f>F93</f>
        <v>17173455</v>
      </c>
      <c r="F93" s="313">
        <f>1444000+480000+((14263455+200000+78000)+508000+200000)</f>
        <v>17173455</v>
      </c>
      <c r="G93" s="313"/>
      <c r="H93" s="313"/>
      <c r="I93" s="313"/>
      <c r="J93" s="822">
        <f t="shared" si="99"/>
        <v>0</v>
      </c>
      <c r="K93" s="313"/>
      <c r="L93" s="313"/>
      <c r="M93" s="313"/>
      <c r="N93" s="313"/>
      <c r="O93" s="849">
        <f>K93</f>
        <v>0</v>
      </c>
      <c r="P93" s="822">
        <f t="shared" si="97"/>
        <v>17173455</v>
      </c>
      <c r="R93" s="191"/>
    </row>
    <row r="94" spans="1:18" ht="93" thickTop="1" thickBot="1" x14ac:dyDescent="0.25">
      <c r="A94" s="332" t="s">
        <v>552</v>
      </c>
      <c r="B94" s="332" t="s">
        <v>555</v>
      </c>
      <c r="C94" s="332" t="s">
        <v>554</v>
      </c>
      <c r="D94" s="332" t="s">
        <v>553</v>
      </c>
      <c r="E94" s="331">
        <f>F94</f>
        <v>7867407</v>
      </c>
      <c r="F94" s="313">
        <f>1100000-80000-900000+(((6277220+100000+165100)+122207+973902)+58283+50695)</f>
        <v>7867407</v>
      </c>
      <c r="G94" s="313"/>
      <c r="H94" s="313"/>
      <c r="I94" s="313"/>
      <c r="J94" s="822">
        <f t="shared" si="99"/>
        <v>0</v>
      </c>
      <c r="K94" s="313"/>
      <c r="L94" s="313"/>
      <c r="M94" s="313"/>
      <c r="N94" s="313"/>
      <c r="O94" s="849"/>
      <c r="P94" s="822">
        <f t="shared" si="97"/>
        <v>7867407</v>
      </c>
      <c r="R94" s="196"/>
    </row>
    <row r="95" spans="1:18" ht="138.75" thickTop="1" thickBot="1" x14ac:dyDescent="0.25">
      <c r="A95" s="332" t="s">
        <v>234</v>
      </c>
      <c r="B95" s="332" t="s">
        <v>235</v>
      </c>
      <c r="C95" s="332" t="s">
        <v>236</v>
      </c>
      <c r="D95" s="332" t="s">
        <v>237</v>
      </c>
      <c r="E95" s="331">
        <f t="shared" ref="E95:E111" si="101">F95</f>
        <v>6699850</v>
      </c>
      <c r="F95" s="313">
        <f>1280000+350000-221350+((4320000+100000+31200)+840000)</f>
        <v>6699850</v>
      </c>
      <c r="G95" s="313"/>
      <c r="H95" s="313"/>
      <c r="I95" s="313"/>
      <c r="J95" s="822">
        <f t="shared" si="99"/>
        <v>0</v>
      </c>
      <c r="K95" s="313"/>
      <c r="L95" s="313"/>
      <c r="M95" s="313"/>
      <c r="N95" s="313"/>
      <c r="O95" s="849">
        <f>K95</f>
        <v>0</v>
      </c>
      <c r="P95" s="822">
        <f t="shared" si="97"/>
        <v>6699850</v>
      </c>
      <c r="R95" s="196"/>
    </row>
    <row r="96" spans="1:18" ht="138.75" thickTop="1" thickBot="1" x14ac:dyDescent="0.25">
      <c r="A96" s="332" t="s">
        <v>238</v>
      </c>
      <c r="B96" s="332" t="s">
        <v>239</v>
      </c>
      <c r="C96" s="332" t="s">
        <v>240</v>
      </c>
      <c r="D96" s="332" t="s">
        <v>371</v>
      </c>
      <c r="E96" s="331">
        <f t="shared" si="101"/>
        <v>10948590</v>
      </c>
      <c r="F96" s="313">
        <f>-75000+1107500-80000-300000-700000+(((7180650+300000+100000+9100)+748920+336950+50000+265000+705470)+1200000+600000-500000)</f>
        <v>10948590</v>
      </c>
      <c r="G96" s="313"/>
      <c r="H96" s="313"/>
      <c r="I96" s="313"/>
      <c r="J96" s="822">
        <f t="shared" si="99"/>
        <v>0</v>
      </c>
      <c r="K96" s="313"/>
      <c r="L96" s="313"/>
      <c r="M96" s="313"/>
      <c r="N96" s="313"/>
      <c r="O96" s="849">
        <f>K96</f>
        <v>0</v>
      </c>
      <c r="P96" s="822">
        <f t="shared" si="97"/>
        <v>10948590</v>
      </c>
      <c r="R96" s="196"/>
    </row>
    <row r="97" spans="1:18" ht="93" thickTop="1" thickBot="1" x14ac:dyDescent="0.25">
      <c r="A97" s="332" t="s">
        <v>241</v>
      </c>
      <c r="B97" s="332" t="s">
        <v>242</v>
      </c>
      <c r="C97" s="332" t="s">
        <v>243</v>
      </c>
      <c r="D97" s="332" t="s">
        <v>244</v>
      </c>
      <c r="E97" s="331">
        <f t="shared" si="101"/>
        <v>7063935</v>
      </c>
      <c r="F97" s="313">
        <f>(6881935)+182000</f>
        <v>7063935</v>
      </c>
      <c r="G97" s="313"/>
      <c r="H97" s="313"/>
      <c r="I97" s="313"/>
      <c r="J97" s="822">
        <f t="shared" si="99"/>
        <v>0</v>
      </c>
      <c r="K97" s="313"/>
      <c r="L97" s="313"/>
      <c r="M97" s="313"/>
      <c r="N97" s="313"/>
      <c r="O97" s="849">
        <f>K97</f>
        <v>0</v>
      </c>
      <c r="P97" s="822">
        <f t="shared" si="97"/>
        <v>7063935</v>
      </c>
      <c r="R97" s="196"/>
    </row>
    <row r="98" spans="1:18" s="382" customFormat="1" ht="93" thickTop="1" thickBot="1" x14ac:dyDescent="0.25">
      <c r="A98" s="365" t="s">
        <v>876</v>
      </c>
      <c r="B98" s="365" t="s">
        <v>877</v>
      </c>
      <c r="C98" s="365"/>
      <c r="D98" s="365" t="s">
        <v>878</v>
      </c>
      <c r="E98" s="367">
        <f>E99</f>
        <v>10853915</v>
      </c>
      <c r="F98" s="367">
        <f t="shared" ref="F98:P98" si="102">F99</f>
        <v>10853915</v>
      </c>
      <c r="G98" s="367">
        <f t="shared" si="102"/>
        <v>0</v>
      </c>
      <c r="H98" s="367">
        <f t="shared" si="102"/>
        <v>0</v>
      </c>
      <c r="I98" s="367">
        <f t="shared" si="102"/>
        <v>0</v>
      </c>
      <c r="J98" s="367">
        <f t="shared" si="102"/>
        <v>0</v>
      </c>
      <c r="K98" s="367">
        <f t="shared" si="102"/>
        <v>0</v>
      </c>
      <c r="L98" s="367">
        <f t="shared" si="102"/>
        <v>0</v>
      </c>
      <c r="M98" s="367">
        <f t="shared" si="102"/>
        <v>0</v>
      </c>
      <c r="N98" s="367">
        <f t="shared" si="102"/>
        <v>0</v>
      </c>
      <c r="O98" s="367">
        <f t="shared" si="102"/>
        <v>0</v>
      </c>
      <c r="P98" s="367">
        <f t="shared" si="102"/>
        <v>10853915</v>
      </c>
      <c r="Q98" s="387"/>
      <c r="R98" s="196"/>
    </row>
    <row r="99" spans="1:18" ht="184.5" thickTop="1" thickBot="1" x14ac:dyDescent="0.25">
      <c r="A99" s="332" t="s">
        <v>245</v>
      </c>
      <c r="B99" s="332" t="s">
        <v>246</v>
      </c>
      <c r="C99" s="332" t="s">
        <v>372</v>
      </c>
      <c r="D99" s="332" t="s">
        <v>247</v>
      </c>
      <c r="E99" s="331">
        <f t="shared" si="101"/>
        <v>10853915</v>
      </c>
      <c r="F99" s="313">
        <f>620000-100000+86400+((10788065+359450)-300000-100000-500000)</f>
        <v>10853915</v>
      </c>
      <c r="G99" s="313"/>
      <c r="H99" s="313"/>
      <c r="I99" s="313"/>
      <c r="J99" s="822">
        <f t="shared" si="99"/>
        <v>0</v>
      </c>
      <c r="K99" s="313"/>
      <c r="L99" s="313"/>
      <c r="M99" s="313"/>
      <c r="N99" s="313"/>
      <c r="O99" s="849">
        <f t="shared" ref="O99:O111" si="103">K99</f>
        <v>0</v>
      </c>
      <c r="P99" s="822">
        <f t="shared" si="97"/>
        <v>10853915</v>
      </c>
      <c r="R99" s="196"/>
    </row>
    <row r="100" spans="1:18" s="382" customFormat="1" ht="138.75" thickTop="1" thickBot="1" x14ac:dyDescent="0.25">
      <c r="A100" s="365" t="s">
        <v>879</v>
      </c>
      <c r="B100" s="365" t="s">
        <v>880</v>
      </c>
      <c r="C100" s="365"/>
      <c r="D100" s="365" t="s">
        <v>881</v>
      </c>
      <c r="E100" s="367">
        <f>E101</f>
        <v>14254000</v>
      </c>
      <c r="F100" s="367">
        <f t="shared" ref="F100:P100" si="104">F101</f>
        <v>14254000</v>
      </c>
      <c r="G100" s="367">
        <f t="shared" si="104"/>
        <v>0</v>
      </c>
      <c r="H100" s="367">
        <f t="shared" si="104"/>
        <v>0</v>
      </c>
      <c r="I100" s="367">
        <f t="shared" si="104"/>
        <v>0</v>
      </c>
      <c r="J100" s="367">
        <f t="shared" si="104"/>
        <v>0</v>
      </c>
      <c r="K100" s="367">
        <f t="shared" si="104"/>
        <v>0</v>
      </c>
      <c r="L100" s="367">
        <f t="shared" si="104"/>
        <v>0</v>
      </c>
      <c r="M100" s="367">
        <f t="shared" si="104"/>
        <v>0</v>
      </c>
      <c r="N100" s="367">
        <f t="shared" si="104"/>
        <v>0</v>
      </c>
      <c r="O100" s="367">
        <f t="shared" si="104"/>
        <v>0</v>
      </c>
      <c r="P100" s="367">
        <f t="shared" si="104"/>
        <v>14254000</v>
      </c>
      <c r="Q100" s="387"/>
      <c r="R100" s="196"/>
    </row>
    <row r="101" spans="1:18" ht="138.75" thickTop="1" thickBot="1" x14ac:dyDescent="0.25">
      <c r="A101" s="332" t="s">
        <v>519</v>
      </c>
      <c r="B101" s="332" t="s">
        <v>520</v>
      </c>
      <c r="C101" s="332" t="s">
        <v>248</v>
      </c>
      <c r="D101" s="332" t="s">
        <v>521</v>
      </c>
      <c r="E101" s="331">
        <f t="shared" si="101"/>
        <v>14254000</v>
      </c>
      <c r="F101" s="313">
        <f>((9137200)+334400)+4782400</f>
        <v>14254000</v>
      </c>
      <c r="G101" s="313"/>
      <c r="H101" s="313"/>
      <c r="I101" s="313"/>
      <c r="J101" s="822">
        <f t="shared" si="99"/>
        <v>0</v>
      </c>
      <c r="K101" s="313"/>
      <c r="L101" s="313"/>
      <c r="M101" s="313"/>
      <c r="N101" s="313"/>
      <c r="O101" s="849">
        <f t="shared" si="103"/>
        <v>0</v>
      </c>
      <c r="P101" s="822">
        <f t="shared" si="97"/>
        <v>14254000</v>
      </c>
      <c r="R101" s="196"/>
    </row>
    <row r="102" spans="1:18" s="382" customFormat="1" ht="138.75" thickTop="1" thickBot="1" x14ac:dyDescent="0.25">
      <c r="A102" s="365" t="s">
        <v>882</v>
      </c>
      <c r="B102" s="365" t="s">
        <v>883</v>
      </c>
      <c r="C102" s="365"/>
      <c r="D102" s="365" t="s">
        <v>884</v>
      </c>
      <c r="E102" s="367">
        <f>SUM(E103:E104)</f>
        <v>6545425</v>
      </c>
      <c r="F102" s="367">
        <f t="shared" ref="F102:P102" si="105">SUM(F103:F104)</f>
        <v>6545425</v>
      </c>
      <c r="G102" s="367">
        <f t="shared" si="105"/>
        <v>2365000</v>
      </c>
      <c r="H102" s="367">
        <f t="shared" si="105"/>
        <v>90905</v>
      </c>
      <c r="I102" s="367">
        <f t="shared" si="105"/>
        <v>0</v>
      </c>
      <c r="J102" s="367">
        <f t="shared" si="105"/>
        <v>46000</v>
      </c>
      <c r="K102" s="367">
        <f t="shared" si="105"/>
        <v>24000</v>
      </c>
      <c r="L102" s="367">
        <f t="shared" si="105"/>
        <v>22000</v>
      </c>
      <c r="M102" s="367">
        <f t="shared" si="105"/>
        <v>0</v>
      </c>
      <c r="N102" s="367">
        <f t="shared" si="105"/>
        <v>0</v>
      </c>
      <c r="O102" s="367">
        <f t="shared" si="105"/>
        <v>24000</v>
      </c>
      <c r="P102" s="367">
        <f t="shared" si="105"/>
        <v>6591425</v>
      </c>
      <c r="Q102" s="387"/>
      <c r="R102" s="196"/>
    </row>
    <row r="103" spans="1:18" s="39" customFormat="1" ht="138.75" thickTop="1" thickBot="1" x14ac:dyDescent="0.25">
      <c r="A103" s="332" t="s">
        <v>346</v>
      </c>
      <c r="B103" s="332" t="s">
        <v>348</v>
      </c>
      <c r="C103" s="332" t="s">
        <v>248</v>
      </c>
      <c r="D103" s="337" t="s">
        <v>344</v>
      </c>
      <c r="E103" s="331">
        <f t="shared" si="101"/>
        <v>3229425</v>
      </c>
      <c r="F103" s="313">
        <f>(2365000+520300+93000+157000+3220+90905)</f>
        <v>3229425</v>
      </c>
      <c r="G103" s="313">
        <f>(2365000)</f>
        <v>2365000</v>
      </c>
      <c r="H103" s="313">
        <f>(1900+22650+55260+11095)</f>
        <v>90905</v>
      </c>
      <c r="I103" s="313"/>
      <c r="J103" s="822">
        <f t="shared" si="99"/>
        <v>46000</v>
      </c>
      <c r="K103" s="313">
        <v>24000</v>
      </c>
      <c r="L103" s="313">
        <v>22000</v>
      </c>
      <c r="M103" s="313"/>
      <c r="N103" s="313"/>
      <c r="O103" s="849">
        <f t="shared" si="103"/>
        <v>24000</v>
      </c>
      <c r="P103" s="822">
        <f t="shared" si="97"/>
        <v>3275425</v>
      </c>
      <c r="Q103" s="194"/>
      <c r="R103" s="124" t="b">
        <f>K103='d6'!J96</f>
        <v>1</v>
      </c>
    </row>
    <row r="104" spans="1:18" s="39" customFormat="1" ht="93" thickTop="1" thickBot="1" x14ac:dyDescent="0.25">
      <c r="A104" s="332" t="s">
        <v>347</v>
      </c>
      <c r="B104" s="332" t="s">
        <v>349</v>
      </c>
      <c r="C104" s="332" t="s">
        <v>248</v>
      </c>
      <c r="D104" s="337" t="s">
        <v>345</v>
      </c>
      <c r="E104" s="331">
        <f t="shared" si="101"/>
        <v>3316000</v>
      </c>
      <c r="F104" s="313">
        <f>-100000+((3016000)+400000)</f>
        <v>3316000</v>
      </c>
      <c r="G104" s="313"/>
      <c r="H104" s="313"/>
      <c r="I104" s="313"/>
      <c r="J104" s="822">
        <f t="shared" si="99"/>
        <v>0</v>
      </c>
      <c r="K104" s="313"/>
      <c r="L104" s="313"/>
      <c r="M104" s="313"/>
      <c r="N104" s="313"/>
      <c r="O104" s="849">
        <f t="shared" si="103"/>
        <v>0</v>
      </c>
      <c r="P104" s="822">
        <f t="shared" si="97"/>
        <v>3316000</v>
      </c>
      <c r="Q104" s="194"/>
      <c r="R104" s="196"/>
    </row>
    <row r="105" spans="1:18" s="39" customFormat="1" ht="47.25" thickTop="1" thickBot="1" x14ac:dyDescent="0.25">
      <c r="A105" s="455" t="s">
        <v>910</v>
      </c>
      <c r="B105" s="454" t="s">
        <v>908</v>
      </c>
      <c r="C105" s="454"/>
      <c r="D105" s="454" t="s">
        <v>909</v>
      </c>
      <c r="E105" s="389">
        <f>SUM(E109)+E106</f>
        <v>0</v>
      </c>
      <c r="F105" s="822">
        <f t="shared" ref="F105:P105" si="106">SUM(F109)+F106</f>
        <v>0</v>
      </c>
      <c r="G105" s="822">
        <f t="shared" si="106"/>
        <v>0</v>
      </c>
      <c r="H105" s="822">
        <f t="shared" si="106"/>
        <v>0</v>
      </c>
      <c r="I105" s="822">
        <f t="shared" si="106"/>
        <v>0</v>
      </c>
      <c r="J105" s="822">
        <f t="shared" si="106"/>
        <v>25058420</v>
      </c>
      <c r="K105" s="822">
        <f t="shared" si="106"/>
        <v>25058420</v>
      </c>
      <c r="L105" s="822">
        <f t="shared" si="106"/>
        <v>0</v>
      </c>
      <c r="M105" s="822">
        <f t="shared" si="106"/>
        <v>0</v>
      </c>
      <c r="N105" s="822">
        <f t="shared" si="106"/>
        <v>0</v>
      </c>
      <c r="O105" s="822">
        <f t="shared" si="106"/>
        <v>25058420</v>
      </c>
      <c r="P105" s="822">
        <f t="shared" si="106"/>
        <v>25058420</v>
      </c>
      <c r="Q105" s="194"/>
      <c r="R105" s="196"/>
    </row>
    <row r="106" spans="1:18" s="39" customFormat="1" ht="91.5" thickTop="1" thickBot="1" x14ac:dyDescent="0.25">
      <c r="A106" s="404" t="s">
        <v>1407</v>
      </c>
      <c r="B106" s="404" t="s">
        <v>964</v>
      </c>
      <c r="C106" s="404"/>
      <c r="D106" s="404" t="s">
        <v>965</v>
      </c>
      <c r="E106" s="366">
        <f>E107</f>
        <v>0</v>
      </c>
      <c r="F106" s="366">
        <f t="shared" ref="F106:P107" si="107">F107</f>
        <v>0</v>
      </c>
      <c r="G106" s="366">
        <f t="shared" si="107"/>
        <v>0</v>
      </c>
      <c r="H106" s="366">
        <f t="shared" si="107"/>
        <v>0</v>
      </c>
      <c r="I106" s="366">
        <f t="shared" si="107"/>
        <v>0</v>
      </c>
      <c r="J106" s="366">
        <f t="shared" si="107"/>
        <v>2990000</v>
      </c>
      <c r="K106" s="366">
        <f t="shared" si="107"/>
        <v>2990000</v>
      </c>
      <c r="L106" s="366">
        <f t="shared" si="107"/>
        <v>0</v>
      </c>
      <c r="M106" s="366">
        <f t="shared" si="107"/>
        <v>0</v>
      </c>
      <c r="N106" s="366">
        <f t="shared" si="107"/>
        <v>0</v>
      </c>
      <c r="O106" s="366">
        <f t="shared" si="107"/>
        <v>2990000</v>
      </c>
      <c r="P106" s="366">
        <f t="shared" si="107"/>
        <v>2990000</v>
      </c>
      <c r="Q106" s="194"/>
      <c r="R106" s="196"/>
    </row>
    <row r="107" spans="1:18" s="39" customFormat="1" ht="93" thickTop="1" thickBot="1" x14ac:dyDescent="0.25">
      <c r="A107" s="365" t="s">
        <v>1408</v>
      </c>
      <c r="B107" s="365" t="s">
        <v>1406</v>
      </c>
      <c r="C107" s="365"/>
      <c r="D107" s="365" t="s">
        <v>1405</v>
      </c>
      <c r="E107" s="367">
        <f>E108</f>
        <v>0</v>
      </c>
      <c r="F107" s="367">
        <f t="shared" si="107"/>
        <v>0</v>
      </c>
      <c r="G107" s="367">
        <f t="shared" si="107"/>
        <v>0</v>
      </c>
      <c r="H107" s="367">
        <f t="shared" si="107"/>
        <v>0</v>
      </c>
      <c r="I107" s="367">
        <f t="shared" si="107"/>
        <v>0</v>
      </c>
      <c r="J107" s="367">
        <f t="shared" si="107"/>
        <v>2990000</v>
      </c>
      <c r="K107" s="367">
        <f t="shared" si="107"/>
        <v>2990000</v>
      </c>
      <c r="L107" s="367">
        <f t="shared" si="107"/>
        <v>0</v>
      </c>
      <c r="M107" s="367">
        <f t="shared" si="107"/>
        <v>0</v>
      </c>
      <c r="N107" s="367">
        <f t="shared" si="107"/>
        <v>0</v>
      </c>
      <c r="O107" s="367">
        <f t="shared" si="107"/>
        <v>2990000</v>
      </c>
      <c r="P107" s="367">
        <f t="shared" si="107"/>
        <v>2990000</v>
      </c>
      <c r="Q107" s="194"/>
      <c r="R107" s="196"/>
    </row>
    <row r="108" spans="1:18" s="39" customFormat="1" ht="230.25" thickTop="1" thickBot="1" x14ac:dyDescent="0.25">
      <c r="A108" s="821" t="s">
        <v>1409</v>
      </c>
      <c r="B108" s="821" t="s">
        <v>1410</v>
      </c>
      <c r="C108" s="821" t="s">
        <v>184</v>
      </c>
      <c r="D108" s="821" t="s">
        <v>1411</v>
      </c>
      <c r="E108" s="822">
        <f t="shared" si="101"/>
        <v>0</v>
      </c>
      <c r="F108" s="313"/>
      <c r="G108" s="313"/>
      <c r="H108" s="313"/>
      <c r="I108" s="313"/>
      <c r="J108" s="822">
        <f t="shared" si="99"/>
        <v>2990000</v>
      </c>
      <c r="K108" s="313">
        <v>2990000</v>
      </c>
      <c r="L108" s="313"/>
      <c r="M108" s="313"/>
      <c r="N108" s="313"/>
      <c r="O108" s="849">
        <f>K108</f>
        <v>2990000</v>
      </c>
      <c r="P108" s="822">
        <f t="shared" si="97"/>
        <v>2990000</v>
      </c>
      <c r="Q108" s="194"/>
      <c r="R108" s="124" t="b">
        <f>K108='d6'!J97+'d6'!J98+'d6'!J99</f>
        <v>1</v>
      </c>
    </row>
    <row r="109" spans="1:18" s="402" customFormat="1" ht="136.5" thickTop="1" thickBot="1" x14ac:dyDescent="0.25">
      <c r="A109" s="404" t="s">
        <v>885</v>
      </c>
      <c r="B109" s="404" t="s">
        <v>850</v>
      </c>
      <c r="C109" s="404"/>
      <c r="D109" s="404" t="s">
        <v>848</v>
      </c>
      <c r="E109" s="366">
        <f>SUM(E110)</f>
        <v>0</v>
      </c>
      <c r="F109" s="366">
        <f t="shared" ref="F109:P109" si="108">SUM(F110)</f>
        <v>0</v>
      </c>
      <c r="G109" s="366">
        <f t="shared" si="108"/>
        <v>0</v>
      </c>
      <c r="H109" s="366">
        <f t="shared" si="108"/>
        <v>0</v>
      </c>
      <c r="I109" s="366">
        <f t="shared" si="108"/>
        <v>0</v>
      </c>
      <c r="J109" s="366">
        <f t="shared" si="108"/>
        <v>22068420</v>
      </c>
      <c r="K109" s="366">
        <f t="shared" si="108"/>
        <v>22068420</v>
      </c>
      <c r="L109" s="366">
        <f t="shared" si="108"/>
        <v>0</v>
      </c>
      <c r="M109" s="366">
        <f t="shared" si="108"/>
        <v>0</v>
      </c>
      <c r="N109" s="366">
        <f t="shared" si="108"/>
        <v>0</v>
      </c>
      <c r="O109" s="366">
        <f t="shared" si="108"/>
        <v>22068420</v>
      </c>
      <c r="P109" s="366">
        <f t="shared" si="108"/>
        <v>22068420</v>
      </c>
      <c r="Q109" s="407"/>
      <c r="R109" s="410"/>
    </row>
    <row r="110" spans="1:18" s="39" customFormat="1" ht="93" thickTop="1" thickBot="1" x14ac:dyDescent="0.25">
      <c r="A110" s="332" t="s">
        <v>466</v>
      </c>
      <c r="B110" s="332" t="s">
        <v>215</v>
      </c>
      <c r="C110" s="332" t="s">
        <v>184</v>
      </c>
      <c r="D110" s="332" t="s">
        <v>36</v>
      </c>
      <c r="E110" s="331">
        <f t="shared" si="101"/>
        <v>0</v>
      </c>
      <c r="F110" s="313"/>
      <c r="G110" s="313"/>
      <c r="H110" s="313"/>
      <c r="I110" s="313"/>
      <c r="J110" s="822">
        <f t="shared" si="99"/>
        <v>22068420</v>
      </c>
      <c r="K110" s="313">
        <f>1000000-500000+281308.41-281308.41-20898-39200+(((5413599+372664+500000+500000+201012+437500)+800000+355048+952000-100000+6800000)+5396695)</f>
        <v>22068420</v>
      </c>
      <c r="L110" s="313"/>
      <c r="M110" s="313"/>
      <c r="N110" s="313"/>
      <c r="O110" s="849">
        <f t="shared" si="103"/>
        <v>22068420</v>
      </c>
      <c r="P110" s="822">
        <f t="shared" si="97"/>
        <v>22068420</v>
      </c>
      <c r="Q110" s="194"/>
      <c r="R110" s="124" t="b">
        <f>K110='d6'!J100+'d6'!J101+'d6'!J102+'d6'!J103+'d6'!J104+'d6'!J105+'d6'!J106+'d6'!J107+'d6'!J108+'d6'!J109+'d6'!J110+'d6'!J111+'d6'!J112+'d6'!J113+'d6'!J114+'d6'!J115</f>
        <v>1</v>
      </c>
    </row>
    <row r="111" spans="1:18" s="39" customFormat="1" ht="93" hidden="1" thickTop="1" thickBot="1" x14ac:dyDescent="0.25">
      <c r="A111" s="156" t="s">
        <v>556</v>
      </c>
      <c r="B111" s="156" t="s">
        <v>389</v>
      </c>
      <c r="C111" s="156" t="s">
        <v>45</v>
      </c>
      <c r="D111" s="156" t="s">
        <v>390</v>
      </c>
      <c r="E111" s="155">
        <f t="shared" si="101"/>
        <v>0</v>
      </c>
      <c r="F111" s="157"/>
      <c r="G111" s="157"/>
      <c r="H111" s="157"/>
      <c r="I111" s="157"/>
      <c r="J111" s="840">
        <f t="shared" si="99"/>
        <v>0</v>
      </c>
      <c r="K111" s="841"/>
      <c r="L111" s="841"/>
      <c r="M111" s="841"/>
      <c r="N111" s="841"/>
      <c r="O111" s="842">
        <f t="shared" si="103"/>
        <v>0</v>
      </c>
      <c r="P111" s="840">
        <f t="shared" si="97"/>
        <v>0</v>
      </c>
      <c r="Q111" s="194"/>
      <c r="R111" s="191"/>
    </row>
    <row r="112" spans="1:18" ht="226.5" thickTop="1" thickBot="1" x14ac:dyDescent="0.25">
      <c r="A112" s="853" t="s">
        <v>170</v>
      </c>
      <c r="B112" s="853"/>
      <c r="C112" s="853"/>
      <c r="D112" s="854" t="s">
        <v>39</v>
      </c>
      <c r="E112" s="855">
        <f>E113</f>
        <v>207811099</v>
      </c>
      <c r="F112" s="856">
        <f t="shared" ref="F112:G112" si="109">F113</f>
        <v>207811099</v>
      </c>
      <c r="G112" s="856">
        <f t="shared" si="109"/>
        <v>68144820</v>
      </c>
      <c r="H112" s="856">
        <f>H113</f>
        <v>2261622</v>
      </c>
      <c r="I112" s="856">
        <f t="shared" ref="I112" si="110">I113</f>
        <v>0</v>
      </c>
      <c r="J112" s="855">
        <f>J113</f>
        <v>29557636.309999999</v>
      </c>
      <c r="K112" s="856">
        <f>K113</f>
        <v>28940636.309999999</v>
      </c>
      <c r="L112" s="856">
        <f>L113</f>
        <v>617000</v>
      </c>
      <c r="M112" s="856">
        <f t="shared" ref="M112" si="111">M113</f>
        <v>104000</v>
      </c>
      <c r="N112" s="856">
        <f>N113</f>
        <v>137000</v>
      </c>
      <c r="O112" s="855">
        <f>O113</f>
        <v>28940636.309999999</v>
      </c>
      <c r="P112" s="856">
        <f>P113</f>
        <v>237368735.31</v>
      </c>
    </row>
    <row r="113" spans="1:20" ht="226.5" thickTop="1" thickBot="1" x14ac:dyDescent="0.25">
      <c r="A113" s="857" t="s">
        <v>171</v>
      </c>
      <c r="B113" s="857"/>
      <c r="C113" s="857"/>
      <c r="D113" s="858" t="s">
        <v>40</v>
      </c>
      <c r="E113" s="859">
        <f>E114+E118+E157+E161</f>
        <v>207811099</v>
      </c>
      <c r="F113" s="859">
        <f>F114+F118+F157+F161</f>
        <v>207811099</v>
      </c>
      <c r="G113" s="859">
        <f>G114+G118+G157+G161</f>
        <v>68144820</v>
      </c>
      <c r="H113" s="859">
        <f>H114+H118+H157+H161</f>
        <v>2261622</v>
      </c>
      <c r="I113" s="859">
        <f>I114+I118+I157+I161</f>
        <v>0</v>
      </c>
      <c r="J113" s="859">
        <f t="shared" ref="J113:J139" si="112">L113+O113</f>
        <v>29557636.309999999</v>
      </c>
      <c r="K113" s="859">
        <f>K114+K118+K157+K161</f>
        <v>28940636.309999999</v>
      </c>
      <c r="L113" s="859">
        <f>L114+L118+L157+L161</f>
        <v>617000</v>
      </c>
      <c r="M113" s="859">
        <f>M114+M118+M157+M161</f>
        <v>104000</v>
      </c>
      <c r="N113" s="859">
        <f>N114+N118+N157+N161</f>
        <v>137000</v>
      </c>
      <c r="O113" s="859">
        <f>O114+O118+O157+O161</f>
        <v>28940636.309999999</v>
      </c>
      <c r="P113" s="859">
        <f>E113+J113</f>
        <v>237368735.31</v>
      </c>
      <c r="Q113" s="125" t="b">
        <f>P113=P115+P116+P120+P121+P122+P123+P124+P129+P130+P133+P136+P138+P139+P155+P156+P159+P167+P125+P127+P135+P117+P126+P164+P132+P141+P144+P148+P151+P160</f>
        <v>1</v>
      </c>
      <c r="R113" s="238" t="b">
        <f>K113='d6'!J116</f>
        <v>1</v>
      </c>
      <c r="S113" s="238" t="b">
        <f>P113=P114+P118+P157+P161</f>
        <v>1</v>
      </c>
      <c r="T113" s="125"/>
    </row>
    <row r="114" spans="1:20" s="388" customFormat="1" ht="47.25" thickTop="1" thickBot="1" x14ac:dyDescent="0.25">
      <c r="A114" s="455" t="s">
        <v>887</v>
      </c>
      <c r="B114" s="455" t="s">
        <v>843</v>
      </c>
      <c r="C114" s="455"/>
      <c r="D114" s="455" t="s">
        <v>844</v>
      </c>
      <c r="E114" s="389">
        <f t="shared" ref="E114:P114" si="113">SUM(E115:E117)</f>
        <v>52271290</v>
      </c>
      <c r="F114" s="575">
        <f t="shared" si="113"/>
        <v>52271290</v>
      </c>
      <c r="G114" s="575">
        <f t="shared" si="113"/>
        <v>38701520</v>
      </c>
      <c r="H114" s="575">
        <f t="shared" si="113"/>
        <v>997835</v>
      </c>
      <c r="I114" s="575">
        <f t="shared" si="113"/>
        <v>0</v>
      </c>
      <c r="J114" s="822">
        <f t="shared" si="113"/>
        <v>1259000</v>
      </c>
      <c r="K114" s="822">
        <f t="shared" si="113"/>
        <v>1259000</v>
      </c>
      <c r="L114" s="822">
        <f t="shared" si="113"/>
        <v>0</v>
      </c>
      <c r="M114" s="822">
        <f t="shared" si="113"/>
        <v>0</v>
      </c>
      <c r="N114" s="822">
        <f t="shared" si="113"/>
        <v>0</v>
      </c>
      <c r="O114" s="822">
        <f t="shared" si="113"/>
        <v>1259000</v>
      </c>
      <c r="P114" s="822">
        <f t="shared" si="113"/>
        <v>53530290</v>
      </c>
      <c r="Q114" s="125"/>
      <c r="R114" s="238"/>
      <c r="T114" s="125"/>
    </row>
    <row r="115" spans="1:20" ht="230.25" thickTop="1" thickBot="1" x14ac:dyDescent="0.25">
      <c r="A115" s="279" t="s">
        <v>443</v>
      </c>
      <c r="B115" s="279" t="s">
        <v>254</v>
      </c>
      <c r="C115" s="279" t="s">
        <v>252</v>
      </c>
      <c r="D115" s="279" t="s">
        <v>253</v>
      </c>
      <c r="E115" s="322">
        <f t="shared" ref="E115" si="114">F115</f>
        <v>52231290</v>
      </c>
      <c r="F115" s="323">
        <f>-205000-200000+51000+124460-2900+20190+(-49000+((51797540-10000)+205000+300000+200000))</f>
        <v>52231290</v>
      </c>
      <c r="G115" s="323">
        <f>(38906520)-205000</f>
        <v>38701520</v>
      </c>
      <c r="H115" s="323">
        <f>124460-2900+20190+(511665+29000+284370+31050)</f>
        <v>997835</v>
      </c>
      <c r="I115" s="323"/>
      <c r="J115" s="822">
        <f t="shared" si="112"/>
        <v>1259000</v>
      </c>
      <c r="K115" s="313">
        <f>49000+(49000+((911000)+250000))</f>
        <v>1259000</v>
      </c>
      <c r="L115" s="313"/>
      <c r="M115" s="313"/>
      <c r="N115" s="313"/>
      <c r="O115" s="849">
        <f>K115</f>
        <v>1259000</v>
      </c>
      <c r="P115" s="822">
        <f t="shared" ref="P115:P130" si="115">E115+J115</f>
        <v>53490290</v>
      </c>
      <c r="Q115" s="197"/>
      <c r="R115" s="238" t="b">
        <f>K115='d6'!J118+'d6'!J119</f>
        <v>1</v>
      </c>
      <c r="T115" s="125"/>
    </row>
    <row r="116" spans="1:20" s="319" customFormat="1" ht="184.5" thickTop="1" thickBot="1" x14ac:dyDescent="0.25">
      <c r="A116" s="325" t="s">
        <v>786</v>
      </c>
      <c r="B116" s="325" t="s">
        <v>388</v>
      </c>
      <c r="C116" s="325" t="s">
        <v>778</v>
      </c>
      <c r="D116" s="325" t="s">
        <v>779</v>
      </c>
      <c r="E116" s="322">
        <f t="shared" ref="E116:E117" si="116">F116</f>
        <v>10000</v>
      </c>
      <c r="F116" s="323">
        <v>10000</v>
      </c>
      <c r="G116" s="323"/>
      <c r="H116" s="323"/>
      <c r="I116" s="323"/>
      <c r="J116" s="822">
        <f t="shared" ref="J116:J117" si="117">L116+O116</f>
        <v>0</v>
      </c>
      <c r="K116" s="313"/>
      <c r="L116" s="313"/>
      <c r="M116" s="313"/>
      <c r="N116" s="313"/>
      <c r="O116" s="849">
        <f>K116</f>
        <v>0</v>
      </c>
      <c r="P116" s="822">
        <f t="shared" ref="P116:P117" si="118">E116+J116</f>
        <v>10000</v>
      </c>
      <c r="Q116" s="197"/>
      <c r="R116" s="238"/>
      <c r="T116" s="125"/>
    </row>
    <row r="117" spans="1:20" s="571" customFormat="1" ht="93" thickTop="1" thickBot="1" x14ac:dyDescent="0.25">
      <c r="A117" s="576" t="s">
        <v>1136</v>
      </c>
      <c r="B117" s="576" t="s">
        <v>45</v>
      </c>
      <c r="C117" s="576" t="s">
        <v>44</v>
      </c>
      <c r="D117" s="576" t="s">
        <v>266</v>
      </c>
      <c r="E117" s="574">
        <f t="shared" si="116"/>
        <v>30000</v>
      </c>
      <c r="F117" s="323">
        <v>30000</v>
      </c>
      <c r="G117" s="323"/>
      <c r="H117" s="323"/>
      <c r="I117" s="323"/>
      <c r="J117" s="822">
        <f t="shared" si="117"/>
        <v>0</v>
      </c>
      <c r="K117" s="313"/>
      <c r="L117" s="313"/>
      <c r="M117" s="313"/>
      <c r="N117" s="313"/>
      <c r="O117" s="849"/>
      <c r="P117" s="822">
        <f t="shared" si="118"/>
        <v>30000</v>
      </c>
      <c r="Q117" s="197"/>
      <c r="R117" s="238"/>
      <c r="T117" s="125"/>
    </row>
    <row r="118" spans="1:20" s="388" customFormat="1" ht="91.5" thickTop="1" thickBot="1" x14ac:dyDescent="0.25">
      <c r="A118" s="455" t="s">
        <v>888</v>
      </c>
      <c r="B118" s="455" t="s">
        <v>870</v>
      </c>
      <c r="C118" s="455"/>
      <c r="D118" s="455" t="s">
        <v>871</v>
      </c>
      <c r="E118" s="391">
        <f t="shared" ref="E118:P118" si="119">SUM(E119:E156)-E119-E128-E137-E140-E154-E134-E131</f>
        <v>155539809</v>
      </c>
      <c r="F118" s="824">
        <f t="shared" si="119"/>
        <v>155539809</v>
      </c>
      <c r="G118" s="824">
        <f t="shared" si="119"/>
        <v>29443300</v>
      </c>
      <c r="H118" s="824">
        <f t="shared" si="119"/>
        <v>1263787</v>
      </c>
      <c r="I118" s="824">
        <f t="shared" si="119"/>
        <v>0</v>
      </c>
      <c r="J118" s="824">
        <f t="shared" si="119"/>
        <v>20179602.309999999</v>
      </c>
      <c r="K118" s="824">
        <f t="shared" si="119"/>
        <v>19884602.309999999</v>
      </c>
      <c r="L118" s="824">
        <f t="shared" si="119"/>
        <v>295000</v>
      </c>
      <c r="M118" s="824">
        <f t="shared" si="119"/>
        <v>104000</v>
      </c>
      <c r="N118" s="824">
        <f t="shared" si="119"/>
        <v>137000</v>
      </c>
      <c r="O118" s="824">
        <f t="shared" si="119"/>
        <v>19884602.309999999</v>
      </c>
      <c r="P118" s="824">
        <f t="shared" si="119"/>
        <v>175719411.31</v>
      </c>
      <c r="Q118" s="197"/>
      <c r="R118" s="238"/>
      <c r="T118" s="125"/>
    </row>
    <row r="119" spans="1:20" s="79" customFormat="1" ht="276" thickTop="1" thickBot="1" x14ac:dyDescent="0.25">
      <c r="A119" s="445" t="s">
        <v>889</v>
      </c>
      <c r="B119" s="365" t="s">
        <v>890</v>
      </c>
      <c r="C119" s="365"/>
      <c r="D119" s="365" t="s">
        <v>891</v>
      </c>
      <c r="E119" s="446">
        <f>SUM(E120:E124)</f>
        <v>74224700</v>
      </c>
      <c r="F119" s="446">
        <f t="shared" ref="F119:P119" si="120">SUM(F120:F124)</f>
        <v>74224700</v>
      </c>
      <c r="G119" s="446">
        <f t="shared" si="120"/>
        <v>0</v>
      </c>
      <c r="H119" s="446">
        <f t="shared" si="120"/>
        <v>0</v>
      </c>
      <c r="I119" s="367">
        <f t="shared" si="120"/>
        <v>0</v>
      </c>
      <c r="J119" s="367">
        <f t="shared" si="120"/>
        <v>115090</v>
      </c>
      <c r="K119" s="367">
        <f t="shared" si="120"/>
        <v>115090</v>
      </c>
      <c r="L119" s="367">
        <f t="shared" si="120"/>
        <v>0</v>
      </c>
      <c r="M119" s="367">
        <f t="shared" si="120"/>
        <v>0</v>
      </c>
      <c r="N119" s="367">
        <f t="shared" si="120"/>
        <v>0</v>
      </c>
      <c r="O119" s="367">
        <f t="shared" si="120"/>
        <v>115090</v>
      </c>
      <c r="P119" s="367">
        <f t="shared" si="120"/>
        <v>74339790</v>
      </c>
      <c r="Q119" s="223"/>
      <c r="R119" s="443"/>
      <c r="T119" s="444"/>
    </row>
    <row r="120" spans="1:20" s="39" customFormat="1" ht="138.75" thickTop="1" thickBot="1" x14ac:dyDescent="0.25">
      <c r="A120" s="279" t="s">
        <v>287</v>
      </c>
      <c r="B120" s="279" t="s">
        <v>288</v>
      </c>
      <c r="C120" s="279" t="s">
        <v>223</v>
      </c>
      <c r="D120" s="280" t="s">
        <v>289</v>
      </c>
      <c r="E120" s="322">
        <f>F120</f>
        <v>270000</v>
      </c>
      <c r="F120" s="323">
        <f>(570000)-300000</f>
        <v>270000</v>
      </c>
      <c r="G120" s="323"/>
      <c r="H120" s="323"/>
      <c r="I120" s="313"/>
      <c r="J120" s="822">
        <f t="shared" si="112"/>
        <v>115090</v>
      </c>
      <c r="K120" s="313">
        <f>(199000)-83910</f>
        <v>115090</v>
      </c>
      <c r="L120" s="313"/>
      <c r="M120" s="313"/>
      <c r="N120" s="313"/>
      <c r="O120" s="849">
        <f t="shared" ref="O120:O139" si="121">K120</f>
        <v>115090</v>
      </c>
      <c r="P120" s="822">
        <f t="shared" si="115"/>
        <v>385090</v>
      </c>
      <c r="Q120" s="194"/>
      <c r="R120" s="238" t="b">
        <f>K120='d6'!J120</f>
        <v>1</v>
      </c>
    </row>
    <row r="121" spans="1:20" s="39" customFormat="1" ht="138.75" thickTop="1" thickBot="1" x14ac:dyDescent="0.25">
      <c r="A121" s="279" t="s">
        <v>290</v>
      </c>
      <c r="B121" s="279" t="s">
        <v>291</v>
      </c>
      <c r="C121" s="279" t="s">
        <v>224</v>
      </c>
      <c r="D121" s="279" t="s">
        <v>6</v>
      </c>
      <c r="E121" s="322">
        <f t="shared" ref="E121:E167" si="122">F121</f>
        <v>950000</v>
      </c>
      <c r="F121" s="323">
        <f>(1350000)-400000</f>
        <v>950000</v>
      </c>
      <c r="G121" s="323"/>
      <c r="H121" s="323"/>
      <c r="I121" s="323"/>
      <c r="J121" s="822">
        <f t="shared" si="112"/>
        <v>0</v>
      </c>
      <c r="K121" s="313"/>
      <c r="L121" s="313"/>
      <c r="M121" s="313"/>
      <c r="N121" s="313"/>
      <c r="O121" s="849">
        <f t="shared" si="121"/>
        <v>0</v>
      </c>
      <c r="P121" s="822">
        <f t="shared" si="115"/>
        <v>950000</v>
      </c>
      <c r="Q121" s="194"/>
      <c r="R121" s="198"/>
    </row>
    <row r="122" spans="1:20" s="39" customFormat="1" ht="184.5" thickTop="1" thickBot="1" x14ac:dyDescent="0.25">
      <c r="A122" s="279" t="s">
        <v>293</v>
      </c>
      <c r="B122" s="279" t="s">
        <v>294</v>
      </c>
      <c r="C122" s="279" t="s">
        <v>224</v>
      </c>
      <c r="D122" s="279" t="s">
        <v>7</v>
      </c>
      <c r="E122" s="322">
        <f t="shared" si="122"/>
        <v>14700000</v>
      </c>
      <c r="F122" s="323">
        <f>(11250000)+3450000</f>
        <v>14700000</v>
      </c>
      <c r="G122" s="323"/>
      <c r="H122" s="323"/>
      <c r="I122" s="323"/>
      <c r="J122" s="822">
        <f t="shared" si="112"/>
        <v>0</v>
      </c>
      <c r="K122" s="313"/>
      <c r="L122" s="313"/>
      <c r="M122" s="313"/>
      <c r="N122" s="313"/>
      <c r="O122" s="849">
        <f t="shared" si="121"/>
        <v>0</v>
      </c>
      <c r="P122" s="822">
        <f t="shared" si="115"/>
        <v>14700000</v>
      </c>
      <c r="Q122" s="194"/>
      <c r="R122" s="198"/>
    </row>
    <row r="123" spans="1:20" s="39" customFormat="1" ht="184.5" thickTop="1" thickBot="1" x14ac:dyDescent="0.25">
      <c r="A123" s="279" t="s">
        <v>295</v>
      </c>
      <c r="B123" s="279" t="s">
        <v>292</v>
      </c>
      <c r="C123" s="279" t="s">
        <v>224</v>
      </c>
      <c r="D123" s="279" t="s">
        <v>8</v>
      </c>
      <c r="E123" s="322">
        <f t="shared" si="122"/>
        <v>500000</v>
      </c>
      <c r="F123" s="323">
        <v>500000</v>
      </c>
      <c r="G123" s="323"/>
      <c r="H123" s="323"/>
      <c r="I123" s="323"/>
      <c r="J123" s="822">
        <f t="shared" si="112"/>
        <v>0</v>
      </c>
      <c r="K123" s="313"/>
      <c r="L123" s="313"/>
      <c r="M123" s="313"/>
      <c r="N123" s="313"/>
      <c r="O123" s="849">
        <f t="shared" si="121"/>
        <v>0</v>
      </c>
      <c r="P123" s="822">
        <f t="shared" si="115"/>
        <v>500000</v>
      </c>
      <c r="Q123" s="194"/>
      <c r="R123" s="198"/>
    </row>
    <row r="124" spans="1:20" s="39" customFormat="1" ht="184.5" thickTop="1" thickBot="1" x14ac:dyDescent="0.25">
      <c r="A124" s="279" t="s">
        <v>296</v>
      </c>
      <c r="B124" s="279" t="s">
        <v>297</v>
      </c>
      <c r="C124" s="279" t="s">
        <v>224</v>
      </c>
      <c r="D124" s="279" t="s">
        <v>9</v>
      </c>
      <c r="E124" s="322">
        <f t="shared" si="122"/>
        <v>57804700</v>
      </c>
      <c r="F124" s="323">
        <f>(74942240)-17137540</f>
        <v>57804700</v>
      </c>
      <c r="G124" s="323"/>
      <c r="H124" s="323"/>
      <c r="I124" s="323"/>
      <c r="J124" s="822">
        <f t="shared" si="112"/>
        <v>0</v>
      </c>
      <c r="K124" s="313"/>
      <c r="L124" s="313"/>
      <c r="M124" s="313"/>
      <c r="N124" s="313"/>
      <c r="O124" s="849">
        <f t="shared" si="121"/>
        <v>0</v>
      </c>
      <c r="P124" s="822">
        <f t="shared" si="115"/>
        <v>57804700</v>
      </c>
      <c r="Q124" s="194"/>
      <c r="R124" s="198"/>
    </row>
    <row r="125" spans="1:20" s="39" customFormat="1" ht="184.5" thickTop="1" thickBot="1" x14ac:dyDescent="0.25">
      <c r="A125" s="497" t="s">
        <v>522</v>
      </c>
      <c r="B125" s="497" t="s">
        <v>523</v>
      </c>
      <c r="C125" s="497" t="s">
        <v>224</v>
      </c>
      <c r="D125" s="497" t="s">
        <v>524</v>
      </c>
      <c r="E125" s="498">
        <f t="shared" si="122"/>
        <v>206796</v>
      </c>
      <c r="F125" s="323">
        <v>206796</v>
      </c>
      <c r="G125" s="323"/>
      <c r="H125" s="323"/>
      <c r="I125" s="323"/>
      <c r="J125" s="822">
        <f t="shared" si="112"/>
        <v>0</v>
      </c>
      <c r="K125" s="313"/>
      <c r="L125" s="313"/>
      <c r="M125" s="313"/>
      <c r="N125" s="313"/>
      <c r="O125" s="849">
        <f t="shared" si="121"/>
        <v>0</v>
      </c>
      <c r="P125" s="822">
        <f t="shared" si="115"/>
        <v>206796</v>
      </c>
      <c r="Q125" s="194"/>
      <c r="R125" s="198"/>
    </row>
    <row r="126" spans="1:20" s="39" customFormat="1" ht="138.75" thickTop="1" thickBot="1" x14ac:dyDescent="0.25">
      <c r="A126" s="573" t="s">
        <v>1137</v>
      </c>
      <c r="B126" s="573" t="s">
        <v>1138</v>
      </c>
      <c r="C126" s="573" t="s">
        <v>224</v>
      </c>
      <c r="D126" s="573" t="s">
        <v>1139</v>
      </c>
      <c r="E126" s="574">
        <f t="shared" ref="E126" si="123">F126</f>
        <v>180000</v>
      </c>
      <c r="F126" s="323">
        <v>180000</v>
      </c>
      <c r="G126" s="323"/>
      <c r="H126" s="323"/>
      <c r="I126" s="323"/>
      <c r="J126" s="822">
        <f t="shared" ref="J126" si="124">L126+O126</f>
        <v>0</v>
      </c>
      <c r="K126" s="313"/>
      <c r="L126" s="313"/>
      <c r="M126" s="313"/>
      <c r="N126" s="313"/>
      <c r="O126" s="849">
        <f t="shared" ref="O126" si="125">K126</f>
        <v>0</v>
      </c>
      <c r="P126" s="822">
        <f t="shared" ref="P126" si="126">E126+J126</f>
        <v>180000</v>
      </c>
      <c r="Q126" s="194"/>
      <c r="R126" s="198"/>
    </row>
    <row r="127" spans="1:20" ht="138.75" thickTop="1" thickBot="1" x14ac:dyDescent="0.25">
      <c r="A127" s="497" t="s">
        <v>525</v>
      </c>
      <c r="B127" s="497" t="s">
        <v>526</v>
      </c>
      <c r="C127" s="497" t="s">
        <v>223</v>
      </c>
      <c r="D127" s="497" t="s">
        <v>527</v>
      </c>
      <c r="E127" s="498">
        <f t="shared" si="122"/>
        <v>353047</v>
      </c>
      <c r="F127" s="323">
        <v>353047</v>
      </c>
      <c r="G127" s="323"/>
      <c r="H127" s="323"/>
      <c r="I127" s="323"/>
      <c r="J127" s="822">
        <f t="shared" si="112"/>
        <v>0</v>
      </c>
      <c r="K127" s="313"/>
      <c r="L127" s="313"/>
      <c r="M127" s="313"/>
      <c r="N127" s="313"/>
      <c r="O127" s="849">
        <f>K127</f>
        <v>0</v>
      </c>
      <c r="P127" s="822">
        <f t="shared" si="115"/>
        <v>353047</v>
      </c>
      <c r="R127" s="198"/>
    </row>
    <row r="128" spans="1:20" s="39" customFormat="1" ht="276" thickTop="1" thickBot="1" x14ac:dyDescent="0.25">
      <c r="A128" s="445" t="s">
        <v>892</v>
      </c>
      <c r="B128" s="445" t="s">
        <v>893</v>
      </c>
      <c r="C128" s="445"/>
      <c r="D128" s="445" t="s">
        <v>894</v>
      </c>
      <c r="E128" s="446">
        <f>SUM(E129:E130)</f>
        <v>36092600</v>
      </c>
      <c r="F128" s="446">
        <f t="shared" ref="F128:P128" si="127">SUM(F129:F130)</f>
        <v>36092600</v>
      </c>
      <c r="G128" s="446">
        <f t="shared" si="127"/>
        <v>25148685</v>
      </c>
      <c r="H128" s="446">
        <f t="shared" si="127"/>
        <v>837260</v>
      </c>
      <c r="I128" s="446">
        <f t="shared" si="127"/>
        <v>0</v>
      </c>
      <c r="J128" s="367">
        <f t="shared" si="127"/>
        <v>321440</v>
      </c>
      <c r="K128" s="367">
        <f t="shared" si="127"/>
        <v>171440</v>
      </c>
      <c r="L128" s="367">
        <f t="shared" si="127"/>
        <v>150000</v>
      </c>
      <c r="M128" s="367">
        <f t="shared" si="127"/>
        <v>100000</v>
      </c>
      <c r="N128" s="367">
        <f t="shared" si="127"/>
        <v>3000</v>
      </c>
      <c r="O128" s="367">
        <f t="shared" si="127"/>
        <v>171440</v>
      </c>
      <c r="P128" s="367">
        <f t="shared" si="127"/>
        <v>36414040</v>
      </c>
      <c r="Q128" s="194"/>
      <c r="R128" s="447"/>
    </row>
    <row r="129" spans="1:18" ht="276" thickTop="1" thickBot="1" x14ac:dyDescent="0.25">
      <c r="A129" s="279" t="s">
        <v>285</v>
      </c>
      <c r="B129" s="279" t="s">
        <v>283</v>
      </c>
      <c r="C129" s="279" t="s">
        <v>218</v>
      </c>
      <c r="D129" s="279" t="s">
        <v>17</v>
      </c>
      <c r="E129" s="322">
        <f t="shared" si="122"/>
        <v>28467620</v>
      </c>
      <c r="F129" s="323">
        <f>50000-17200-20300-14000+(108000+400000+((27960820)-25000+2060+10800+12440))</f>
        <v>28467620</v>
      </c>
      <c r="G129" s="323">
        <v>19746545</v>
      </c>
      <c r="H129" s="323">
        <f>50000-17200-20300-14000+((266000+30800+72660+10800)+2060+10800+12440)</f>
        <v>404060</v>
      </c>
      <c r="I129" s="323"/>
      <c r="J129" s="822">
        <f t="shared" si="112"/>
        <v>278000</v>
      </c>
      <c r="K129" s="313">
        <f>58000+15000+25000+30000</f>
        <v>128000</v>
      </c>
      <c r="L129" s="313">
        <f>(100000+22000+15000+4000+6000+1500+500+1000)</f>
        <v>150000</v>
      </c>
      <c r="M129" s="313">
        <v>100000</v>
      </c>
      <c r="N129" s="313">
        <f>(1500+500+1000)</f>
        <v>3000</v>
      </c>
      <c r="O129" s="849">
        <f t="shared" si="121"/>
        <v>128000</v>
      </c>
      <c r="P129" s="822">
        <f t="shared" si="115"/>
        <v>28745620</v>
      </c>
      <c r="R129" s="238" t="b">
        <f>K129='d6'!J121</f>
        <v>1</v>
      </c>
    </row>
    <row r="130" spans="1:18" ht="138.75" thickTop="1" thickBot="1" x14ac:dyDescent="0.25">
      <c r="A130" s="279" t="s">
        <v>286</v>
      </c>
      <c r="B130" s="279" t="s">
        <v>284</v>
      </c>
      <c r="C130" s="279" t="s">
        <v>217</v>
      </c>
      <c r="D130" s="279" t="s">
        <v>491</v>
      </c>
      <c r="E130" s="322">
        <f t="shared" si="122"/>
        <v>7624980</v>
      </c>
      <c r="F130" s="323">
        <f>69300+1900-6850-10000+13500+23265+2000-29300+(14525+4550+((7298180)+112800+1570+107500+19900+2140))</f>
        <v>7624980</v>
      </c>
      <c r="G130" s="323">
        <f>(3013390+2388750)</f>
        <v>5402140</v>
      </c>
      <c r="H130" s="323">
        <f>69300+1900+23265+2000+((133610+1950+28250+148195+4870+19620+240))</f>
        <v>433200</v>
      </c>
      <c r="I130" s="313"/>
      <c r="J130" s="822">
        <f t="shared" si="112"/>
        <v>43440</v>
      </c>
      <c r="K130" s="313">
        <v>43440</v>
      </c>
      <c r="L130" s="313"/>
      <c r="M130" s="313"/>
      <c r="N130" s="313"/>
      <c r="O130" s="849">
        <f t="shared" si="121"/>
        <v>43440</v>
      </c>
      <c r="P130" s="822">
        <f t="shared" si="115"/>
        <v>7668420</v>
      </c>
      <c r="R130" s="238" t="b">
        <f>K130='d6'!J122</f>
        <v>1</v>
      </c>
    </row>
    <row r="131" spans="1:18" s="721" customFormat="1" ht="138.75" thickTop="1" thickBot="1" x14ac:dyDescent="0.25">
      <c r="A131" s="445" t="s">
        <v>1354</v>
      </c>
      <c r="B131" s="445" t="s">
        <v>925</v>
      </c>
      <c r="C131" s="445"/>
      <c r="D131" s="445" t="s">
        <v>926</v>
      </c>
      <c r="E131" s="446">
        <f>E132</f>
        <v>267380</v>
      </c>
      <c r="F131" s="446">
        <f t="shared" ref="F131:P131" si="128">F132</f>
        <v>267380</v>
      </c>
      <c r="G131" s="446">
        <f t="shared" si="128"/>
        <v>0</v>
      </c>
      <c r="H131" s="446">
        <f t="shared" si="128"/>
        <v>0</v>
      </c>
      <c r="I131" s="446">
        <f t="shared" si="128"/>
        <v>0</v>
      </c>
      <c r="J131" s="367">
        <f t="shared" si="128"/>
        <v>2304215</v>
      </c>
      <c r="K131" s="367">
        <f t="shared" si="128"/>
        <v>2304215</v>
      </c>
      <c r="L131" s="367">
        <f t="shared" si="128"/>
        <v>0</v>
      </c>
      <c r="M131" s="367">
        <f t="shared" si="128"/>
        <v>0</v>
      </c>
      <c r="N131" s="367">
        <f t="shared" si="128"/>
        <v>0</v>
      </c>
      <c r="O131" s="367">
        <f t="shared" si="128"/>
        <v>2304215</v>
      </c>
      <c r="P131" s="367">
        <f t="shared" si="128"/>
        <v>2571595</v>
      </c>
      <c r="Q131" s="731"/>
      <c r="R131" s="238"/>
    </row>
    <row r="132" spans="1:18" s="721" customFormat="1" ht="276" thickTop="1" thickBot="1" x14ac:dyDescent="0.25">
      <c r="A132" s="728" t="s">
        <v>1355</v>
      </c>
      <c r="B132" s="728" t="s">
        <v>1356</v>
      </c>
      <c r="C132" s="728" t="s">
        <v>203</v>
      </c>
      <c r="D132" s="728" t="s">
        <v>1357</v>
      </c>
      <c r="E132" s="726">
        <f t="shared" ref="E132" si="129">F132</f>
        <v>267380</v>
      </c>
      <c r="F132" s="323">
        <v>267380</v>
      </c>
      <c r="G132" s="323"/>
      <c r="H132" s="323"/>
      <c r="I132" s="323"/>
      <c r="J132" s="822">
        <f t="shared" ref="J132" si="130">L132+O132</f>
        <v>2304215</v>
      </c>
      <c r="K132" s="313">
        <f>166110+1240000+898105</f>
        <v>2304215</v>
      </c>
      <c r="L132" s="313"/>
      <c r="M132" s="313"/>
      <c r="N132" s="313"/>
      <c r="O132" s="849">
        <f t="shared" ref="O132" si="131">K132</f>
        <v>2304215</v>
      </c>
      <c r="P132" s="822">
        <f t="shared" ref="P132" si="132">E132+J132</f>
        <v>2571595</v>
      </c>
      <c r="Q132" s="731"/>
      <c r="R132" s="238" t="b">
        <f>K132='d6'!J123+'d6'!J124</f>
        <v>1</v>
      </c>
    </row>
    <row r="133" spans="1:18" ht="409.6" thickTop="1" thickBot="1" x14ac:dyDescent="0.25">
      <c r="A133" s="279" t="s">
        <v>281</v>
      </c>
      <c r="B133" s="279" t="s">
        <v>282</v>
      </c>
      <c r="C133" s="279" t="s">
        <v>217</v>
      </c>
      <c r="D133" s="279" t="s">
        <v>489</v>
      </c>
      <c r="E133" s="322">
        <f t="shared" si="122"/>
        <v>2246695</v>
      </c>
      <c r="F133" s="313">
        <f>((1242695)+1000000)+4000</f>
        <v>2246695</v>
      </c>
      <c r="G133" s="323"/>
      <c r="H133" s="323"/>
      <c r="I133" s="323"/>
      <c r="J133" s="822">
        <f t="shared" si="112"/>
        <v>0</v>
      </c>
      <c r="K133" s="822"/>
      <c r="L133" s="313"/>
      <c r="M133" s="313"/>
      <c r="N133" s="313"/>
      <c r="O133" s="849">
        <f t="shared" si="121"/>
        <v>0</v>
      </c>
      <c r="P133" s="822">
        <f>+J133+E133</f>
        <v>2246695</v>
      </c>
      <c r="R133" s="198"/>
    </row>
    <row r="134" spans="1:18" s="506" customFormat="1" ht="138.75" thickTop="1" thickBot="1" x14ac:dyDescent="0.25">
      <c r="A134" s="445" t="s">
        <v>1055</v>
      </c>
      <c r="B134" s="445" t="s">
        <v>1056</v>
      </c>
      <c r="C134" s="445"/>
      <c r="D134" s="445" t="s">
        <v>1057</v>
      </c>
      <c r="E134" s="446">
        <f t="shared" si="122"/>
        <v>147491</v>
      </c>
      <c r="F134" s="446">
        <f>F135</f>
        <v>147491</v>
      </c>
      <c r="G134" s="446">
        <f t="shared" ref="G134:I134" si="133">G135</f>
        <v>0</v>
      </c>
      <c r="H134" s="446">
        <f t="shared" si="133"/>
        <v>0</v>
      </c>
      <c r="I134" s="446">
        <f t="shared" si="133"/>
        <v>0</v>
      </c>
      <c r="J134" s="367">
        <f t="shared" si="112"/>
        <v>0</v>
      </c>
      <c r="K134" s="367">
        <f t="shared" ref="K134:N134" si="134">K135</f>
        <v>0</v>
      </c>
      <c r="L134" s="367">
        <f t="shared" si="134"/>
        <v>0</v>
      </c>
      <c r="M134" s="367">
        <f t="shared" si="134"/>
        <v>0</v>
      </c>
      <c r="N134" s="367">
        <f t="shared" si="134"/>
        <v>0</v>
      </c>
      <c r="O134" s="367">
        <f t="shared" si="121"/>
        <v>0</v>
      </c>
      <c r="P134" s="367">
        <f>+J134+E134</f>
        <v>147491</v>
      </c>
      <c r="Q134" s="510"/>
      <c r="R134" s="198"/>
    </row>
    <row r="135" spans="1:18" ht="276" thickTop="1" thickBot="1" x14ac:dyDescent="0.25">
      <c r="A135" s="509" t="s">
        <v>528</v>
      </c>
      <c r="B135" s="509" t="s">
        <v>529</v>
      </c>
      <c r="C135" s="509" t="s">
        <v>217</v>
      </c>
      <c r="D135" s="509" t="s">
        <v>530</v>
      </c>
      <c r="E135" s="507">
        <f t="shared" si="122"/>
        <v>147491</v>
      </c>
      <c r="F135" s="323">
        <v>147491</v>
      </c>
      <c r="G135" s="323"/>
      <c r="H135" s="323"/>
      <c r="I135" s="323"/>
      <c r="J135" s="822">
        <f t="shared" si="112"/>
        <v>0</v>
      </c>
      <c r="K135" s="822"/>
      <c r="L135" s="313"/>
      <c r="M135" s="313"/>
      <c r="N135" s="313"/>
      <c r="O135" s="849">
        <f t="shared" si="121"/>
        <v>0</v>
      </c>
      <c r="P135" s="822">
        <f>+J135+E135</f>
        <v>147491</v>
      </c>
      <c r="R135" s="198"/>
    </row>
    <row r="136" spans="1:18" ht="367.5" thickTop="1" thickBot="1" x14ac:dyDescent="0.25">
      <c r="A136" s="279" t="s">
        <v>374</v>
      </c>
      <c r="B136" s="279" t="s">
        <v>373</v>
      </c>
      <c r="C136" s="279" t="s">
        <v>52</v>
      </c>
      <c r="D136" s="279" t="s">
        <v>490</v>
      </c>
      <c r="E136" s="322">
        <f t="shared" si="122"/>
        <v>2625425</v>
      </c>
      <c r="F136" s="323">
        <v>2625425</v>
      </c>
      <c r="G136" s="323"/>
      <c r="H136" s="323"/>
      <c r="I136" s="323"/>
      <c r="J136" s="822">
        <f t="shared" si="112"/>
        <v>0</v>
      </c>
      <c r="K136" s="822"/>
      <c r="L136" s="313"/>
      <c r="M136" s="313"/>
      <c r="N136" s="313"/>
      <c r="O136" s="849">
        <f t="shared" si="121"/>
        <v>0</v>
      </c>
      <c r="P136" s="822">
        <f>E136+J136</f>
        <v>2625425</v>
      </c>
      <c r="R136" s="198"/>
    </row>
    <row r="137" spans="1:18" s="39" customFormat="1" ht="93" thickTop="1" thickBot="1" x14ac:dyDescent="0.25">
      <c r="A137" s="445" t="s">
        <v>895</v>
      </c>
      <c r="B137" s="445" t="s">
        <v>896</v>
      </c>
      <c r="C137" s="445"/>
      <c r="D137" s="445" t="s">
        <v>897</v>
      </c>
      <c r="E137" s="446">
        <f>E138</f>
        <v>530000</v>
      </c>
      <c r="F137" s="446">
        <f t="shared" ref="F137:P137" si="135">F138</f>
        <v>530000</v>
      </c>
      <c r="G137" s="446">
        <f t="shared" si="135"/>
        <v>0</v>
      </c>
      <c r="H137" s="446">
        <f t="shared" si="135"/>
        <v>0</v>
      </c>
      <c r="I137" s="446">
        <f t="shared" si="135"/>
        <v>0</v>
      </c>
      <c r="J137" s="367">
        <f t="shared" si="135"/>
        <v>0</v>
      </c>
      <c r="K137" s="367">
        <f t="shared" si="135"/>
        <v>0</v>
      </c>
      <c r="L137" s="367">
        <f t="shared" si="135"/>
        <v>0</v>
      </c>
      <c r="M137" s="367">
        <f t="shared" si="135"/>
        <v>0</v>
      </c>
      <c r="N137" s="367">
        <f t="shared" si="135"/>
        <v>0</v>
      </c>
      <c r="O137" s="367">
        <f t="shared" si="135"/>
        <v>0</v>
      </c>
      <c r="P137" s="367">
        <f t="shared" si="135"/>
        <v>530000</v>
      </c>
      <c r="Q137" s="194"/>
      <c r="R137" s="447"/>
    </row>
    <row r="138" spans="1:18" ht="230.25" thickTop="1" thickBot="1" x14ac:dyDescent="0.25">
      <c r="A138" s="279" t="s">
        <v>350</v>
      </c>
      <c r="B138" s="279" t="s">
        <v>351</v>
      </c>
      <c r="C138" s="279" t="s">
        <v>223</v>
      </c>
      <c r="D138" s="279" t="s">
        <v>793</v>
      </c>
      <c r="E138" s="322">
        <f t="shared" si="122"/>
        <v>530000</v>
      </c>
      <c r="F138" s="323">
        <f>(500000)+30000</f>
        <v>530000</v>
      </c>
      <c r="G138" s="323"/>
      <c r="H138" s="323"/>
      <c r="I138" s="323"/>
      <c r="J138" s="822">
        <f t="shared" si="112"/>
        <v>0</v>
      </c>
      <c r="K138" s="313"/>
      <c r="L138" s="313"/>
      <c r="M138" s="313"/>
      <c r="N138" s="313"/>
      <c r="O138" s="849">
        <f t="shared" si="121"/>
        <v>0</v>
      </c>
      <c r="P138" s="822">
        <f>E138+J138</f>
        <v>530000</v>
      </c>
      <c r="R138" s="198"/>
    </row>
    <row r="139" spans="1:18" ht="93" thickTop="1" thickBot="1" x14ac:dyDescent="0.25">
      <c r="A139" s="279" t="s">
        <v>456</v>
      </c>
      <c r="B139" s="279" t="s">
        <v>398</v>
      </c>
      <c r="C139" s="279" t="s">
        <v>399</v>
      </c>
      <c r="D139" s="279" t="s">
        <v>397</v>
      </c>
      <c r="E139" s="338">
        <f t="shared" si="122"/>
        <v>100040</v>
      </c>
      <c r="F139" s="323">
        <v>100040</v>
      </c>
      <c r="G139" s="323">
        <v>82000</v>
      </c>
      <c r="H139" s="323"/>
      <c r="I139" s="323"/>
      <c r="J139" s="822">
        <f t="shared" si="112"/>
        <v>0</v>
      </c>
      <c r="K139" s="313"/>
      <c r="L139" s="313"/>
      <c r="M139" s="313"/>
      <c r="N139" s="313"/>
      <c r="O139" s="849">
        <f t="shared" si="121"/>
        <v>0</v>
      </c>
      <c r="P139" s="822">
        <f>E139+J139</f>
        <v>100040</v>
      </c>
      <c r="R139" s="198"/>
    </row>
    <row r="140" spans="1:18" s="820" customFormat="1" ht="230.25" thickTop="1" thickBot="1" x14ac:dyDescent="0.25">
      <c r="A140" s="445" t="s">
        <v>1416</v>
      </c>
      <c r="B140" s="445" t="s">
        <v>1417</v>
      </c>
      <c r="C140" s="445"/>
      <c r="D140" s="445" t="s">
        <v>1415</v>
      </c>
      <c r="E140" s="446">
        <f>E141+E144+E148+E151</f>
        <v>0</v>
      </c>
      <c r="F140" s="446">
        <f t="shared" ref="F140:P140" si="136">F141+F144+F148+F151</f>
        <v>0</v>
      </c>
      <c r="G140" s="446">
        <f t="shared" si="136"/>
        <v>0</v>
      </c>
      <c r="H140" s="446">
        <f t="shared" si="136"/>
        <v>0</v>
      </c>
      <c r="I140" s="446">
        <f t="shared" si="136"/>
        <v>0</v>
      </c>
      <c r="J140" s="446">
        <f t="shared" si="136"/>
        <v>16573607.309999999</v>
      </c>
      <c r="K140" s="446">
        <f t="shared" si="136"/>
        <v>16573607.309999999</v>
      </c>
      <c r="L140" s="446">
        <f t="shared" si="136"/>
        <v>0</v>
      </c>
      <c r="M140" s="446">
        <f t="shared" si="136"/>
        <v>0</v>
      </c>
      <c r="N140" s="446">
        <f t="shared" si="136"/>
        <v>0</v>
      </c>
      <c r="O140" s="446">
        <f t="shared" si="136"/>
        <v>16573607.309999999</v>
      </c>
      <c r="P140" s="446">
        <f t="shared" si="136"/>
        <v>16573607.309999999</v>
      </c>
      <c r="Q140" s="829"/>
      <c r="R140" s="198"/>
    </row>
    <row r="141" spans="1:18" s="820" customFormat="1" ht="409.6" thickTop="1" x14ac:dyDescent="0.65">
      <c r="A141" s="1024" t="s">
        <v>1421</v>
      </c>
      <c r="B141" s="1024" t="s">
        <v>1422</v>
      </c>
      <c r="C141" s="1024" t="s">
        <v>52</v>
      </c>
      <c r="D141" s="862" t="s">
        <v>1418</v>
      </c>
      <c r="E141" s="1016">
        <f t="shared" ref="E141:E144" si="137">F141</f>
        <v>0</v>
      </c>
      <c r="F141" s="1016"/>
      <c r="G141" s="1016"/>
      <c r="H141" s="1016"/>
      <c r="I141" s="1016"/>
      <c r="J141" s="1016">
        <f t="shared" ref="J141:J144" si="138">L141+O141</f>
        <v>11298891.529999999</v>
      </c>
      <c r="K141" s="1019">
        <v>11298891.529999999</v>
      </c>
      <c r="L141" s="1016"/>
      <c r="M141" s="1016"/>
      <c r="N141" s="1016"/>
      <c r="O141" s="1019">
        <f t="shared" ref="O141:O144" si="139">K141</f>
        <v>11298891.529999999</v>
      </c>
      <c r="P141" s="1016">
        <f t="shared" ref="P141:P144" si="140">E141+J141</f>
        <v>11298891.529999999</v>
      </c>
      <c r="Q141" s="1030"/>
      <c r="R141" s="1022" t="b">
        <f>K141='d6'!J125</f>
        <v>1</v>
      </c>
    </row>
    <row r="142" spans="1:18" s="820" customFormat="1" ht="409.5" x14ac:dyDescent="0.2">
      <c r="A142" s="1025"/>
      <c r="B142" s="1025"/>
      <c r="C142" s="1025"/>
      <c r="D142" s="861" t="s">
        <v>1419</v>
      </c>
      <c r="E142" s="1025"/>
      <c r="F142" s="1025"/>
      <c r="G142" s="1025"/>
      <c r="H142" s="1025"/>
      <c r="I142" s="1025"/>
      <c r="J142" s="1025"/>
      <c r="K142" s="1027"/>
      <c r="L142" s="1025"/>
      <c r="M142" s="1025"/>
      <c r="N142" s="1025"/>
      <c r="O142" s="1027"/>
      <c r="P142" s="1025"/>
      <c r="Q142" s="1031"/>
      <c r="R142" s="1023"/>
    </row>
    <row r="143" spans="1:18" s="820" customFormat="1" ht="409.6" thickBot="1" x14ac:dyDescent="0.25">
      <c r="A143" s="1026"/>
      <c r="B143" s="1026"/>
      <c r="C143" s="1026"/>
      <c r="D143" s="863" t="s">
        <v>1420</v>
      </c>
      <c r="E143" s="1026"/>
      <c r="F143" s="1026"/>
      <c r="G143" s="1026"/>
      <c r="H143" s="1026"/>
      <c r="I143" s="1026"/>
      <c r="J143" s="1026"/>
      <c r="K143" s="1028"/>
      <c r="L143" s="1026"/>
      <c r="M143" s="1026"/>
      <c r="N143" s="1026"/>
      <c r="O143" s="1028"/>
      <c r="P143" s="1026"/>
      <c r="Q143" s="1031"/>
      <c r="R143" s="1023"/>
    </row>
    <row r="144" spans="1:18" s="820" customFormat="1" ht="409.6" thickTop="1" x14ac:dyDescent="0.65">
      <c r="A144" s="1024" t="s">
        <v>1427</v>
      </c>
      <c r="B144" s="1024" t="s">
        <v>1428</v>
      </c>
      <c r="C144" s="1024" t="s">
        <v>52</v>
      </c>
      <c r="D144" s="862" t="s">
        <v>1423</v>
      </c>
      <c r="E144" s="1016">
        <f t="shared" si="137"/>
        <v>0</v>
      </c>
      <c r="F144" s="1016"/>
      <c r="G144" s="1016"/>
      <c r="H144" s="1016"/>
      <c r="I144" s="1016"/>
      <c r="J144" s="1016">
        <f t="shared" si="138"/>
        <v>1751965</v>
      </c>
      <c r="K144" s="1019">
        <v>1751965</v>
      </c>
      <c r="L144" s="1016"/>
      <c r="M144" s="1016"/>
      <c r="N144" s="1016"/>
      <c r="O144" s="1016">
        <f t="shared" si="139"/>
        <v>1751965</v>
      </c>
      <c r="P144" s="1016">
        <f t="shared" si="140"/>
        <v>1751965</v>
      </c>
      <c r="Q144" s="829"/>
      <c r="R144" s="1022" t="b">
        <f>K144='d6'!J128</f>
        <v>1</v>
      </c>
    </row>
    <row r="145" spans="1:18" s="820" customFormat="1" ht="409.5" x14ac:dyDescent="0.2">
      <c r="A145" s="1025"/>
      <c r="B145" s="1025"/>
      <c r="C145" s="1025"/>
      <c r="D145" s="861" t="s">
        <v>1424</v>
      </c>
      <c r="E145" s="1025"/>
      <c r="F145" s="1025"/>
      <c r="G145" s="1025"/>
      <c r="H145" s="1025"/>
      <c r="I145" s="1025"/>
      <c r="J145" s="1025"/>
      <c r="K145" s="1027"/>
      <c r="L145" s="1025"/>
      <c r="M145" s="1025"/>
      <c r="N145" s="1025"/>
      <c r="O145" s="1025"/>
      <c r="P145" s="1025"/>
      <c r="Q145" s="829"/>
      <c r="R145" s="1029"/>
    </row>
    <row r="146" spans="1:18" s="820" customFormat="1" ht="409.5" x14ac:dyDescent="0.2">
      <c r="A146" s="1025"/>
      <c r="B146" s="1025"/>
      <c r="C146" s="1025"/>
      <c r="D146" s="861" t="s">
        <v>1425</v>
      </c>
      <c r="E146" s="1025"/>
      <c r="F146" s="1025"/>
      <c r="G146" s="1025"/>
      <c r="H146" s="1025"/>
      <c r="I146" s="1025"/>
      <c r="J146" s="1025"/>
      <c r="K146" s="1027"/>
      <c r="L146" s="1025"/>
      <c r="M146" s="1025"/>
      <c r="N146" s="1025"/>
      <c r="O146" s="1025"/>
      <c r="P146" s="1025"/>
      <c r="Q146" s="829"/>
      <c r="R146" s="1029"/>
    </row>
    <row r="147" spans="1:18" s="820" customFormat="1" ht="183.75" thickBot="1" x14ac:dyDescent="0.25">
      <c r="A147" s="1026"/>
      <c r="B147" s="1026"/>
      <c r="C147" s="1026"/>
      <c r="D147" s="863" t="s">
        <v>1426</v>
      </c>
      <c r="E147" s="1026"/>
      <c r="F147" s="1026"/>
      <c r="G147" s="1026"/>
      <c r="H147" s="1026"/>
      <c r="I147" s="1026"/>
      <c r="J147" s="1026"/>
      <c r="K147" s="1028"/>
      <c r="L147" s="1026"/>
      <c r="M147" s="1026"/>
      <c r="N147" s="1026"/>
      <c r="O147" s="1026"/>
      <c r="P147" s="1026"/>
      <c r="Q147" s="829"/>
      <c r="R147" s="1029"/>
    </row>
    <row r="148" spans="1:18" s="820" customFormat="1" ht="409.6" thickTop="1" x14ac:dyDescent="0.65">
      <c r="A148" s="1024" t="s">
        <v>1429</v>
      </c>
      <c r="B148" s="1024" t="s">
        <v>1430</v>
      </c>
      <c r="C148" s="1024" t="s">
        <v>52</v>
      </c>
      <c r="D148" s="862" t="s">
        <v>1431</v>
      </c>
      <c r="E148" s="1016">
        <f t="shared" ref="E148" si="141">F148</f>
        <v>0</v>
      </c>
      <c r="F148" s="1016"/>
      <c r="G148" s="1016"/>
      <c r="H148" s="1016"/>
      <c r="I148" s="1016"/>
      <c r="J148" s="1016">
        <f t="shared" ref="J148" si="142">L148+O148</f>
        <v>1093438.78</v>
      </c>
      <c r="K148" s="1019">
        <v>1093438.78</v>
      </c>
      <c r="L148" s="1016"/>
      <c r="M148" s="1016"/>
      <c r="N148" s="1016"/>
      <c r="O148" s="1019">
        <f t="shared" ref="O148" si="143">K148</f>
        <v>1093438.78</v>
      </c>
      <c r="P148" s="1016">
        <f t="shared" ref="P148" si="144">E148+J148</f>
        <v>1093438.78</v>
      </c>
      <c r="Q148" s="829"/>
      <c r="R148" s="1022" t="b">
        <f>K148='d6'!J132</f>
        <v>1</v>
      </c>
    </row>
    <row r="149" spans="1:18" s="820" customFormat="1" ht="409.5" x14ac:dyDescent="0.2">
      <c r="A149" s="1025"/>
      <c r="B149" s="1025"/>
      <c r="C149" s="1025"/>
      <c r="D149" s="861" t="s">
        <v>1432</v>
      </c>
      <c r="E149" s="1025"/>
      <c r="F149" s="1025"/>
      <c r="G149" s="1025"/>
      <c r="H149" s="1025"/>
      <c r="I149" s="1025"/>
      <c r="J149" s="1025"/>
      <c r="K149" s="1027"/>
      <c r="L149" s="1025"/>
      <c r="M149" s="1025"/>
      <c r="N149" s="1025"/>
      <c r="O149" s="1027"/>
      <c r="P149" s="1025"/>
      <c r="Q149" s="829"/>
      <c r="R149" s="1023"/>
    </row>
    <row r="150" spans="1:18" s="820" customFormat="1" ht="138" thickBot="1" x14ac:dyDescent="0.25">
      <c r="A150" s="1026"/>
      <c r="B150" s="1026"/>
      <c r="C150" s="1026"/>
      <c r="D150" s="863" t="s">
        <v>1433</v>
      </c>
      <c r="E150" s="1026"/>
      <c r="F150" s="1026"/>
      <c r="G150" s="1026"/>
      <c r="H150" s="1026"/>
      <c r="I150" s="1026"/>
      <c r="J150" s="1026"/>
      <c r="K150" s="1028"/>
      <c r="L150" s="1026"/>
      <c r="M150" s="1026"/>
      <c r="N150" s="1026"/>
      <c r="O150" s="1028"/>
      <c r="P150" s="1026"/>
      <c r="Q150" s="829"/>
      <c r="R150" s="1023"/>
    </row>
    <row r="151" spans="1:18" s="820" customFormat="1" ht="409.6" thickTop="1" x14ac:dyDescent="0.65">
      <c r="A151" s="1024" t="s">
        <v>1437</v>
      </c>
      <c r="B151" s="1024" t="s">
        <v>1438</v>
      </c>
      <c r="C151" s="1024" t="s">
        <v>52</v>
      </c>
      <c r="D151" s="862" t="s">
        <v>1434</v>
      </c>
      <c r="E151" s="1016">
        <f t="shared" ref="E151" si="145">F151</f>
        <v>0</v>
      </c>
      <c r="F151" s="1016"/>
      <c r="G151" s="1016"/>
      <c r="H151" s="1016"/>
      <c r="I151" s="1016"/>
      <c r="J151" s="1016">
        <f t="shared" ref="J151" si="146">L151+O151</f>
        <v>2429312</v>
      </c>
      <c r="K151" s="1019">
        <v>2429312</v>
      </c>
      <c r="L151" s="1016"/>
      <c r="M151" s="1016"/>
      <c r="N151" s="1016"/>
      <c r="O151" s="1019">
        <f t="shared" ref="O151" si="147">K151</f>
        <v>2429312</v>
      </c>
      <c r="P151" s="1016">
        <f t="shared" ref="P151" si="148">E151+J151</f>
        <v>2429312</v>
      </c>
      <c r="Q151" s="829"/>
      <c r="R151" s="1022" t="b">
        <f>K151='d6'!J135</f>
        <v>1</v>
      </c>
    </row>
    <row r="152" spans="1:18" s="820" customFormat="1" ht="352.5" customHeight="1" x14ac:dyDescent="0.2">
      <c r="A152" s="1025"/>
      <c r="B152" s="1025"/>
      <c r="C152" s="1025"/>
      <c r="D152" s="861" t="s">
        <v>1435</v>
      </c>
      <c r="E152" s="1025"/>
      <c r="F152" s="1025"/>
      <c r="G152" s="1025"/>
      <c r="H152" s="1025"/>
      <c r="I152" s="1025"/>
      <c r="J152" s="1017"/>
      <c r="K152" s="1020"/>
      <c r="L152" s="1017"/>
      <c r="M152" s="1017"/>
      <c r="N152" s="1017"/>
      <c r="O152" s="1020"/>
      <c r="P152" s="1017"/>
      <c r="Q152" s="829"/>
      <c r="R152" s="1023"/>
    </row>
    <row r="153" spans="1:18" s="820" customFormat="1" ht="92.25" thickBot="1" x14ac:dyDescent="0.25">
      <c r="A153" s="1026"/>
      <c r="B153" s="1026"/>
      <c r="C153" s="1026"/>
      <c r="D153" s="863" t="s">
        <v>1436</v>
      </c>
      <c r="E153" s="1026"/>
      <c r="F153" s="1026"/>
      <c r="G153" s="1026"/>
      <c r="H153" s="1026"/>
      <c r="I153" s="1026"/>
      <c r="J153" s="1018"/>
      <c r="K153" s="1021"/>
      <c r="L153" s="1018"/>
      <c r="M153" s="1018"/>
      <c r="N153" s="1018"/>
      <c r="O153" s="1021"/>
      <c r="P153" s="1018"/>
      <c r="Q153" s="829"/>
      <c r="R153" s="1023"/>
    </row>
    <row r="154" spans="1:18" s="39" customFormat="1" ht="48" thickTop="1" thickBot="1" x14ac:dyDescent="0.25">
      <c r="A154" s="445" t="s">
        <v>898</v>
      </c>
      <c r="B154" s="445" t="s">
        <v>899</v>
      </c>
      <c r="C154" s="445"/>
      <c r="D154" s="445" t="s">
        <v>900</v>
      </c>
      <c r="E154" s="446">
        <f>SUM(E155:E156)</f>
        <v>38565635</v>
      </c>
      <c r="F154" s="446">
        <f t="shared" ref="F154:P154" si="149">SUM(F155:F156)</f>
        <v>38565635</v>
      </c>
      <c r="G154" s="446">
        <f t="shared" si="149"/>
        <v>4212615</v>
      </c>
      <c r="H154" s="446">
        <f t="shared" si="149"/>
        <v>426527</v>
      </c>
      <c r="I154" s="446">
        <f t="shared" si="149"/>
        <v>0</v>
      </c>
      <c r="J154" s="367">
        <f t="shared" si="149"/>
        <v>865250</v>
      </c>
      <c r="K154" s="367">
        <f t="shared" si="149"/>
        <v>720250</v>
      </c>
      <c r="L154" s="367">
        <f t="shared" si="149"/>
        <v>145000</v>
      </c>
      <c r="M154" s="367">
        <f t="shared" si="149"/>
        <v>4000</v>
      </c>
      <c r="N154" s="367">
        <f t="shared" si="149"/>
        <v>134000</v>
      </c>
      <c r="O154" s="367">
        <f t="shared" si="149"/>
        <v>720250</v>
      </c>
      <c r="P154" s="367">
        <f t="shared" si="149"/>
        <v>39430885</v>
      </c>
      <c r="Q154" s="194"/>
      <c r="R154" s="447"/>
    </row>
    <row r="155" spans="1:18" ht="184.5" thickTop="1" thickBot="1" x14ac:dyDescent="0.25">
      <c r="A155" s="279" t="s">
        <v>352</v>
      </c>
      <c r="B155" s="279" t="s">
        <v>354</v>
      </c>
      <c r="C155" s="279" t="s">
        <v>209</v>
      </c>
      <c r="D155" s="337" t="s">
        <v>356</v>
      </c>
      <c r="E155" s="331">
        <f t="shared" si="122"/>
        <v>7334512</v>
      </c>
      <c r="F155" s="323">
        <f>19000+37200-32000-8000-120000-430000+(9000+5940+6350+((8173362-388340)+17000+45000))</f>
        <v>7334512</v>
      </c>
      <c r="G155" s="170">
        <f>-32000+(1948670+2295945)</f>
        <v>4212615</v>
      </c>
      <c r="H155" s="170">
        <f>19000+37200-120000+(245557+131600+6000+27000+40000+39000+1170)</f>
        <v>426527</v>
      </c>
      <c r="I155" s="323"/>
      <c r="J155" s="822">
        <f t="shared" ref="J155:J167" si="150">L155+O155</f>
        <v>631340</v>
      </c>
      <c r="K155" s="313">
        <f>98000+((72894+138259+40788+136399))</f>
        <v>486340</v>
      </c>
      <c r="L155" s="313">
        <f>(4000+900+6100+23000+65000+45000+1000)</f>
        <v>145000</v>
      </c>
      <c r="M155" s="313">
        <v>4000</v>
      </c>
      <c r="N155" s="313">
        <f>(23000+65000+45000+1000)</f>
        <v>134000</v>
      </c>
      <c r="O155" s="849">
        <f t="shared" ref="O155:O167" si="151">K155</f>
        <v>486340</v>
      </c>
      <c r="P155" s="822">
        <f t="shared" ref="P155:P167" si="152">E155+J155</f>
        <v>7965852</v>
      </c>
      <c r="R155" s="238" t="b">
        <f>K155='d6'!J138+'d6'!J139</f>
        <v>1</v>
      </c>
    </row>
    <row r="156" spans="1:18" ht="138.75" thickTop="1" thickBot="1" x14ac:dyDescent="0.25">
      <c r="A156" s="279" t="s">
        <v>353</v>
      </c>
      <c r="B156" s="279" t="s">
        <v>355</v>
      </c>
      <c r="C156" s="279" t="s">
        <v>209</v>
      </c>
      <c r="D156" s="337" t="s">
        <v>357</v>
      </c>
      <c r="E156" s="322">
        <f t="shared" si="122"/>
        <v>31231123</v>
      </c>
      <c r="F156" s="323">
        <f>1000000+(2000000+400000+52000+((27403151)+44000+81972+200000+50000))</f>
        <v>31231123</v>
      </c>
      <c r="G156" s="323"/>
      <c r="H156" s="323"/>
      <c r="I156" s="323"/>
      <c r="J156" s="822">
        <f t="shared" si="150"/>
        <v>233910</v>
      </c>
      <c r="K156" s="313">
        <f>(150000)+83910</f>
        <v>233910</v>
      </c>
      <c r="L156" s="313"/>
      <c r="M156" s="313"/>
      <c r="N156" s="313"/>
      <c r="O156" s="849">
        <f t="shared" si="151"/>
        <v>233910</v>
      </c>
      <c r="P156" s="822">
        <f t="shared" si="152"/>
        <v>31465033</v>
      </c>
      <c r="R156" s="238" t="b">
        <f>K156='d6'!J140+'d6'!J141</f>
        <v>1</v>
      </c>
    </row>
    <row r="157" spans="1:18" s="388" customFormat="1" ht="91.5" thickTop="1" thickBot="1" x14ac:dyDescent="0.25">
      <c r="A157" s="173" t="s">
        <v>901</v>
      </c>
      <c r="B157" s="173" t="s">
        <v>902</v>
      </c>
      <c r="C157" s="173"/>
      <c r="D157" s="449" t="s">
        <v>903</v>
      </c>
      <c r="E157" s="391">
        <f>SUM(E158)</f>
        <v>0</v>
      </c>
      <c r="F157" s="391">
        <f t="shared" ref="F157:P157" si="153">SUM(F158)</f>
        <v>0</v>
      </c>
      <c r="G157" s="391">
        <f t="shared" si="153"/>
        <v>0</v>
      </c>
      <c r="H157" s="391">
        <f t="shared" si="153"/>
        <v>0</v>
      </c>
      <c r="I157" s="391">
        <f t="shared" si="153"/>
        <v>0</v>
      </c>
      <c r="J157" s="822">
        <f>SUM(J158)</f>
        <v>7577034</v>
      </c>
      <c r="K157" s="822">
        <f t="shared" si="153"/>
        <v>7577034</v>
      </c>
      <c r="L157" s="822">
        <f t="shared" si="153"/>
        <v>0</v>
      </c>
      <c r="M157" s="822">
        <f t="shared" si="153"/>
        <v>0</v>
      </c>
      <c r="N157" s="822">
        <f t="shared" si="153"/>
        <v>0</v>
      </c>
      <c r="O157" s="822">
        <f t="shared" si="153"/>
        <v>7577034</v>
      </c>
      <c r="P157" s="822">
        <f t="shared" si="153"/>
        <v>7577034</v>
      </c>
      <c r="Q157" s="393"/>
      <c r="R157" s="238"/>
    </row>
    <row r="158" spans="1:18" s="39" customFormat="1" ht="93" thickTop="1" thickBot="1" x14ac:dyDescent="0.25">
      <c r="A158" s="445" t="s">
        <v>904</v>
      </c>
      <c r="B158" s="445" t="s">
        <v>905</v>
      </c>
      <c r="C158" s="445"/>
      <c r="D158" s="451" t="s">
        <v>906</v>
      </c>
      <c r="E158" s="446">
        <f>SUM(E159:E160)</f>
        <v>0</v>
      </c>
      <c r="F158" s="446">
        <f>SUM(F159:F160)</f>
        <v>0</v>
      </c>
      <c r="G158" s="446">
        <f>SUM(G159:G160)</f>
        <v>0</v>
      </c>
      <c r="H158" s="446">
        <f>SUM(H159:H160)</f>
        <v>0</v>
      </c>
      <c r="I158" s="446">
        <f>SUM(I159:I160)</f>
        <v>0</v>
      </c>
      <c r="J158" s="367">
        <f t="shared" ref="J158:O158" si="154">SUM(J159:J160)</f>
        <v>7577034</v>
      </c>
      <c r="K158" s="367">
        <f t="shared" si="154"/>
        <v>7577034</v>
      </c>
      <c r="L158" s="367">
        <f t="shared" si="154"/>
        <v>0</v>
      </c>
      <c r="M158" s="367">
        <f t="shared" si="154"/>
        <v>0</v>
      </c>
      <c r="N158" s="367">
        <f t="shared" si="154"/>
        <v>0</v>
      </c>
      <c r="O158" s="367">
        <f t="shared" si="154"/>
        <v>7577034</v>
      </c>
      <c r="P158" s="367">
        <f>SUM(P159:P160)</f>
        <v>7577034</v>
      </c>
      <c r="Q158" s="194"/>
      <c r="R158" s="453"/>
    </row>
    <row r="159" spans="1:18" ht="138.75" thickTop="1" thickBot="1" x14ac:dyDescent="0.25">
      <c r="A159" s="279" t="s">
        <v>393</v>
      </c>
      <c r="B159" s="279" t="s">
        <v>391</v>
      </c>
      <c r="C159" s="279" t="s">
        <v>365</v>
      </c>
      <c r="D159" s="337" t="s">
        <v>392</v>
      </c>
      <c r="E159" s="322">
        <f t="shared" si="122"/>
        <v>0</v>
      </c>
      <c r="F159" s="323"/>
      <c r="G159" s="323"/>
      <c r="H159" s="323"/>
      <c r="I159" s="323"/>
      <c r="J159" s="822">
        <f t="shared" si="150"/>
        <v>4000000</v>
      </c>
      <c r="K159" s="313">
        <v>4000000</v>
      </c>
      <c r="L159" s="313"/>
      <c r="M159" s="313"/>
      <c r="N159" s="313"/>
      <c r="O159" s="849">
        <f t="shared" si="151"/>
        <v>4000000</v>
      </c>
      <c r="P159" s="822">
        <f t="shared" si="152"/>
        <v>4000000</v>
      </c>
      <c r="R159" s="238" t="b">
        <f>K159='d6'!J142</f>
        <v>1</v>
      </c>
    </row>
    <row r="160" spans="1:18" s="820" customFormat="1" ht="409.6" thickTop="1" thickBot="1" x14ac:dyDescent="0.25">
      <c r="A160" s="826" t="s">
        <v>1439</v>
      </c>
      <c r="B160" s="826" t="s">
        <v>1440</v>
      </c>
      <c r="C160" s="826" t="s">
        <v>365</v>
      </c>
      <c r="D160" s="337" t="s">
        <v>1441</v>
      </c>
      <c r="E160" s="824">
        <f t="shared" si="122"/>
        <v>0</v>
      </c>
      <c r="F160" s="323"/>
      <c r="G160" s="323"/>
      <c r="H160" s="323"/>
      <c r="I160" s="323"/>
      <c r="J160" s="822">
        <f t="shared" si="150"/>
        <v>3577034</v>
      </c>
      <c r="K160" s="313">
        <v>3577034</v>
      </c>
      <c r="L160" s="313"/>
      <c r="M160" s="313"/>
      <c r="N160" s="313"/>
      <c r="O160" s="849">
        <f t="shared" si="151"/>
        <v>3577034</v>
      </c>
      <c r="P160" s="822">
        <f t="shared" si="152"/>
        <v>3577034</v>
      </c>
      <c r="Q160" s="829"/>
      <c r="R160" s="238" t="b">
        <f>K160='d6'!J143</f>
        <v>1</v>
      </c>
    </row>
    <row r="161" spans="1:18" s="388" customFormat="1" ht="47.25" thickTop="1" thickBot="1" x14ac:dyDescent="0.25">
      <c r="A161" s="455" t="s">
        <v>911</v>
      </c>
      <c r="B161" s="454" t="s">
        <v>908</v>
      </c>
      <c r="C161" s="454"/>
      <c r="D161" s="454" t="s">
        <v>909</v>
      </c>
      <c r="E161" s="391">
        <f t="shared" ref="E161:P161" si="155">E165+E162</f>
        <v>0</v>
      </c>
      <c r="F161" s="587">
        <f t="shared" si="155"/>
        <v>0</v>
      </c>
      <c r="G161" s="587">
        <f t="shared" si="155"/>
        <v>0</v>
      </c>
      <c r="H161" s="587">
        <f t="shared" si="155"/>
        <v>0</v>
      </c>
      <c r="I161" s="587">
        <f t="shared" si="155"/>
        <v>0</v>
      </c>
      <c r="J161" s="844">
        <f t="shared" si="155"/>
        <v>542000</v>
      </c>
      <c r="K161" s="844">
        <f t="shared" si="155"/>
        <v>220000</v>
      </c>
      <c r="L161" s="844">
        <f t="shared" si="155"/>
        <v>322000</v>
      </c>
      <c r="M161" s="844">
        <f t="shared" si="155"/>
        <v>0</v>
      </c>
      <c r="N161" s="844">
        <f t="shared" si="155"/>
        <v>0</v>
      </c>
      <c r="O161" s="844">
        <f t="shared" si="155"/>
        <v>220000</v>
      </c>
      <c r="P161" s="844">
        <f t="shared" si="155"/>
        <v>542000</v>
      </c>
      <c r="Q161" s="393"/>
      <c r="R161" s="238"/>
    </row>
    <row r="162" spans="1:18" s="584" customFormat="1" ht="91.5" thickTop="1" thickBot="1" x14ac:dyDescent="0.25">
      <c r="A162" s="404" t="s">
        <v>1146</v>
      </c>
      <c r="B162" s="405" t="s">
        <v>964</v>
      </c>
      <c r="C162" s="405"/>
      <c r="D162" s="405" t="s">
        <v>965</v>
      </c>
      <c r="E162" s="448">
        <f>E163</f>
        <v>0</v>
      </c>
      <c r="F162" s="448">
        <f t="shared" ref="F162:P166" si="156">F163</f>
        <v>0</v>
      </c>
      <c r="G162" s="448">
        <f t="shared" si="156"/>
        <v>0</v>
      </c>
      <c r="H162" s="448">
        <f t="shared" si="156"/>
        <v>0</v>
      </c>
      <c r="I162" s="448">
        <f t="shared" si="156"/>
        <v>0</v>
      </c>
      <c r="J162" s="366">
        <f t="shared" si="156"/>
        <v>220000</v>
      </c>
      <c r="K162" s="366">
        <f t="shared" si="156"/>
        <v>220000</v>
      </c>
      <c r="L162" s="366">
        <f t="shared" si="156"/>
        <v>0</v>
      </c>
      <c r="M162" s="366">
        <f t="shared" si="156"/>
        <v>0</v>
      </c>
      <c r="N162" s="366">
        <f t="shared" si="156"/>
        <v>0</v>
      </c>
      <c r="O162" s="366">
        <f t="shared" si="156"/>
        <v>220000</v>
      </c>
      <c r="P162" s="366">
        <f t="shared" si="156"/>
        <v>220000</v>
      </c>
      <c r="Q162" s="594"/>
      <c r="R162" s="238"/>
    </row>
    <row r="163" spans="1:18" s="584" customFormat="1" ht="146.25" thickTop="1" thickBot="1" x14ac:dyDescent="0.25">
      <c r="A163" s="365" t="s">
        <v>1142</v>
      </c>
      <c r="B163" s="365" t="s">
        <v>983</v>
      </c>
      <c r="C163" s="365"/>
      <c r="D163" s="365" t="s">
        <v>984</v>
      </c>
      <c r="E163" s="367">
        <f>E164</f>
        <v>0</v>
      </c>
      <c r="F163" s="367">
        <f t="shared" si="156"/>
        <v>0</v>
      </c>
      <c r="G163" s="367">
        <f t="shared" si="156"/>
        <v>0</v>
      </c>
      <c r="H163" s="367">
        <f t="shared" si="156"/>
        <v>0</v>
      </c>
      <c r="I163" s="367">
        <f t="shared" si="156"/>
        <v>0</v>
      </c>
      <c r="J163" s="367">
        <f t="shared" si="156"/>
        <v>220000</v>
      </c>
      <c r="K163" s="367">
        <f t="shared" si="156"/>
        <v>220000</v>
      </c>
      <c r="L163" s="367">
        <f t="shared" si="156"/>
        <v>0</v>
      </c>
      <c r="M163" s="367">
        <f t="shared" si="156"/>
        <v>0</v>
      </c>
      <c r="N163" s="367">
        <f t="shared" si="156"/>
        <v>0</v>
      </c>
      <c r="O163" s="367">
        <f t="shared" si="156"/>
        <v>220000</v>
      </c>
      <c r="P163" s="367">
        <f t="shared" si="156"/>
        <v>220000</v>
      </c>
      <c r="Q163" s="594"/>
      <c r="R163" s="238"/>
    </row>
    <row r="164" spans="1:18" s="584" customFormat="1" ht="99.75" thickTop="1" thickBot="1" x14ac:dyDescent="0.25">
      <c r="A164" s="588" t="s">
        <v>1143</v>
      </c>
      <c r="B164" s="588" t="s">
        <v>1144</v>
      </c>
      <c r="C164" s="588" t="s">
        <v>323</v>
      </c>
      <c r="D164" s="588" t="s">
        <v>1145</v>
      </c>
      <c r="E164" s="589">
        <f>E165</f>
        <v>0</v>
      </c>
      <c r="F164" s="313"/>
      <c r="G164" s="313"/>
      <c r="H164" s="313"/>
      <c r="I164" s="313"/>
      <c r="J164" s="844">
        <f>L164+O164</f>
        <v>220000</v>
      </c>
      <c r="K164" s="313">
        <f>180000+40000</f>
        <v>220000</v>
      </c>
      <c r="L164" s="313"/>
      <c r="M164" s="313"/>
      <c r="N164" s="313"/>
      <c r="O164" s="849">
        <f>K164</f>
        <v>220000</v>
      </c>
      <c r="P164" s="844">
        <f>E164+J164</f>
        <v>220000</v>
      </c>
      <c r="Q164" s="594"/>
      <c r="R164" s="238" t="b">
        <f>K164='d6'!J144</f>
        <v>1</v>
      </c>
    </row>
    <row r="165" spans="1:18" s="388" customFormat="1" ht="136.5" thickTop="1" thickBot="1" x14ac:dyDescent="0.25">
      <c r="A165" s="404" t="s">
        <v>913</v>
      </c>
      <c r="B165" s="405" t="s">
        <v>850</v>
      </c>
      <c r="C165" s="405"/>
      <c r="D165" s="405" t="s">
        <v>848</v>
      </c>
      <c r="E165" s="448">
        <f>E166</f>
        <v>0</v>
      </c>
      <c r="F165" s="448">
        <f t="shared" si="156"/>
        <v>0</v>
      </c>
      <c r="G165" s="448">
        <f t="shared" si="156"/>
        <v>0</v>
      </c>
      <c r="H165" s="448">
        <f t="shared" si="156"/>
        <v>0</v>
      </c>
      <c r="I165" s="448">
        <f t="shared" si="156"/>
        <v>0</v>
      </c>
      <c r="J165" s="366">
        <f t="shared" si="156"/>
        <v>322000</v>
      </c>
      <c r="K165" s="366">
        <f t="shared" si="156"/>
        <v>0</v>
      </c>
      <c r="L165" s="366">
        <f t="shared" si="156"/>
        <v>322000</v>
      </c>
      <c r="M165" s="366">
        <f t="shared" si="156"/>
        <v>0</v>
      </c>
      <c r="N165" s="366">
        <f t="shared" si="156"/>
        <v>0</v>
      </c>
      <c r="O165" s="366">
        <f t="shared" si="156"/>
        <v>0</v>
      </c>
      <c r="P165" s="366">
        <f t="shared" si="156"/>
        <v>322000</v>
      </c>
      <c r="Q165" s="393"/>
      <c r="R165" s="238"/>
    </row>
    <row r="166" spans="1:18" s="388" customFormat="1" ht="48" thickTop="1" thickBot="1" x14ac:dyDescent="0.25">
      <c r="A166" s="403" t="s">
        <v>912</v>
      </c>
      <c r="B166" s="403" t="s">
        <v>853</v>
      </c>
      <c r="C166" s="403"/>
      <c r="D166" s="451" t="s">
        <v>851</v>
      </c>
      <c r="E166" s="446">
        <f>E167</f>
        <v>0</v>
      </c>
      <c r="F166" s="446">
        <f t="shared" si="156"/>
        <v>0</v>
      </c>
      <c r="G166" s="446">
        <f t="shared" si="156"/>
        <v>0</v>
      </c>
      <c r="H166" s="446">
        <f t="shared" si="156"/>
        <v>0</v>
      </c>
      <c r="I166" s="446">
        <f t="shared" si="156"/>
        <v>0</v>
      </c>
      <c r="J166" s="367">
        <f t="shared" si="156"/>
        <v>322000</v>
      </c>
      <c r="K166" s="367">
        <f t="shared" si="156"/>
        <v>0</v>
      </c>
      <c r="L166" s="367">
        <f t="shared" si="156"/>
        <v>322000</v>
      </c>
      <c r="M166" s="367">
        <f t="shared" si="156"/>
        <v>0</v>
      </c>
      <c r="N166" s="367">
        <f t="shared" si="156"/>
        <v>0</v>
      </c>
      <c r="O166" s="367">
        <f t="shared" si="156"/>
        <v>0</v>
      </c>
      <c r="P166" s="367">
        <f t="shared" si="156"/>
        <v>322000</v>
      </c>
      <c r="Q166" s="393"/>
      <c r="R166" s="238"/>
    </row>
    <row r="167" spans="1:18" ht="409.6" thickTop="1" thickBot="1" x14ac:dyDescent="0.7">
      <c r="A167" s="1048" t="s">
        <v>451</v>
      </c>
      <c r="B167" s="1048" t="s">
        <v>363</v>
      </c>
      <c r="C167" s="1048" t="s">
        <v>184</v>
      </c>
      <c r="D167" s="326" t="s">
        <v>473</v>
      </c>
      <c r="E167" s="1058">
        <f t="shared" si="122"/>
        <v>0</v>
      </c>
      <c r="F167" s="1055"/>
      <c r="G167" s="1055"/>
      <c r="H167" s="1055"/>
      <c r="I167" s="1055"/>
      <c r="J167" s="1038">
        <f t="shared" si="150"/>
        <v>322000</v>
      </c>
      <c r="K167" s="1039"/>
      <c r="L167" s="1039">
        <v>322000</v>
      </c>
      <c r="M167" s="1039"/>
      <c r="N167" s="1039"/>
      <c r="O167" s="1041">
        <f t="shared" si="151"/>
        <v>0</v>
      </c>
      <c r="P167" s="1032">
        <f t="shared" si="152"/>
        <v>322000</v>
      </c>
      <c r="R167" s="198"/>
    </row>
    <row r="168" spans="1:18" ht="184.5" thickTop="1" thickBot="1" x14ac:dyDescent="0.25">
      <c r="A168" s="1049"/>
      <c r="B168" s="1050"/>
      <c r="C168" s="1049"/>
      <c r="D168" s="329" t="s">
        <v>474</v>
      </c>
      <c r="E168" s="1049"/>
      <c r="F168" s="1056"/>
      <c r="G168" s="1056"/>
      <c r="H168" s="1056"/>
      <c r="I168" s="1056"/>
      <c r="J168" s="1047"/>
      <c r="K168" s="1047"/>
      <c r="L168" s="1052"/>
      <c r="M168" s="1052"/>
      <c r="N168" s="1052"/>
      <c r="O168" s="1053"/>
      <c r="P168" s="1054"/>
      <c r="R168" s="198"/>
    </row>
    <row r="169" spans="1:18" ht="181.5" thickTop="1" thickBot="1" x14ac:dyDescent="0.25">
      <c r="A169" s="853">
        <v>1000000</v>
      </c>
      <c r="B169" s="853"/>
      <c r="C169" s="853"/>
      <c r="D169" s="854" t="s">
        <v>24</v>
      </c>
      <c r="E169" s="855">
        <f>E170</f>
        <v>127138658</v>
      </c>
      <c r="F169" s="856">
        <f t="shared" ref="F169:G169" si="157">F170</f>
        <v>127138658</v>
      </c>
      <c r="G169" s="856">
        <f t="shared" si="157"/>
        <v>90762390</v>
      </c>
      <c r="H169" s="856">
        <f>H170</f>
        <v>5079046</v>
      </c>
      <c r="I169" s="856">
        <f>I170</f>
        <v>0</v>
      </c>
      <c r="J169" s="855">
        <f>J170</f>
        <v>17247025</v>
      </c>
      <c r="K169" s="856">
        <f>K170</f>
        <v>7416625</v>
      </c>
      <c r="L169" s="856">
        <f>L170</f>
        <v>9724400</v>
      </c>
      <c r="M169" s="856">
        <f t="shared" ref="M169" si="158">M170</f>
        <v>7345900</v>
      </c>
      <c r="N169" s="856">
        <f>N170</f>
        <v>257400</v>
      </c>
      <c r="O169" s="855">
        <f>O170</f>
        <v>7522625</v>
      </c>
      <c r="P169" s="856">
        <f t="shared" ref="P169" si="159">P170</f>
        <v>144385683</v>
      </c>
    </row>
    <row r="170" spans="1:18" ht="181.5" thickTop="1" thickBot="1" x14ac:dyDescent="0.25">
      <c r="A170" s="857">
        <v>1010000</v>
      </c>
      <c r="B170" s="857"/>
      <c r="C170" s="857"/>
      <c r="D170" s="858" t="s">
        <v>41</v>
      </c>
      <c r="E170" s="859">
        <f>E171+E173+E186+E181</f>
        <v>127138658</v>
      </c>
      <c r="F170" s="859">
        <f>F171+F173+F186+F181</f>
        <v>127138658</v>
      </c>
      <c r="G170" s="859">
        <f>G171+G173+G186+G181</f>
        <v>90762390</v>
      </c>
      <c r="H170" s="859">
        <f>H171+H173+H186+H181</f>
        <v>5079046</v>
      </c>
      <c r="I170" s="859">
        <f>I171+I173+I186+I181</f>
        <v>0</v>
      </c>
      <c r="J170" s="859">
        <f t="shared" ref="J170:J180" si="160">L170+O170</f>
        <v>17247025</v>
      </c>
      <c r="K170" s="859">
        <f>K171+K173+K186+K181</f>
        <v>7416625</v>
      </c>
      <c r="L170" s="859">
        <f>L171+L173+L186+L181</f>
        <v>9724400</v>
      </c>
      <c r="M170" s="859">
        <f>M171+M173+M186+M181</f>
        <v>7345900</v>
      </c>
      <c r="N170" s="859">
        <f>N171+N173+N186+N181</f>
        <v>257400</v>
      </c>
      <c r="O170" s="859">
        <f>O171+O173+O186+O181</f>
        <v>7522625</v>
      </c>
      <c r="P170" s="859">
        <f t="shared" ref="P170:P180" si="161">E170+J170</f>
        <v>144385683</v>
      </c>
      <c r="Q170" s="125" t="b">
        <f>P170=P172+P174+P175+P176+P177+P179+P180+P188+P185+P184</f>
        <v>1</v>
      </c>
      <c r="R170" s="238" t="b">
        <f>K170='d6'!J145</f>
        <v>1</v>
      </c>
    </row>
    <row r="171" spans="1:18" s="388" customFormat="1" ht="47.25" thickTop="1" thickBot="1" x14ac:dyDescent="0.25">
      <c r="A171" s="455" t="s">
        <v>914</v>
      </c>
      <c r="B171" s="455" t="s">
        <v>867</v>
      </c>
      <c r="C171" s="455"/>
      <c r="D171" s="455" t="s">
        <v>868</v>
      </c>
      <c r="E171" s="389">
        <f>E172</f>
        <v>70087686</v>
      </c>
      <c r="F171" s="389">
        <f t="shared" ref="F171:P171" si="162">F172</f>
        <v>70087686</v>
      </c>
      <c r="G171" s="389">
        <f t="shared" si="162"/>
        <v>54485440</v>
      </c>
      <c r="H171" s="389">
        <f t="shared" si="162"/>
        <v>2968576</v>
      </c>
      <c r="I171" s="389">
        <f t="shared" si="162"/>
        <v>0</v>
      </c>
      <c r="J171" s="844">
        <f t="shared" si="162"/>
        <v>10111100</v>
      </c>
      <c r="K171" s="844">
        <f t="shared" si="162"/>
        <v>1049000</v>
      </c>
      <c r="L171" s="844">
        <f t="shared" si="162"/>
        <v>9029100</v>
      </c>
      <c r="M171" s="844">
        <f t="shared" si="162"/>
        <v>6977500</v>
      </c>
      <c r="N171" s="844">
        <f t="shared" si="162"/>
        <v>190100</v>
      </c>
      <c r="O171" s="844">
        <f t="shared" si="162"/>
        <v>1082000</v>
      </c>
      <c r="P171" s="844">
        <f t="shared" si="162"/>
        <v>80198786</v>
      </c>
      <c r="Q171" s="125"/>
      <c r="R171" s="238"/>
    </row>
    <row r="172" spans="1:18" ht="93" thickTop="1" thickBot="1" x14ac:dyDescent="0.25">
      <c r="A172" s="332" t="s">
        <v>794</v>
      </c>
      <c r="B172" s="332" t="s">
        <v>795</v>
      </c>
      <c r="C172" s="332" t="s">
        <v>199</v>
      </c>
      <c r="D172" s="332" t="s">
        <v>546</v>
      </c>
      <c r="E172" s="331">
        <f>F172</f>
        <v>70087686</v>
      </c>
      <c r="F172" s="313">
        <f>263830+35000+265500+20000+135000+(320540+76800+1220+13+198+(54164900+11916270+176295+394855+51550+1849900+30235+235500+100600+31580+17900))</f>
        <v>70087686</v>
      </c>
      <c r="G172" s="313">
        <f>(54164900)+320540</f>
        <v>54485440</v>
      </c>
      <c r="H172" s="313">
        <f>719330+(1849900+30235+235500+100600+31580)+1220+13+198</f>
        <v>2968576</v>
      </c>
      <c r="I172" s="313"/>
      <c r="J172" s="844">
        <f t="shared" si="160"/>
        <v>10111100</v>
      </c>
      <c r="K172" s="313">
        <f>(1000000)+49000</f>
        <v>1049000</v>
      </c>
      <c r="L172" s="313">
        <f>(6977500+1530200+218650+101550+5500+190100+4000+1600)</f>
        <v>9029100</v>
      </c>
      <c r="M172" s="313">
        <v>6977500</v>
      </c>
      <c r="N172" s="313">
        <f>(160400+4900+18800+6000)</f>
        <v>190100</v>
      </c>
      <c r="O172" s="849">
        <f>K172+33000</f>
        <v>1082000</v>
      </c>
      <c r="P172" s="844">
        <f t="shared" si="161"/>
        <v>80198786</v>
      </c>
      <c r="R172" s="238" t="b">
        <f>K172='d6'!J148+'d6'!J147</f>
        <v>1</v>
      </c>
    </row>
    <row r="173" spans="1:18" s="2" customFormat="1" ht="47.25" thickTop="1" thickBot="1" x14ac:dyDescent="0.25">
      <c r="A173" s="455" t="s">
        <v>915</v>
      </c>
      <c r="B173" s="455" t="s">
        <v>916</v>
      </c>
      <c r="C173" s="455"/>
      <c r="D173" s="455" t="s">
        <v>917</v>
      </c>
      <c r="E173" s="389">
        <f>SUM(E174:E180)-E178</f>
        <v>56248695</v>
      </c>
      <c r="F173" s="389">
        <f t="shared" ref="F173:P173" si="163">SUM(F174:F180)-F178</f>
        <v>56248695</v>
      </c>
      <c r="G173" s="389">
        <f t="shared" si="163"/>
        <v>36276950</v>
      </c>
      <c r="H173" s="389">
        <f t="shared" si="163"/>
        <v>2110470</v>
      </c>
      <c r="I173" s="389">
        <f t="shared" si="163"/>
        <v>0</v>
      </c>
      <c r="J173" s="844">
        <f t="shared" si="163"/>
        <v>7065925</v>
      </c>
      <c r="K173" s="844">
        <f t="shared" si="163"/>
        <v>6297625</v>
      </c>
      <c r="L173" s="844">
        <f t="shared" si="163"/>
        <v>695300</v>
      </c>
      <c r="M173" s="844">
        <f t="shared" si="163"/>
        <v>368400</v>
      </c>
      <c r="N173" s="844">
        <f t="shared" si="163"/>
        <v>67300</v>
      </c>
      <c r="O173" s="844">
        <f t="shared" si="163"/>
        <v>6370625</v>
      </c>
      <c r="P173" s="844">
        <f t="shared" si="163"/>
        <v>63314620</v>
      </c>
      <c r="Q173" s="190"/>
      <c r="R173" s="198"/>
    </row>
    <row r="174" spans="1:18" ht="48" thickTop="1" thickBot="1" x14ac:dyDescent="0.25">
      <c r="A174" s="332" t="s">
        <v>185</v>
      </c>
      <c r="B174" s="332" t="s">
        <v>186</v>
      </c>
      <c r="C174" s="332" t="s">
        <v>188</v>
      </c>
      <c r="D174" s="332" t="s">
        <v>189</v>
      </c>
      <c r="E174" s="331">
        <f t="shared" ref="E174:E177" si="164">F174</f>
        <v>1030790</v>
      </c>
      <c r="F174" s="313">
        <f>(964300)+66490</f>
        <v>1030790</v>
      </c>
      <c r="G174" s="313"/>
      <c r="H174" s="313"/>
      <c r="I174" s="313"/>
      <c r="J174" s="844">
        <f t="shared" si="160"/>
        <v>0</v>
      </c>
      <c r="K174" s="313"/>
      <c r="L174" s="313"/>
      <c r="M174" s="313"/>
      <c r="N174" s="313"/>
      <c r="O174" s="849">
        <f t="shared" ref="O174:O180" si="165">K174</f>
        <v>0</v>
      </c>
      <c r="P174" s="844">
        <f t="shared" si="161"/>
        <v>1030790</v>
      </c>
      <c r="R174" s="198"/>
    </row>
    <row r="175" spans="1:18" ht="93" thickTop="1" thickBot="1" x14ac:dyDescent="0.25">
      <c r="A175" s="332" t="s">
        <v>190</v>
      </c>
      <c r="B175" s="332" t="s">
        <v>191</v>
      </c>
      <c r="C175" s="332" t="s">
        <v>192</v>
      </c>
      <c r="D175" s="332" t="s">
        <v>193</v>
      </c>
      <c r="E175" s="331">
        <f t="shared" si="164"/>
        <v>13982025</v>
      </c>
      <c r="F175" s="313">
        <f>176130+(49500+((10344300+2275745+143250+311400+5000+399000+9000+108420+19500+19280+56000+55000)+10500))</f>
        <v>13982025</v>
      </c>
      <c r="G175" s="313">
        <v>10344300</v>
      </c>
      <c r="H175" s="313">
        <f>178030-1300+1000-1600+(399000+9000+108420+19500+19280)</f>
        <v>731330</v>
      </c>
      <c r="I175" s="313"/>
      <c r="J175" s="844">
        <f t="shared" si="160"/>
        <v>1050000</v>
      </c>
      <c r="K175" s="313">
        <f>(10000+84000+28000+67000)+766000</f>
        <v>955000</v>
      </c>
      <c r="L175" s="313">
        <f>(15600+4400+29500+26200+19000+300)</f>
        <v>95000</v>
      </c>
      <c r="M175" s="313">
        <v>15600</v>
      </c>
      <c r="N175" s="313">
        <f>(17500+500+1000)</f>
        <v>19000</v>
      </c>
      <c r="O175" s="849">
        <f t="shared" si="165"/>
        <v>955000</v>
      </c>
      <c r="P175" s="844">
        <f t="shared" si="161"/>
        <v>15032025</v>
      </c>
      <c r="R175" s="238" t="b">
        <f>K175='d6'!J149+'d6'!J150+'d6'!J151</f>
        <v>1</v>
      </c>
    </row>
    <row r="176" spans="1:18" ht="93" thickTop="1" thickBot="1" x14ac:dyDescent="0.25">
      <c r="A176" s="332" t="s">
        <v>194</v>
      </c>
      <c r="B176" s="332" t="s">
        <v>195</v>
      </c>
      <c r="C176" s="332" t="s">
        <v>192</v>
      </c>
      <c r="D176" s="332" t="s">
        <v>500</v>
      </c>
      <c r="E176" s="331">
        <f t="shared" si="164"/>
        <v>1948435</v>
      </c>
      <c r="F176" s="313">
        <f>91480+(1328500+292270+14055+20330+139800+4305+53715+3980)</f>
        <v>1948435</v>
      </c>
      <c r="G176" s="313">
        <v>1328500</v>
      </c>
      <c r="H176" s="313">
        <f>88920+3060-500+(139800+4305+53715+3980)</f>
        <v>293280</v>
      </c>
      <c r="I176" s="313"/>
      <c r="J176" s="844">
        <f t="shared" si="160"/>
        <v>5245100</v>
      </c>
      <c r="K176" s="313">
        <f>(3000000)+2000000+14900+150000</f>
        <v>5164900</v>
      </c>
      <c r="L176" s="313">
        <f>(8100+1900+35800+27700+5700+1000)</f>
        <v>80200</v>
      </c>
      <c r="M176" s="313">
        <v>8100</v>
      </c>
      <c r="N176" s="313">
        <f>(3800+400+1500)</f>
        <v>5700</v>
      </c>
      <c r="O176" s="849">
        <f t="shared" si="165"/>
        <v>5164900</v>
      </c>
      <c r="P176" s="844">
        <f t="shared" si="161"/>
        <v>7193535</v>
      </c>
      <c r="R176" s="238" t="b">
        <f>K176='d6'!J152+'d6'!J153</f>
        <v>1</v>
      </c>
    </row>
    <row r="177" spans="1:18" ht="184.5" thickTop="1" thickBot="1" x14ac:dyDescent="0.25">
      <c r="A177" s="332" t="s">
        <v>196</v>
      </c>
      <c r="B177" s="332" t="s">
        <v>187</v>
      </c>
      <c r="C177" s="332" t="s">
        <v>197</v>
      </c>
      <c r="D177" s="332" t="s">
        <v>198</v>
      </c>
      <c r="E177" s="331">
        <f t="shared" si="164"/>
        <v>13729115</v>
      </c>
      <c r="F177" s="313">
        <f>173650+(39000+8550+15000+((8640350+1900875+330000+342570+7900+428200+11375+288695+93120+37570+3760+24800)+7500+7000+1122300+246900))</f>
        <v>13729115</v>
      </c>
      <c r="G177" s="313">
        <f>39000+((8640350)+1122300)</f>
        <v>9801650</v>
      </c>
      <c r="H177" s="313">
        <f>246800-2000-67560-3590+(428200+11375+288695+93120+37570)</f>
        <v>1032610</v>
      </c>
      <c r="I177" s="313"/>
      <c r="J177" s="844">
        <f t="shared" si="160"/>
        <v>602200</v>
      </c>
      <c r="K177" s="313">
        <f>(124500)+16500+5100</f>
        <v>146100</v>
      </c>
      <c r="L177" s="313">
        <f>(334300+73600+5500+42600+100)</f>
        <v>456100</v>
      </c>
      <c r="M177" s="313">
        <v>334300</v>
      </c>
      <c r="N177" s="313">
        <f>(32600+800+9200)</f>
        <v>42600</v>
      </c>
      <c r="O177" s="849">
        <f>K177</f>
        <v>146100</v>
      </c>
      <c r="P177" s="844">
        <f t="shared" si="161"/>
        <v>14331315</v>
      </c>
      <c r="R177" s="238" t="b">
        <f>K177='d6'!J154</f>
        <v>1</v>
      </c>
    </row>
    <row r="178" spans="1:18" s="388" customFormat="1" ht="93" thickTop="1" thickBot="1" x14ac:dyDescent="0.25">
      <c r="A178" s="365" t="s">
        <v>918</v>
      </c>
      <c r="B178" s="365" t="s">
        <v>919</v>
      </c>
      <c r="C178" s="365"/>
      <c r="D178" s="365" t="s">
        <v>920</v>
      </c>
      <c r="E178" s="367">
        <f>SUM(E179:E180)</f>
        <v>25558330</v>
      </c>
      <c r="F178" s="367">
        <f t="shared" ref="F178:P178" si="166">SUM(F179:F180)</f>
        <v>25558330</v>
      </c>
      <c r="G178" s="367">
        <f t="shared" si="166"/>
        <v>14802500</v>
      </c>
      <c r="H178" s="367">
        <f t="shared" si="166"/>
        <v>53250</v>
      </c>
      <c r="I178" s="367">
        <f t="shared" si="166"/>
        <v>0</v>
      </c>
      <c r="J178" s="367">
        <f t="shared" si="166"/>
        <v>168625</v>
      </c>
      <c r="K178" s="367">
        <f t="shared" si="166"/>
        <v>31625</v>
      </c>
      <c r="L178" s="367">
        <f t="shared" si="166"/>
        <v>64000</v>
      </c>
      <c r="M178" s="367">
        <f t="shared" si="166"/>
        <v>10400</v>
      </c>
      <c r="N178" s="367">
        <f t="shared" si="166"/>
        <v>0</v>
      </c>
      <c r="O178" s="367">
        <f t="shared" si="166"/>
        <v>104625</v>
      </c>
      <c r="P178" s="367">
        <f t="shared" si="166"/>
        <v>25726955</v>
      </c>
      <c r="Q178" s="393"/>
      <c r="R178" s="238"/>
    </row>
    <row r="179" spans="1:18" ht="138.75" thickTop="1" thickBot="1" x14ac:dyDescent="0.25">
      <c r="A179" s="332" t="s">
        <v>358</v>
      </c>
      <c r="B179" s="332" t="s">
        <v>359</v>
      </c>
      <c r="C179" s="332" t="s">
        <v>200</v>
      </c>
      <c r="D179" s="332" t="s">
        <v>501</v>
      </c>
      <c r="E179" s="331">
        <f>F179</f>
        <v>19192170</v>
      </c>
      <c r="F179" s="313">
        <f>9900+((14802500+3256550+131640+99230+39000+3900+450+804000)+45000)</f>
        <v>19192170</v>
      </c>
      <c r="G179" s="313">
        <v>14802500</v>
      </c>
      <c r="H179" s="313">
        <f>9900+(39000+3900+450)</f>
        <v>53250</v>
      </c>
      <c r="I179" s="313"/>
      <c r="J179" s="844">
        <f t="shared" si="160"/>
        <v>168625</v>
      </c>
      <c r="K179" s="313">
        <v>31625</v>
      </c>
      <c r="L179" s="313">
        <f>(10400+2200+6000+45400)</f>
        <v>64000</v>
      </c>
      <c r="M179" s="313">
        <v>10400</v>
      </c>
      <c r="N179" s="313"/>
      <c r="O179" s="849">
        <f>K179+73000</f>
        <v>104625</v>
      </c>
      <c r="P179" s="844">
        <f t="shared" si="161"/>
        <v>19360795</v>
      </c>
      <c r="R179" s="238" t="b">
        <f>K179='d6'!J155</f>
        <v>1</v>
      </c>
    </row>
    <row r="180" spans="1:18" ht="93" thickTop="1" thickBot="1" x14ac:dyDescent="0.25">
      <c r="A180" s="332" t="s">
        <v>360</v>
      </c>
      <c r="B180" s="332" t="s">
        <v>361</v>
      </c>
      <c r="C180" s="332" t="s">
        <v>200</v>
      </c>
      <c r="D180" s="332" t="s">
        <v>502</v>
      </c>
      <c r="E180" s="331">
        <f>F180</f>
        <v>6366160</v>
      </c>
      <c r="F180" s="313">
        <f>((1195320+2805840+315000)+2000000)+50000</f>
        <v>6366160</v>
      </c>
      <c r="G180" s="313"/>
      <c r="H180" s="313"/>
      <c r="I180" s="313"/>
      <c r="J180" s="844">
        <f t="shared" si="160"/>
        <v>0</v>
      </c>
      <c r="K180" s="313"/>
      <c r="L180" s="313"/>
      <c r="M180" s="313"/>
      <c r="N180" s="313"/>
      <c r="O180" s="849">
        <f t="shared" si="165"/>
        <v>0</v>
      </c>
      <c r="P180" s="844">
        <f t="shared" si="161"/>
        <v>6366160</v>
      </c>
      <c r="R180" s="198"/>
    </row>
    <row r="181" spans="1:18" s="551" customFormat="1" ht="47.25" thickTop="1" thickBot="1" x14ac:dyDescent="0.25">
      <c r="A181" s="455" t="s">
        <v>1124</v>
      </c>
      <c r="B181" s="454" t="s">
        <v>908</v>
      </c>
      <c r="C181" s="454"/>
      <c r="D181" s="454" t="s">
        <v>909</v>
      </c>
      <c r="E181" s="552">
        <f>SUM(E182)</f>
        <v>244140</v>
      </c>
      <c r="F181" s="552">
        <f t="shared" ref="F181:P181" si="167">SUM(F182)</f>
        <v>244140</v>
      </c>
      <c r="G181" s="552">
        <f t="shared" si="167"/>
        <v>0</v>
      </c>
      <c r="H181" s="552">
        <f t="shared" si="167"/>
        <v>0</v>
      </c>
      <c r="I181" s="552">
        <f t="shared" si="167"/>
        <v>0</v>
      </c>
      <c r="J181" s="844">
        <f t="shared" si="167"/>
        <v>70000</v>
      </c>
      <c r="K181" s="844">
        <f t="shared" si="167"/>
        <v>70000</v>
      </c>
      <c r="L181" s="844">
        <f t="shared" si="167"/>
        <v>0</v>
      </c>
      <c r="M181" s="844">
        <f t="shared" si="167"/>
        <v>0</v>
      </c>
      <c r="N181" s="844">
        <f t="shared" si="167"/>
        <v>0</v>
      </c>
      <c r="O181" s="844">
        <f t="shared" si="167"/>
        <v>70000</v>
      </c>
      <c r="P181" s="844">
        <f t="shared" si="167"/>
        <v>314140</v>
      </c>
      <c r="Q181" s="559"/>
      <c r="R181" s="198"/>
    </row>
    <row r="182" spans="1:18" s="551" customFormat="1" ht="136.5" thickTop="1" thickBot="1" x14ac:dyDescent="0.25">
      <c r="A182" s="404" t="s">
        <v>1125</v>
      </c>
      <c r="B182" s="404" t="s">
        <v>850</v>
      </c>
      <c r="C182" s="404"/>
      <c r="D182" s="404" t="s">
        <v>848</v>
      </c>
      <c r="E182" s="366">
        <f>E183+E185</f>
        <v>244140</v>
      </c>
      <c r="F182" s="366">
        <f t="shared" ref="F182:I182" si="168">F183+F185</f>
        <v>244140</v>
      </c>
      <c r="G182" s="366">
        <f t="shared" si="168"/>
        <v>0</v>
      </c>
      <c r="H182" s="366">
        <f t="shared" si="168"/>
        <v>0</v>
      </c>
      <c r="I182" s="366">
        <f t="shared" si="168"/>
        <v>0</v>
      </c>
      <c r="J182" s="366">
        <f t="shared" ref="J182" si="169">J183+J185</f>
        <v>70000</v>
      </c>
      <c r="K182" s="366">
        <f t="shared" ref="K182" si="170">K183+K185</f>
        <v>70000</v>
      </c>
      <c r="L182" s="366">
        <f t="shared" ref="L182" si="171">L183+L185</f>
        <v>0</v>
      </c>
      <c r="M182" s="366">
        <f t="shared" ref="M182" si="172">M183+M185</f>
        <v>0</v>
      </c>
      <c r="N182" s="366">
        <f t="shared" ref="N182" si="173">N183+N185</f>
        <v>0</v>
      </c>
      <c r="O182" s="366">
        <f t="shared" ref="O182" si="174">O183+O185</f>
        <v>70000</v>
      </c>
      <c r="P182" s="366">
        <f>P183+P185</f>
        <v>314140</v>
      </c>
      <c r="Q182" s="559"/>
      <c r="R182" s="198"/>
    </row>
    <row r="183" spans="1:18" s="764" customFormat="1" ht="93" thickTop="1" thickBot="1" x14ac:dyDescent="0.25">
      <c r="A183" s="365" t="s">
        <v>1378</v>
      </c>
      <c r="B183" s="365" t="s">
        <v>1379</v>
      </c>
      <c r="C183" s="365"/>
      <c r="D183" s="365" t="s">
        <v>1377</v>
      </c>
      <c r="E183" s="367">
        <f>E184</f>
        <v>244140</v>
      </c>
      <c r="F183" s="367">
        <f t="shared" ref="F183:P183" si="175">F184</f>
        <v>244140</v>
      </c>
      <c r="G183" s="367">
        <f t="shared" si="175"/>
        <v>0</v>
      </c>
      <c r="H183" s="367">
        <f t="shared" si="175"/>
        <v>0</v>
      </c>
      <c r="I183" s="367">
        <f t="shared" si="175"/>
        <v>0</v>
      </c>
      <c r="J183" s="367">
        <f t="shared" si="175"/>
        <v>0</v>
      </c>
      <c r="K183" s="367">
        <f t="shared" si="175"/>
        <v>0</v>
      </c>
      <c r="L183" s="367">
        <f t="shared" si="175"/>
        <v>0</v>
      </c>
      <c r="M183" s="367">
        <f t="shared" si="175"/>
        <v>0</v>
      </c>
      <c r="N183" s="367">
        <f t="shared" si="175"/>
        <v>0</v>
      </c>
      <c r="O183" s="367">
        <f t="shared" si="175"/>
        <v>0</v>
      </c>
      <c r="P183" s="367">
        <f t="shared" si="175"/>
        <v>244140</v>
      </c>
      <c r="Q183" s="770"/>
      <c r="R183" s="198"/>
    </row>
    <row r="184" spans="1:18" s="764" customFormat="1" ht="153" customHeight="1" thickTop="1" thickBot="1" x14ac:dyDescent="0.25">
      <c r="A184" s="767" t="s">
        <v>1381</v>
      </c>
      <c r="B184" s="767" t="s">
        <v>1382</v>
      </c>
      <c r="C184" s="767" t="s">
        <v>231</v>
      </c>
      <c r="D184" s="767" t="s">
        <v>1380</v>
      </c>
      <c r="E184" s="765">
        <f t="shared" ref="E184" si="176">F184</f>
        <v>244140</v>
      </c>
      <c r="F184" s="313">
        <f>(150000)+82140+12000</f>
        <v>244140</v>
      </c>
      <c r="G184" s="313"/>
      <c r="H184" s="313"/>
      <c r="I184" s="313"/>
      <c r="J184" s="844">
        <f>L184+O184</f>
        <v>0</v>
      </c>
      <c r="K184" s="313"/>
      <c r="L184" s="313"/>
      <c r="M184" s="313"/>
      <c r="N184" s="313"/>
      <c r="O184" s="849">
        <f>K184</f>
        <v>0</v>
      </c>
      <c r="P184" s="844">
        <f>E184+J184</f>
        <v>244140</v>
      </c>
      <c r="Q184" s="770"/>
      <c r="R184" s="198"/>
    </row>
    <row r="185" spans="1:18" s="551" customFormat="1" ht="93" thickTop="1" thickBot="1" x14ac:dyDescent="0.25">
      <c r="A185" s="554" t="s">
        <v>1126</v>
      </c>
      <c r="B185" s="554" t="s">
        <v>215</v>
      </c>
      <c r="C185" s="554" t="s">
        <v>184</v>
      </c>
      <c r="D185" s="554" t="s">
        <v>36</v>
      </c>
      <c r="E185" s="552">
        <f t="shared" ref="E185" si="177">F185</f>
        <v>0</v>
      </c>
      <c r="F185" s="313"/>
      <c r="G185" s="313"/>
      <c r="H185" s="313"/>
      <c r="I185" s="313"/>
      <c r="J185" s="844">
        <f t="shared" ref="J185" si="178">L185+O185</f>
        <v>70000</v>
      </c>
      <c r="K185" s="313">
        <f>(200000+100000)-130000-100000</f>
        <v>70000</v>
      </c>
      <c r="L185" s="313"/>
      <c r="M185" s="313"/>
      <c r="N185" s="313"/>
      <c r="O185" s="849">
        <f t="shared" ref="O185" si="179">K185</f>
        <v>70000</v>
      </c>
      <c r="P185" s="844">
        <f t="shared" ref="P185" si="180">E185+J185</f>
        <v>70000</v>
      </c>
      <c r="Q185" s="559"/>
      <c r="R185" s="238" t="b">
        <f>K185='d6'!J156+'d6'!J157</f>
        <v>1</v>
      </c>
    </row>
    <row r="186" spans="1:18" s="388" customFormat="1" ht="47.25" thickTop="1" thickBot="1" x14ac:dyDescent="0.25">
      <c r="A186" s="455" t="s">
        <v>921</v>
      </c>
      <c r="B186" s="455" t="s">
        <v>861</v>
      </c>
      <c r="C186" s="455"/>
      <c r="D186" s="455" t="s">
        <v>862</v>
      </c>
      <c r="E186" s="389">
        <f>E187</f>
        <v>558137</v>
      </c>
      <c r="F186" s="389">
        <f t="shared" ref="F186:P187" si="181">F187</f>
        <v>558137</v>
      </c>
      <c r="G186" s="389">
        <f t="shared" si="181"/>
        <v>0</v>
      </c>
      <c r="H186" s="389">
        <f t="shared" si="181"/>
        <v>0</v>
      </c>
      <c r="I186" s="389">
        <f t="shared" si="181"/>
        <v>0</v>
      </c>
      <c r="J186" s="844">
        <f t="shared" si="181"/>
        <v>0</v>
      </c>
      <c r="K186" s="844">
        <f t="shared" si="181"/>
        <v>0</v>
      </c>
      <c r="L186" s="844">
        <f t="shared" si="181"/>
        <v>0</v>
      </c>
      <c r="M186" s="844">
        <f t="shared" si="181"/>
        <v>0</v>
      </c>
      <c r="N186" s="844">
        <f t="shared" si="181"/>
        <v>0</v>
      </c>
      <c r="O186" s="844">
        <f t="shared" si="181"/>
        <v>0</v>
      </c>
      <c r="P186" s="844">
        <f t="shared" si="181"/>
        <v>558137</v>
      </c>
      <c r="Q186" s="393"/>
      <c r="R186" s="198"/>
    </row>
    <row r="187" spans="1:18" s="388" customFormat="1" ht="271.5" thickTop="1" thickBot="1" x14ac:dyDescent="0.25">
      <c r="A187" s="404" t="s">
        <v>922</v>
      </c>
      <c r="B187" s="404" t="s">
        <v>864</v>
      </c>
      <c r="C187" s="404"/>
      <c r="D187" s="404" t="s">
        <v>865</v>
      </c>
      <c r="E187" s="366">
        <f>E188</f>
        <v>558137</v>
      </c>
      <c r="F187" s="366">
        <f t="shared" si="181"/>
        <v>558137</v>
      </c>
      <c r="G187" s="366">
        <f t="shared" si="181"/>
        <v>0</v>
      </c>
      <c r="H187" s="366">
        <f t="shared" si="181"/>
        <v>0</v>
      </c>
      <c r="I187" s="366">
        <f t="shared" si="181"/>
        <v>0</v>
      </c>
      <c r="J187" s="366">
        <f t="shared" si="181"/>
        <v>0</v>
      </c>
      <c r="K187" s="366">
        <f t="shared" si="181"/>
        <v>0</v>
      </c>
      <c r="L187" s="366">
        <f t="shared" si="181"/>
        <v>0</v>
      </c>
      <c r="M187" s="366">
        <f t="shared" si="181"/>
        <v>0</v>
      </c>
      <c r="N187" s="366">
        <f t="shared" si="181"/>
        <v>0</v>
      </c>
      <c r="O187" s="366">
        <f t="shared" si="181"/>
        <v>0</v>
      </c>
      <c r="P187" s="366">
        <f t="shared" si="181"/>
        <v>558137</v>
      </c>
      <c r="Q187" s="393"/>
      <c r="R187" s="198"/>
    </row>
    <row r="188" spans="1:18" s="239" customFormat="1" ht="93" thickTop="1" thickBot="1" x14ac:dyDescent="0.25">
      <c r="A188" s="332" t="s">
        <v>715</v>
      </c>
      <c r="B188" s="332" t="s">
        <v>389</v>
      </c>
      <c r="C188" s="332" t="s">
        <v>45</v>
      </c>
      <c r="D188" s="332" t="s">
        <v>390</v>
      </c>
      <c r="E188" s="331">
        <f t="shared" ref="E188" si="182">F188</f>
        <v>558137</v>
      </c>
      <c r="F188" s="313">
        <v>558137</v>
      </c>
      <c r="G188" s="313"/>
      <c r="H188" s="313"/>
      <c r="I188" s="313"/>
      <c r="J188" s="844">
        <f>L188+O188</f>
        <v>0</v>
      </c>
      <c r="K188" s="313"/>
      <c r="L188" s="313"/>
      <c r="M188" s="313"/>
      <c r="N188" s="313"/>
      <c r="O188" s="849">
        <f>K188</f>
        <v>0</v>
      </c>
      <c r="P188" s="844">
        <f>E188+J188</f>
        <v>558137</v>
      </c>
      <c r="Q188" s="240"/>
      <c r="R188" s="198"/>
    </row>
    <row r="189" spans="1:18" ht="136.5" thickTop="1" thickBot="1" x14ac:dyDescent="0.25">
      <c r="A189" s="853" t="s">
        <v>22</v>
      </c>
      <c r="B189" s="853"/>
      <c r="C189" s="853"/>
      <c r="D189" s="854" t="s">
        <v>23</v>
      </c>
      <c r="E189" s="855">
        <f>E190</f>
        <v>98371581.530000001</v>
      </c>
      <c r="F189" s="856">
        <f t="shared" ref="F189:G189" si="183">F190</f>
        <v>98371581.530000001</v>
      </c>
      <c r="G189" s="856">
        <f t="shared" si="183"/>
        <v>42267440</v>
      </c>
      <c r="H189" s="856">
        <f>H190</f>
        <v>2650900</v>
      </c>
      <c r="I189" s="856">
        <f t="shared" ref="I189" si="184">I190</f>
        <v>0</v>
      </c>
      <c r="J189" s="855">
        <f>J190</f>
        <v>10891851</v>
      </c>
      <c r="K189" s="856">
        <f>K190</f>
        <v>8987606</v>
      </c>
      <c r="L189" s="856">
        <f>L190</f>
        <v>1859498</v>
      </c>
      <c r="M189" s="856">
        <f t="shared" ref="M189" si="185">M190</f>
        <v>880762</v>
      </c>
      <c r="N189" s="856">
        <f>N190</f>
        <v>290578</v>
      </c>
      <c r="O189" s="855">
        <f>O190</f>
        <v>9032353</v>
      </c>
      <c r="P189" s="856">
        <f t="shared" ref="P189" si="186">P190</f>
        <v>109263432.53</v>
      </c>
    </row>
    <row r="190" spans="1:18" ht="136.5" thickTop="1" thickBot="1" x14ac:dyDescent="0.25">
      <c r="A190" s="857" t="s">
        <v>21</v>
      </c>
      <c r="B190" s="857"/>
      <c r="C190" s="857"/>
      <c r="D190" s="858" t="s">
        <v>37</v>
      </c>
      <c r="E190" s="859">
        <f>E191+E197+E210+E213</f>
        <v>98371581.530000001</v>
      </c>
      <c r="F190" s="859">
        <f t="shared" ref="F190:I190" si="187">F191+F197+F210+F213</f>
        <v>98371581.530000001</v>
      </c>
      <c r="G190" s="859">
        <f t="shared" si="187"/>
        <v>42267440</v>
      </c>
      <c r="H190" s="859">
        <f t="shared" si="187"/>
        <v>2650900</v>
      </c>
      <c r="I190" s="859">
        <f t="shared" si="187"/>
        <v>0</v>
      </c>
      <c r="J190" s="859">
        <f>L190+O190</f>
        <v>10891851</v>
      </c>
      <c r="K190" s="859">
        <f t="shared" ref="K190:N190" si="188">K191+K197+K210+K213</f>
        <v>8987606</v>
      </c>
      <c r="L190" s="859">
        <f t="shared" si="188"/>
        <v>1859498</v>
      </c>
      <c r="M190" s="859">
        <f t="shared" si="188"/>
        <v>880762</v>
      </c>
      <c r="N190" s="859">
        <f t="shared" si="188"/>
        <v>290578</v>
      </c>
      <c r="O190" s="859">
        <f>O191+O197+O210+O213</f>
        <v>9032353</v>
      </c>
      <c r="P190" s="859">
        <f>E190+J190</f>
        <v>109263432.53</v>
      </c>
      <c r="Q190" s="125" t="b">
        <f>P190=P193+P195+P196+P199+P200+P202+P204+P205+P207+P208+P209+P212+P218+P216</f>
        <v>1</v>
      </c>
      <c r="R190" s="238" t="b">
        <f>K190='d6'!J159</f>
        <v>1</v>
      </c>
    </row>
    <row r="191" spans="1:18" s="388" customFormat="1" ht="91.5" thickTop="1" thickBot="1" x14ac:dyDescent="0.25">
      <c r="A191" s="455" t="s">
        <v>923</v>
      </c>
      <c r="B191" s="455" t="s">
        <v>870</v>
      </c>
      <c r="C191" s="455"/>
      <c r="D191" s="455" t="s">
        <v>871</v>
      </c>
      <c r="E191" s="465">
        <f>SUM(E192:E196)-E192-E194</f>
        <v>17007457</v>
      </c>
      <c r="F191" s="465">
        <f t="shared" ref="F191:P191" si="189">SUM(F192:F196)-F192-F194</f>
        <v>17007457</v>
      </c>
      <c r="G191" s="465">
        <f t="shared" si="189"/>
        <v>7881695</v>
      </c>
      <c r="H191" s="465">
        <f t="shared" si="189"/>
        <v>654855</v>
      </c>
      <c r="I191" s="465">
        <f t="shared" si="189"/>
        <v>0</v>
      </c>
      <c r="J191" s="470">
        <f t="shared" si="189"/>
        <v>1061957</v>
      </c>
      <c r="K191" s="470">
        <f t="shared" si="189"/>
        <v>733957</v>
      </c>
      <c r="L191" s="470">
        <f t="shared" si="189"/>
        <v>318053</v>
      </c>
      <c r="M191" s="470">
        <f t="shared" si="189"/>
        <v>175000</v>
      </c>
      <c r="N191" s="470">
        <f t="shared" si="189"/>
        <v>78200</v>
      </c>
      <c r="O191" s="470">
        <f t="shared" si="189"/>
        <v>743904</v>
      </c>
      <c r="P191" s="470">
        <f t="shared" si="189"/>
        <v>18069414</v>
      </c>
      <c r="Q191" s="125"/>
      <c r="R191" s="238"/>
    </row>
    <row r="192" spans="1:18" s="39" customFormat="1" ht="138.75" thickTop="1" thickBot="1" x14ac:dyDescent="0.25">
      <c r="A192" s="365" t="s">
        <v>924</v>
      </c>
      <c r="B192" s="365" t="s">
        <v>925</v>
      </c>
      <c r="C192" s="365"/>
      <c r="D192" s="365" t="s">
        <v>926</v>
      </c>
      <c r="E192" s="462">
        <f>E193</f>
        <v>5351111</v>
      </c>
      <c r="F192" s="462">
        <f t="shared" ref="F192:P192" si="190">F193</f>
        <v>5351111</v>
      </c>
      <c r="G192" s="462">
        <f t="shared" si="190"/>
        <v>4125520</v>
      </c>
      <c r="H192" s="462">
        <f t="shared" si="190"/>
        <v>77720</v>
      </c>
      <c r="I192" s="462">
        <f t="shared" si="190"/>
        <v>0</v>
      </c>
      <c r="J192" s="881">
        <f t="shared" si="190"/>
        <v>0</v>
      </c>
      <c r="K192" s="881">
        <f t="shared" si="190"/>
        <v>0</v>
      </c>
      <c r="L192" s="881">
        <f t="shared" si="190"/>
        <v>0</v>
      </c>
      <c r="M192" s="881">
        <f t="shared" si="190"/>
        <v>0</v>
      </c>
      <c r="N192" s="881">
        <f t="shared" si="190"/>
        <v>0</v>
      </c>
      <c r="O192" s="881">
        <f t="shared" si="190"/>
        <v>0</v>
      </c>
      <c r="P192" s="881">
        <f t="shared" si="190"/>
        <v>5351111</v>
      </c>
      <c r="Q192" s="461"/>
      <c r="R192" s="453"/>
    </row>
    <row r="193" spans="1:18" ht="138.75" thickTop="1" thickBot="1" x14ac:dyDescent="0.25">
      <c r="A193" s="332" t="s">
        <v>201</v>
      </c>
      <c r="B193" s="332" t="s">
        <v>202</v>
      </c>
      <c r="C193" s="332" t="s">
        <v>203</v>
      </c>
      <c r="D193" s="332" t="s">
        <v>796</v>
      </c>
      <c r="E193" s="324">
        <f t="shared" ref="E193:E208" si="191">F193</f>
        <v>5351111</v>
      </c>
      <c r="F193" s="170">
        <f>42435+(((4125520+907615+59600+79015+35280+49795+2585+34440+3600+2145)+3500)+3301+2280)</f>
        <v>5351111</v>
      </c>
      <c r="G193" s="170">
        <f>(4125520)</f>
        <v>4125520</v>
      </c>
      <c r="H193" s="170">
        <f>(49795+2585+34440+3600)-3000+300-10000</f>
        <v>77720</v>
      </c>
      <c r="I193" s="170"/>
      <c r="J193" s="844">
        <f t="shared" ref="J193:J218" si="192">L193+O193</f>
        <v>0</v>
      </c>
      <c r="K193" s="170"/>
      <c r="L193" s="847"/>
      <c r="M193" s="847"/>
      <c r="N193" s="847"/>
      <c r="O193" s="849">
        <f t="shared" ref="O193:O218" si="193">K193</f>
        <v>0</v>
      </c>
      <c r="P193" s="844">
        <f>+J193+E193</f>
        <v>5351111</v>
      </c>
      <c r="Q193" s="198"/>
      <c r="R193" s="198"/>
    </row>
    <row r="194" spans="1:18" s="39" customFormat="1" ht="93" thickTop="1" thickBot="1" x14ac:dyDescent="0.25">
      <c r="A194" s="365" t="s">
        <v>927</v>
      </c>
      <c r="B194" s="365" t="s">
        <v>928</v>
      </c>
      <c r="C194" s="365"/>
      <c r="D194" s="365" t="s">
        <v>929</v>
      </c>
      <c r="E194" s="464">
        <f>SUM(E195:E196)</f>
        <v>11656346</v>
      </c>
      <c r="F194" s="464">
        <f t="shared" ref="F194:P194" si="194">SUM(F195:F196)</f>
        <v>11656346</v>
      </c>
      <c r="G194" s="464">
        <f t="shared" si="194"/>
        <v>3756175</v>
      </c>
      <c r="H194" s="464">
        <f t="shared" si="194"/>
        <v>577135</v>
      </c>
      <c r="I194" s="464">
        <f t="shared" si="194"/>
        <v>0</v>
      </c>
      <c r="J194" s="464">
        <f t="shared" si="194"/>
        <v>1061957</v>
      </c>
      <c r="K194" s="464">
        <f t="shared" si="194"/>
        <v>733957</v>
      </c>
      <c r="L194" s="464">
        <f t="shared" si="194"/>
        <v>318053</v>
      </c>
      <c r="M194" s="464">
        <f t="shared" si="194"/>
        <v>175000</v>
      </c>
      <c r="N194" s="464">
        <f t="shared" si="194"/>
        <v>78200</v>
      </c>
      <c r="O194" s="464">
        <f t="shared" si="194"/>
        <v>743904</v>
      </c>
      <c r="P194" s="464">
        <f t="shared" si="194"/>
        <v>12718303</v>
      </c>
      <c r="Q194" s="447"/>
      <c r="R194" s="447"/>
    </row>
    <row r="195" spans="1:18" s="501" customFormat="1" ht="93" thickTop="1" thickBot="1" x14ac:dyDescent="0.25">
      <c r="A195" s="515" t="s">
        <v>207</v>
      </c>
      <c r="B195" s="515" t="s">
        <v>208</v>
      </c>
      <c r="C195" s="515" t="s">
        <v>203</v>
      </c>
      <c r="D195" s="515" t="s">
        <v>10</v>
      </c>
      <c r="E195" s="324">
        <f t="shared" si="191"/>
        <v>4464475</v>
      </c>
      <c r="F195" s="170">
        <f>29165+(2725415+599590+377485+251835+384905+4560+86670+3450+1400)</f>
        <v>4464475</v>
      </c>
      <c r="G195" s="170">
        <v>2725415</v>
      </c>
      <c r="H195" s="170">
        <f>50165-20000-1000+(384905+4560+86670+3450)</f>
        <v>508750</v>
      </c>
      <c r="I195" s="170"/>
      <c r="J195" s="844">
        <f t="shared" si="192"/>
        <v>1058957</v>
      </c>
      <c r="K195" s="170">
        <f>(733957)</f>
        <v>733957</v>
      </c>
      <c r="L195" s="847">
        <f>(175000+38500+27300+5000+36500+4800+35400+1500+1000)-9947</f>
        <v>315053</v>
      </c>
      <c r="M195" s="847">
        <v>175000</v>
      </c>
      <c r="N195" s="847">
        <f>(36500+4800+35400+1500)</f>
        <v>78200</v>
      </c>
      <c r="O195" s="849">
        <f>K195+9947</f>
        <v>743904</v>
      </c>
      <c r="P195" s="844">
        <f t="shared" ref="P195:P218" si="195">E195+J195</f>
        <v>5523432</v>
      </c>
      <c r="Q195" s="499"/>
      <c r="R195" s="502" t="b">
        <f>K195='d6'!J161+'d6'!J160</f>
        <v>1</v>
      </c>
    </row>
    <row r="196" spans="1:18" s="505" customFormat="1" ht="93" thickTop="1" thickBot="1" x14ac:dyDescent="0.25">
      <c r="A196" s="496" t="s">
        <v>377</v>
      </c>
      <c r="B196" s="496" t="s">
        <v>378</v>
      </c>
      <c r="C196" s="496" t="s">
        <v>203</v>
      </c>
      <c r="D196" s="496" t="s">
        <v>379</v>
      </c>
      <c r="E196" s="324">
        <f t="shared" si="191"/>
        <v>7191871</v>
      </c>
      <c r="F196" s="170">
        <f>10000-10000+9085-5500-1500+150000+(200000+60000+((83645+830710+1020760+224570+61795+14860+37320+2075+23905+3000+2478500+545270+473390+27940+536310+404810)+10926))</f>
        <v>7191871</v>
      </c>
      <c r="G196" s="170">
        <f>(1020760)+10000</f>
        <v>1030760</v>
      </c>
      <c r="H196" s="170">
        <f>9085-5500-1500+(37320+2075+23905+3000)</f>
        <v>68385</v>
      </c>
      <c r="I196" s="170"/>
      <c r="J196" s="844">
        <f t="shared" si="192"/>
        <v>3000</v>
      </c>
      <c r="K196" s="170"/>
      <c r="L196" s="847">
        <v>3000</v>
      </c>
      <c r="M196" s="847"/>
      <c r="N196" s="847"/>
      <c r="O196" s="849">
        <f t="shared" si="193"/>
        <v>0</v>
      </c>
      <c r="P196" s="844">
        <f t="shared" si="195"/>
        <v>7194871</v>
      </c>
      <c r="Q196" s="503"/>
      <c r="R196" s="504"/>
    </row>
    <row r="197" spans="1:18" s="388" customFormat="1" ht="47.25" thickTop="1" thickBot="1" x14ac:dyDescent="0.25">
      <c r="A197" s="455" t="s">
        <v>930</v>
      </c>
      <c r="B197" s="455" t="s">
        <v>931</v>
      </c>
      <c r="C197" s="392"/>
      <c r="D197" s="455" t="s">
        <v>932</v>
      </c>
      <c r="E197" s="324">
        <f>SUM(E198:E209)-E198-E201-E203-E206</f>
        <v>81338700</v>
      </c>
      <c r="F197" s="324">
        <f t="shared" ref="F197:P197" si="196">SUM(F198:F209)-F198-F201-F203-F206</f>
        <v>81338700</v>
      </c>
      <c r="G197" s="324">
        <f t="shared" si="196"/>
        <v>34385745</v>
      </c>
      <c r="H197" s="324">
        <f t="shared" si="196"/>
        <v>1996045</v>
      </c>
      <c r="I197" s="324">
        <f t="shared" si="196"/>
        <v>0</v>
      </c>
      <c r="J197" s="324">
        <f t="shared" si="196"/>
        <v>8608420</v>
      </c>
      <c r="K197" s="324">
        <f t="shared" si="196"/>
        <v>7032175</v>
      </c>
      <c r="L197" s="324">
        <f t="shared" si="196"/>
        <v>1541445</v>
      </c>
      <c r="M197" s="324">
        <f t="shared" si="196"/>
        <v>705762</v>
      </c>
      <c r="N197" s="324">
        <f t="shared" si="196"/>
        <v>212378</v>
      </c>
      <c r="O197" s="324">
        <f t="shared" si="196"/>
        <v>7066975</v>
      </c>
      <c r="P197" s="324">
        <f t="shared" si="196"/>
        <v>89947120</v>
      </c>
      <c r="Q197" s="393"/>
      <c r="R197" s="238"/>
    </row>
    <row r="198" spans="1:18" s="39" customFormat="1" ht="93" thickTop="1" thickBot="1" x14ac:dyDescent="0.25">
      <c r="A198" s="365" t="s">
        <v>933</v>
      </c>
      <c r="B198" s="365" t="s">
        <v>934</v>
      </c>
      <c r="C198" s="365"/>
      <c r="D198" s="365" t="s">
        <v>935</v>
      </c>
      <c r="E198" s="464">
        <f>SUM(E199:E200)</f>
        <v>19974487</v>
      </c>
      <c r="F198" s="464">
        <f t="shared" ref="F198:P198" si="197">SUM(F199:F200)</f>
        <v>19974487</v>
      </c>
      <c r="G198" s="464">
        <f t="shared" si="197"/>
        <v>0</v>
      </c>
      <c r="H198" s="464">
        <f t="shared" si="197"/>
        <v>0</v>
      </c>
      <c r="I198" s="464">
        <f t="shared" si="197"/>
        <v>0</v>
      </c>
      <c r="J198" s="464">
        <f t="shared" si="197"/>
        <v>0</v>
      </c>
      <c r="K198" s="464">
        <f t="shared" si="197"/>
        <v>0</v>
      </c>
      <c r="L198" s="464">
        <f t="shared" si="197"/>
        <v>0</v>
      </c>
      <c r="M198" s="464">
        <f t="shared" si="197"/>
        <v>0</v>
      </c>
      <c r="N198" s="464">
        <f t="shared" si="197"/>
        <v>0</v>
      </c>
      <c r="O198" s="464">
        <f t="shared" si="197"/>
        <v>0</v>
      </c>
      <c r="P198" s="464">
        <f t="shared" si="197"/>
        <v>19974487</v>
      </c>
      <c r="Q198" s="194"/>
      <c r="R198" s="453"/>
    </row>
    <row r="199" spans="1:18" s="501" customFormat="1" ht="138.75" thickTop="1" thickBot="1" x14ac:dyDescent="0.25">
      <c r="A199" s="515" t="s">
        <v>46</v>
      </c>
      <c r="B199" s="515" t="s">
        <v>204</v>
      </c>
      <c r="C199" s="515" t="s">
        <v>213</v>
      </c>
      <c r="D199" s="515" t="s">
        <v>47</v>
      </c>
      <c r="E199" s="324">
        <f t="shared" si="191"/>
        <v>17564902</v>
      </c>
      <c r="F199" s="170">
        <f>2400000+(3000000+((171260+11395570)+500000+98072))</f>
        <v>17564902</v>
      </c>
      <c r="G199" s="313"/>
      <c r="H199" s="313"/>
      <c r="I199" s="313"/>
      <c r="J199" s="844">
        <f t="shared" si="192"/>
        <v>0</v>
      </c>
      <c r="K199" s="313"/>
      <c r="L199" s="313"/>
      <c r="M199" s="313"/>
      <c r="N199" s="313"/>
      <c r="O199" s="849">
        <f t="shared" si="193"/>
        <v>0</v>
      </c>
      <c r="P199" s="844">
        <f t="shared" si="195"/>
        <v>17564902</v>
      </c>
      <c r="Q199" s="499"/>
      <c r="R199" s="502"/>
    </row>
    <row r="200" spans="1:18" s="501" customFormat="1" ht="138.75" thickTop="1" thickBot="1" x14ac:dyDescent="0.25">
      <c r="A200" s="515" t="s">
        <v>48</v>
      </c>
      <c r="B200" s="515" t="s">
        <v>205</v>
      </c>
      <c r="C200" s="515" t="s">
        <v>213</v>
      </c>
      <c r="D200" s="515" t="s">
        <v>4</v>
      </c>
      <c r="E200" s="324">
        <f t="shared" si="191"/>
        <v>2409585</v>
      </c>
      <c r="F200" s="170">
        <f>500000+(99315+1810270)</f>
        <v>2409585</v>
      </c>
      <c r="G200" s="313"/>
      <c r="H200" s="313"/>
      <c r="I200" s="313"/>
      <c r="J200" s="844">
        <f t="shared" si="192"/>
        <v>0</v>
      </c>
      <c r="K200" s="313"/>
      <c r="L200" s="313"/>
      <c r="M200" s="313"/>
      <c r="N200" s="313"/>
      <c r="O200" s="849">
        <f t="shared" si="193"/>
        <v>0</v>
      </c>
      <c r="P200" s="844">
        <f t="shared" si="195"/>
        <v>2409585</v>
      </c>
      <c r="Q200" s="499"/>
      <c r="R200" s="502"/>
    </row>
    <row r="201" spans="1:18" s="39" customFormat="1" ht="184.5" thickTop="1" thickBot="1" x14ac:dyDescent="0.25">
      <c r="A201" s="365" t="s">
        <v>936</v>
      </c>
      <c r="B201" s="365" t="s">
        <v>937</v>
      </c>
      <c r="C201" s="365"/>
      <c r="D201" s="365" t="s">
        <v>938</v>
      </c>
      <c r="E201" s="464">
        <f>E202</f>
        <v>60300</v>
      </c>
      <c r="F201" s="464">
        <f t="shared" ref="F201:P201" si="198">F202</f>
        <v>60300</v>
      </c>
      <c r="G201" s="464">
        <f t="shared" si="198"/>
        <v>0</v>
      </c>
      <c r="H201" s="464">
        <f t="shared" si="198"/>
        <v>0</v>
      </c>
      <c r="I201" s="464">
        <f t="shared" si="198"/>
        <v>0</v>
      </c>
      <c r="J201" s="464">
        <f t="shared" si="198"/>
        <v>0</v>
      </c>
      <c r="K201" s="464">
        <f t="shared" si="198"/>
        <v>0</v>
      </c>
      <c r="L201" s="464">
        <f t="shared" si="198"/>
        <v>0</v>
      </c>
      <c r="M201" s="464">
        <f t="shared" si="198"/>
        <v>0</v>
      </c>
      <c r="N201" s="464">
        <f t="shared" si="198"/>
        <v>0</v>
      </c>
      <c r="O201" s="464">
        <f t="shared" si="198"/>
        <v>0</v>
      </c>
      <c r="P201" s="464">
        <f t="shared" si="198"/>
        <v>60300</v>
      </c>
      <c r="Q201" s="194"/>
      <c r="R201" s="452"/>
    </row>
    <row r="202" spans="1:18" s="501" customFormat="1" ht="184.5" thickTop="1" thickBot="1" x14ac:dyDescent="0.25">
      <c r="A202" s="515" t="s">
        <v>49</v>
      </c>
      <c r="B202" s="515" t="s">
        <v>206</v>
      </c>
      <c r="C202" s="515" t="s">
        <v>213</v>
      </c>
      <c r="D202" s="515" t="s">
        <v>375</v>
      </c>
      <c r="E202" s="324">
        <f>F202</f>
        <v>60300</v>
      </c>
      <c r="F202" s="170">
        <f>(4295+56005)</f>
        <v>60300</v>
      </c>
      <c r="G202" s="170"/>
      <c r="H202" s="170"/>
      <c r="I202" s="313"/>
      <c r="J202" s="844">
        <f t="shared" si="192"/>
        <v>0</v>
      </c>
      <c r="K202" s="313"/>
      <c r="L202" s="170"/>
      <c r="M202" s="170"/>
      <c r="N202" s="170"/>
      <c r="O202" s="849">
        <f t="shared" si="193"/>
        <v>0</v>
      </c>
      <c r="P202" s="844">
        <f t="shared" si="195"/>
        <v>60300</v>
      </c>
      <c r="Q202" s="499"/>
      <c r="R202" s="502"/>
    </row>
    <row r="203" spans="1:18" s="388" customFormat="1" ht="93" thickTop="1" thickBot="1" x14ac:dyDescent="0.25">
      <c r="A203" s="365" t="s">
        <v>939</v>
      </c>
      <c r="B203" s="365" t="s">
        <v>940</v>
      </c>
      <c r="C203" s="365"/>
      <c r="D203" s="365" t="s">
        <v>941</v>
      </c>
      <c r="E203" s="464">
        <f>SUM(E204:E205)</f>
        <v>56789242</v>
      </c>
      <c r="F203" s="464">
        <f t="shared" ref="F203:P203" si="199">SUM(F204:F205)</f>
        <v>56789242</v>
      </c>
      <c r="G203" s="464">
        <f t="shared" si="199"/>
        <v>33190670</v>
      </c>
      <c r="H203" s="464">
        <f t="shared" si="199"/>
        <v>1996045</v>
      </c>
      <c r="I203" s="464">
        <f t="shared" si="199"/>
        <v>0</v>
      </c>
      <c r="J203" s="464">
        <f t="shared" si="199"/>
        <v>8578420</v>
      </c>
      <c r="K203" s="464">
        <f t="shared" si="199"/>
        <v>7002175</v>
      </c>
      <c r="L203" s="464">
        <f t="shared" si="199"/>
        <v>1541445</v>
      </c>
      <c r="M203" s="464">
        <f t="shared" si="199"/>
        <v>705762</v>
      </c>
      <c r="N203" s="464">
        <f t="shared" si="199"/>
        <v>212378</v>
      </c>
      <c r="O203" s="464">
        <f t="shared" si="199"/>
        <v>7036975</v>
      </c>
      <c r="P203" s="464">
        <f t="shared" si="199"/>
        <v>65367662</v>
      </c>
      <c r="Q203" s="393"/>
      <c r="R203" s="238"/>
    </row>
    <row r="204" spans="1:18" s="501" customFormat="1" ht="184.5" thickTop="1" thickBot="1" x14ac:dyDescent="0.25">
      <c r="A204" s="515" t="s">
        <v>28</v>
      </c>
      <c r="B204" s="515" t="s">
        <v>210</v>
      </c>
      <c r="C204" s="515" t="s">
        <v>213</v>
      </c>
      <c r="D204" s="515" t="s">
        <v>50</v>
      </c>
      <c r="E204" s="324">
        <f t="shared" si="191"/>
        <v>47294134</v>
      </c>
      <c r="F204" s="170">
        <f>110000-14000+7800+12800+16615-7000-8000+104695+20450+10645-3600-20500+109405+(2790+1414400+311200-31612+300000+243614+78694-2840+14875+35000+((44066325)+254271+54363+132144+3050+3780+5880+7980+8760+19000+19150+14000))</f>
        <v>47294134</v>
      </c>
      <c r="G204" s="170">
        <f>(31776270)+1414400</f>
        <v>33190670</v>
      </c>
      <c r="H204" s="170">
        <f>110000-14000+7800+12800+16615-7000-8000+104695+20450+10645-3600-20500+109405+((559555+134000+494595+408705+10005)+14875+35000)</f>
        <v>1996045</v>
      </c>
      <c r="I204" s="170"/>
      <c r="J204" s="844">
        <f t="shared" si="192"/>
        <v>8233220</v>
      </c>
      <c r="K204" s="170">
        <f>-7790+3000000-4790+(-200000+500000+31970-74322+611040+180000+154040+((91670+32400+77910+16200+405800+200000)+4838-255801+48600+1509600+86000+33250+216360))</f>
        <v>6656975</v>
      </c>
      <c r="L204" s="170">
        <f>(691362+141099+226744+1030+112354+105648+5500+230778+2000+59730)-34800</f>
        <v>1541445</v>
      </c>
      <c r="M204" s="170">
        <f>(691362)+14400</f>
        <v>705762</v>
      </c>
      <c r="N204" s="170">
        <f>(92672+44368+72322+15587+5829)-18400</f>
        <v>212378</v>
      </c>
      <c r="O204" s="849">
        <f>(K204)+34800</f>
        <v>6691775</v>
      </c>
      <c r="P204" s="844">
        <f t="shared" si="195"/>
        <v>55527354</v>
      </c>
      <c r="Q204" s="499"/>
      <c r="R204" s="502" t="b">
        <f>K204='d6'!J162+'d6'!J164+'d6'!J165+'d6'!J166+'d6'!J167+'d6'!J168</f>
        <v>1</v>
      </c>
    </row>
    <row r="205" spans="1:18" s="501" customFormat="1" ht="184.5" thickTop="1" thickBot="1" x14ac:dyDescent="0.25">
      <c r="A205" s="515" t="s">
        <v>29</v>
      </c>
      <c r="B205" s="515" t="s">
        <v>211</v>
      </c>
      <c r="C205" s="515" t="s">
        <v>213</v>
      </c>
      <c r="D205" s="515" t="s">
        <v>51</v>
      </c>
      <c r="E205" s="324">
        <f t="shared" si="191"/>
        <v>9495108</v>
      </c>
      <c r="F205" s="170">
        <f>92200+11600+10840-60000+800000-436482+6880-7500+(581625+44400+353955+(8097590))</f>
        <v>9495108</v>
      </c>
      <c r="G205" s="170"/>
      <c r="H205" s="170"/>
      <c r="I205" s="170"/>
      <c r="J205" s="844">
        <f t="shared" si="192"/>
        <v>345200</v>
      </c>
      <c r="K205" s="170">
        <f>(15200)+330000</f>
        <v>345200</v>
      </c>
      <c r="L205" s="170"/>
      <c r="M205" s="170"/>
      <c r="N205" s="170"/>
      <c r="O205" s="849">
        <f t="shared" si="193"/>
        <v>345200</v>
      </c>
      <c r="P205" s="844">
        <f t="shared" si="195"/>
        <v>9840308</v>
      </c>
      <c r="Q205" s="499"/>
      <c r="R205" s="502" t="b">
        <f>K205='d6'!J170</f>
        <v>1</v>
      </c>
    </row>
    <row r="206" spans="1:18" s="388" customFormat="1" ht="93" thickTop="1" thickBot="1" x14ac:dyDescent="0.25">
      <c r="A206" s="466" t="s">
        <v>942</v>
      </c>
      <c r="B206" s="365" t="s">
        <v>943</v>
      </c>
      <c r="C206" s="365"/>
      <c r="D206" s="365" t="s">
        <v>944</v>
      </c>
      <c r="E206" s="464">
        <f>SUM(E207:E209)</f>
        <v>4514671</v>
      </c>
      <c r="F206" s="464">
        <f t="shared" ref="F206:P206" si="200">SUM(F207:F209)</f>
        <v>4514671</v>
      </c>
      <c r="G206" s="464">
        <f t="shared" si="200"/>
        <v>1195075</v>
      </c>
      <c r="H206" s="464">
        <f t="shared" si="200"/>
        <v>0</v>
      </c>
      <c r="I206" s="464">
        <f t="shared" si="200"/>
        <v>0</v>
      </c>
      <c r="J206" s="464">
        <f t="shared" si="200"/>
        <v>30000</v>
      </c>
      <c r="K206" s="464">
        <f t="shared" si="200"/>
        <v>30000</v>
      </c>
      <c r="L206" s="464">
        <f t="shared" si="200"/>
        <v>0</v>
      </c>
      <c r="M206" s="464">
        <f t="shared" si="200"/>
        <v>0</v>
      </c>
      <c r="N206" s="464">
        <f t="shared" si="200"/>
        <v>0</v>
      </c>
      <c r="O206" s="464">
        <f t="shared" si="200"/>
        <v>30000</v>
      </c>
      <c r="P206" s="464">
        <f t="shared" si="200"/>
        <v>4544671</v>
      </c>
      <c r="Q206" s="393"/>
      <c r="R206" s="238"/>
    </row>
    <row r="207" spans="1:18" s="501" customFormat="1" ht="276" thickTop="1" thickBot="1" x14ac:dyDescent="0.25">
      <c r="A207" s="516" t="s">
        <v>30</v>
      </c>
      <c r="B207" s="516" t="s">
        <v>212</v>
      </c>
      <c r="C207" s="516" t="s">
        <v>213</v>
      </c>
      <c r="D207" s="515" t="s">
        <v>31</v>
      </c>
      <c r="E207" s="324">
        <f t="shared" si="191"/>
        <v>768820</v>
      </c>
      <c r="F207" s="170">
        <f>(48380+64440)+500000+156000</f>
        <v>768820</v>
      </c>
      <c r="G207" s="313"/>
      <c r="H207" s="313"/>
      <c r="I207" s="313"/>
      <c r="J207" s="844">
        <f t="shared" si="192"/>
        <v>0</v>
      </c>
      <c r="K207" s="313"/>
      <c r="L207" s="313"/>
      <c r="M207" s="313"/>
      <c r="N207" s="313"/>
      <c r="O207" s="849">
        <f t="shared" si="193"/>
        <v>0</v>
      </c>
      <c r="P207" s="844">
        <f t="shared" si="195"/>
        <v>768820</v>
      </c>
      <c r="Q207" s="499"/>
      <c r="R207" s="502"/>
    </row>
    <row r="208" spans="1:18" s="501" customFormat="1" ht="184.5" thickTop="1" thickBot="1" x14ac:dyDescent="0.25">
      <c r="A208" s="516" t="s">
        <v>559</v>
      </c>
      <c r="B208" s="516" t="s">
        <v>557</v>
      </c>
      <c r="C208" s="516" t="s">
        <v>213</v>
      </c>
      <c r="D208" s="515" t="s">
        <v>558</v>
      </c>
      <c r="E208" s="324">
        <f t="shared" si="191"/>
        <v>1969086</v>
      </c>
      <c r="F208" s="170">
        <f>(1968927)-98072+98231</f>
        <v>1969086</v>
      </c>
      <c r="G208" s="313"/>
      <c r="H208" s="313"/>
      <c r="I208" s="313"/>
      <c r="J208" s="844">
        <f t="shared" si="192"/>
        <v>0</v>
      </c>
      <c r="K208" s="313"/>
      <c r="L208" s="313"/>
      <c r="M208" s="313"/>
      <c r="N208" s="313"/>
      <c r="O208" s="849">
        <f t="shared" si="193"/>
        <v>0</v>
      </c>
      <c r="P208" s="844">
        <f t="shared" si="195"/>
        <v>1969086</v>
      </c>
      <c r="Q208" s="499"/>
      <c r="R208" s="502"/>
    </row>
    <row r="209" spans="1:18" s="501" customFormat="1" ht="93" thickTop="1" thickBot="1" x14ac:dyDescent="0.25">
      <c r="A209" s="516" t="s">
        <v>32</v>
      </c>
      <c r="B209" s="516" t="s">
        <v>214</v>
      </c>
      <c r="C209" s="516" t="s">
        <v>213</v>
      </c>
      <c r="D209" s="515" t="s">
        <v>33</v>
      </c>
      <c r="E209" s="324">
        <f>F209</f>
        <v>1776765</v>
      </c>
      <c r="F209" s="170">
        <f>5100+60000+(1206730+265480+98410+141045)</f>
        <v>1776765</v>
      </c>
      <c r="G209" s="313">
        <f>(1206730)-11655</f>
        <v>1195075</v>
      </c>
      <c r="H209" s="313"/>
      <c r="I209" s="313"/>
      <c r="J209" s="844">
        <f t="shared" si="192"/>
        <v>30000</v>
      </c>
      <c r="K209" s="313">
        <f>(30000)</f>
        <v>30000</v>
      </c>
      <c r="L209" s="313"/>
      <c r="M209" s="313"/>
      <c r="N209" s="313"/>
      <c r="O209" s="849">
        <f t="shared" si="193"/>
        <v>30000</v>
      </c>
      <c r="P209" s="844">
        <f t="shared" si="195"/>
        <v>1806765</v>
      </c>
      <c r="Q209" s="499"/>
      <c r="R209" s="502" t="b">
        <f>K209='d6'!J171</f>
        <v>1</v>
      </c>
    </row>
    <row r="210" spans="1:18" s="388" customFormat="1" ht="91.5" thickTop="1" thickBot="1" x14ac:dyDescent="0.25">
      <c r="A210" s="173" t="s">
        <v>945</v>
      </c>
      <c r="B210" s="173" t="s">
        <v>902</v>
      </c>
      <c r="C210" s="173"/>
      <c r="D210" s="449" t="s">
        <v>903</v>
      </c>
      <c r="E210" s="324">
        <f>E211</f>
        <v>25424.53</v>
      </c>
      <c r="F210" s="324">
        <f t="shared" ref="F210:P211" si="201">F211</f>
        <v>25424.53</v>
      </c>
      <c r="G210" s="324">
        <f t="shared" si="201"/>
        <v>0</v>
      </c>
      <c r="H210" s="324">
        <f t="shared" si="201"/>
        <v>0</v>
      </c>
      <c r="I210" s="324">
        <f t="shared" si="201"/>
        <v>0</v>
      </c>
      <c r="J210" s="324">
        <f t="shared" si="201"/>
        <v>0</v>
      </c>
      <c r="K210" s="324">
        <f t="shared" si="201"/>
        <v>0</v>
      </c>
      <c r="L210" s="324">
        <f t="shared" si="201"/>
        <v>0</v>
      </c>
      <c r="M210" s="324">
        <f t="shared" si="201"/>
        <v>0</v>
      </c>
      <c r="N210" s="324">
        <f t="shared" si="201"/>
        <v>0</v>
      </c>
      <c r="O210" s="324">
        <f t="shared" si="201"/>
        <v>0</v>
      </c>
      <c r="P210" s="324">
        <f t="shared" si="201"/>
        <v>25424.53</v>
      </c>
      <c r="Q210" s="393"/>
      <c r="R210" s="238"/>
    </row>
    <row r="211" spans="1:18" s="388" customFormat="1" ht="93" thickTop="1" thickBot="1" x14ac:dyDescent="0.25">
      <c r="A211" s="466" t="s">
        <v>946</v>
      </c>
      <c r="B211" s="466" t="s">
        <v>905</v>
      </c>
      <c r="C211" s="466"/>
      <c r="D211" s="365" t="s">
        <v>906</v>
      </c>
      <c r="E211" s="464">
        <f>E212</f>
        <v>25424.53</v>
      </c>
      <c r="F211" s="464">
        <f t="shared" si="201"/>
        <v>25424.53</v>
      </c>
      <c r="G211" s="464">
        <f t="shared" si="201"/>
        <v>0</v>
      </c>
      <c r="H211" s="464">
        <f t="shared" si="201"/>
        <v>0</v>
      </c>
      <c r="I211" s="464">
        <f t="shared" si="201"/>
        <v>0</v>
      </c>
      <c r="J211" s="464">
        <f t="shared" si="201"/>
        <v>0</v>
      </c>
      <c r="K211" s="464">
        <f t="shared" si="201"/>
        <v>0</v>
      </c>
      <c r="L211" s="464">
        <f t="shared" si="201"/>
        <v>0</v>
      </c>
      <c r="M211" s="464">
        <f t="shared" si="201"/>
        <v>0</v>
      </c>
      <c r="N211" s="464">
        <f t="shared" si="201"/>
        <v>0</v>
      </c>
      <c r="O211" s="464">
        <f t="shared" si="201"/>
        <v>0</v>
      </c>
      <c r="P211" s="464">
        <f t="shared" si="201"/>
        <v>25424.53</v>
      </c>
      <c r="Q211" s="393"/>
      <c r="R211" s="238"/>
    </row>
    <row r="212" spans="1:18" s="501" customFormat="1" ht="276" thickTop="1" thickBot="1" x14ac:dyDescent="0.25">
      <c r="A212" s="516" t="s">
        <v>367</v>
      </c>
      <c r="B212" s="516" t="s">
        <v>366</v>
      </c>
      <c r="C212" s="516" t="s">
        <v>365</v>
      </c>
      <c r="D212" s="515" t="s">
        <v>797</v>
      </c>
      <c r="E212" s="324">
        <f>F212</f>
        <v>25424.53</v>
      </c>
      <c r="F212" s="170">
        <f>(18000)+7424.53</f>
        <v>25424.53</v>
      </c>
      <c r="G212" s="313"/>
      <c r="H212" s="313"/>
      <c r="I212" s="313"/>
      <c r="J212" s="844">
        <f t="shared" si="192"/>
        <v>0</v>
      </c>
      <c r="K212" s="313"/>
      <c r="L212" s="313"/>
      <c r="M212" s="313"/>
      <c r="N212" s="313"/>
      <c r="O212" s="849">
        <f t="shared" si="193"/>
        <v>0</v>
      </c>
      <c r="P212" s="844">
        <f t="shared" si="195"/>
        <v>25424.53</v>
      </c>
      <c r="Q212" s="499"/>
      <c r="R212" s="500"/>
    </row>
    <row r="213" spans="1:18" s="388" customFormat="1" ht="47.25" thickTop="1" thickBot="1" x14ac:dyDescent="0.25">
      <c r="A213" s="455" t="s">
        <v>947</v>
      </c>
      <c r="B213" s="454" t="s">
        <v>908</v>
      </c>
      <c r="C213" s="454"/>
      <c r="D213" s="454" t="s">
        <v>909</v>
      </c>
      <c r="E213" s="324">
        <f>E217+E214</f>
        <v>0</v>
      </c>
      <c r="F213" s="324">
        <f t="shared" ref="F213:P213" si="202">F217+F214</f>
        <v>0</v>
      </c>
      <c r="G213" s="324">
        <f t="shared" si="202"/>
        <v>0</v>
      </c>
      <c r="H213" s="324">
        <f t="shared" si="202"/>
        <v>0</v>
      </c>
      <c r="I213" s="324">
        <f t="shared" si="202"/>
        <v>0</v>
      </c>
      <c r="J213" s="324">
        <f t="shared" si="202"/>
        <v>1221474</v>
      </c>
      <c r="K213" s="324">
        <f t="shared" si="202"/>
        <v>1221474</v>
      </c>
      <c r="L213" s="324">
        <f t="shared" si="202"/>
        <v>0</v>
      </c>
      <c r="M213" s="324">
        <f t="shared" si="202"/>
        <v>0</v>
      </c>
      <c r="N213" s="324">
        <f t="shared" si="202"/>
        <v>0</v>
      </c>
      <c r="O213" s="324">
        <f t="shared" si="202"/>
        <v>1221474</v>
      </c>
      <c r="P213" s="324">
        <f t="shared" si="202"/>
        <v>1221474</v>
      </c>
      <c r="Q213" s="393"/>
      <c r="R213" s="198"/>
    </row>
    <row r="214" spans="1:18" s="912" customFormat="1" ht="91.5" thickTop="1" thickBot="1" x14ac:dyDescent="0.25">
      <c r="A214" s="404" t="s">
        <v>1481</v>
      </c>
      <c r="B214" s="404" t="s">
        <v>964</v>
      </c>
      <c r="C214" s="404"/>
      <c r="D214" s="404" t="s">
        <v>965</v>
      </c>
      <c r="E214" s="366">
        <f>E215</f>
        <v>0</v>
      </c>
      <c r="F214" s="366">
        <f t="shared" ref="F214:P215" si="203">F215</f>
        <v>0</v>
      </c>
      <c r="G214" s="366">
        <f t="shared" si="203"/>
        <v>0</v>
      </c>
      <c r="H214" s="366">
        <f t="shared" si="203"/>
        <v>0</v>
      </c>
      <c r="I214" s="366">
        <f t="shared" si="203"/>
        <v>0</v>
      </c>
      <c r="J214" s="366">
        <f t="shared" si="203"/>
        <v>200000</v>
      </c>
      <c r="K214" s="366">
        <f t="shared" si="203"/>
        <v>200000</v>
      </c>
      <c r="L214" s="366">
        <f t="shared" si="203"/>
        <v>0</v>
      </c>
      <c r="M214" s="366">
        <f t="shared" si="203"/>
        <v>0</v>
      </c>
      <c r="N214" s="366">
        <f t="shared" si="203"/>
        <v>0</v>
      </c>
      <c r="O214" s="366">
        <f t="shared" si="203"/>
        <v>200000</v>
      </c>
      <c r="P214" s="366">
        <f t="shared" si="203"/>
        <v>200000</v>
      </c>
      <c r="Q214" s="934"/>
      <c r="R214" s="198"/>
    </row>
    <row r="215" spans="1:18" s="912" customFormat="1" ht="145.5" thickTop="1" thickBot="1" x14ac:dyDescent="0.25">
      <c r="A215" s="365" t="s">
        <v>1482</v>
      </c>
      <c r="B215" s="365" t="s">
        <v>983</v>
      </c>
      <c r="C215" s="365"/>
      <c r="D215" s="365" t="s">
        <v>1467</v>
      </c>
      <c r="E215" s="367">
        <f>E216</f>
        <v>0</v>
      </c>
      <c r="F215" s="367">
        <f t="shared" si="203"/>
        <v>0</v>
      </c>
      <c r="G215" s="367">
        <f t="shared" si="203"/>
        <v>0</v>
      </c>
      <c r="H215" s="367">
        <f t="shared" si="203"/>
        <v>0</v>
      </c>
      <c r="I215" s="367">
        <f t="shared" si="203"/>
        <v>0</v>
      </c>
      <c r="J215" s="367">
        <f t="shared" si="203"/>
        <v>200000</v>
      </c>
      <c r="K215" s="367">
        <f t="shared" si="203"/>
        <v>200000</v>
      </c>
      <c r="L215" s="367">
        <f t="shared" si="203"/>
        <v>0</v>
      </c>
      <c r="M215" s="367">
        <f t="shared" si="203"/>
        <v>0</v>
      </c>
      <c r="N215" s="367">
        <f t="shared" si="203"/>
        <v>0</v>
      </c>
      <c r="O215" s="367">
        <f t="shared" si="203"/>
        <v>200000</v>
      </c>
      <c r="P215" s="367">
        <f t="shared" si="203"/>
        <v>200000</v>
      </c>
      <c r="Q215" s="934"/>
      <c r="R215" s="198"/>
    </row>
    <row r="216" spans="1:18" s="912" customFormat="1" ht="145.5" thickTop="1" thickBot="1" x14ac:dyDescent="0.25">
      <c r="A216" s="921" t="s">
        <v>1483</v>
      </c>
      <c r="B216" s="921" t="s">
        <v>336</v>
      </c>
      <c r="C216" s="921" t="s">
        <v>323</v>
      </c>
      <c r="D216" s="921" t="s">
        <v>783</v>
      </c>
      <c r="E216" s="918">
        <f t="shared" ref="E216" si="204">F216</f>
        <v>0</v>
      </c>
      <c r="F216" s="313"/>
      <c r="G216" s="313"/>
      <c r="H216" s="313"/>
      <c r="I216" s="313"/>
      <c r="J216" s="918">
        <f t="shared" ref="J216" si="205">L216+O216</f>
        <v>200000</v>
      </c>
      <c r="K216" s="313">
        <v>200000</v>
      </c>
      <c r="L216" s="313"/>
      <c r="M216" s="313"/>
      <c r="N216" s="313"/>
      <c r="O216" s="929">
        <f t="shared" ref="O216" si="206">K216</f>
        <v>200000</v>
      </c>
      <c r="P216" s="918">
        <f>E216+J216</f>
        <v>200000</v>
      </c>
      <c r="Q216" s="934"/>
      <c r="R216" s="198"/>
    </row>
    <row r="217" spans="1:18" s="388" customFormat="1" ht="136.5" thickTop="1" thickBot="1" x14ac:dyDescent="0.25">
      <c r="A217" s="404" t="s">
        <v>948</v>
      </c>
      <c r="B217" s="404" t="s">
        <v>850</v>
      </c>
      <c r="C217" s="404"/>
      <c r="D217" s="404" t="s">
        <v>848</v>
      </c>
      <c r="E217" s="463">
        <f>E218</f>
        <v>0</v>
      </c>
      <c r="F217" s="463">
        <f t="shared" ref="F217:P217" si="207">F218</f>
        <v>0</v>
      </c>
      <c r="G217" s="463">
        <f t="shared" si="207"/>
        <v>0</v>
      </c>
      <c r="H217" s="463">
        <f t="shared" si="207"/>
        <v>0</v>
      </c>
      <c r="I217" s="463">
        <f t="shared" si="207"/>
        <v>0</v>
      </c>
      <c r="J217" s="463">
        <f t="shared" si="207"/>
        <v>1021474</v>
      </c>
      <c r="K217" s="463">
        <f t="shared" si="207"/>
        <v>1021474</v>
      </c>
      <c r="L217" s="463">
        <f t="shared" si="207"/>
        <v>0</v>
      </c>
      <c r="M217" s="463">
        <f t="shared" si="207"/>
        <v>0</v>
      </c>
      <c r="N217" s="463">
        <f t="shared" si="207"/>
        <v>0</v>
      </c>
      <c r="O217" s="463">
        <f t="shared" si="207"/>
        <v>1021474</v>
      </c>
      <c r="P217" s="463">
        <f t="shared" si="207"/>
        <v>1021474</v>
      </c>
      <c r="Q217" s="393"/>
      <c r="R217" s="198"/>
    </row>
    <row r="218" spans="1:18" s="501" customFormat="1" ht="93" thickTop="1" thickBot="1" x14ac:dyDescent="0.25">
      <c r="A218" s="515" t="s">
        <v>744</v>
      </c>
      <c r="B218" s="515" t="s">
        <v>215</v>
      </c>
      <c r="C218" s="515" t="s">
        <v>184</v>
      </c>
      <c r="D218" s="515" t="s">
        <v>36</v>
      </c>
      <c r="E218" s="514">
        <f t="shared" ref="E218" si="208">F218</f>
        <v>0</v>
      </c>
      <c r="F218" s="313"/>
      <c r="G218" s="313"/>
      <c r="H218" s="313"/>
      <c r="I218" s="313"/>
      <c r="J218" s="844">
        <f t="shared" si="192"/>
        <v>1021474</v>
      </c>
      <c r="K218" s="313">
        <f>(45144)+976330</f>
        <v>1021474</v>
      </c>
      <c r="L218" s="313"/>
      <c r="M218" s="313"/>
      <c r="N218" s="313"/>
      <c r="O218" s="849">
        <f t="shared" si="193"/>
        <v>1021474</v>
      </c>
      <c r="P218" s="844">
        <f t="shared" si="195"/>
        <v>1021474</v>
      </c>
      <c r="Q218" s="499"/>
      <c r="R218" s="502" t="b">
        <f>K218='d6'!J173</f>
        <v>1</v>
      </c>
    </row>
    <row r="219" spans="1:18" s="158" customFormat="1" ht="181.5" thickTop="1" thickBot="1" x14ac:dyDescent="0.25">
      <c r="A219" s="853" t="s">
        <v>172</v>
      </c>
      <c r="B219" s="853"/>
      <c r="C219" s="853"/>
      <c r="D219" s="854" t="s">
        <v>673</v>
      </c>
      <c r="E219" s="855">
        <f>E220</f>
        <v>25010707</v>
      </c>
      <c r="F219" s="856">
        <f t="shared" ref="F219:G219" si="209">F220</f>
        <v>25010707</v>
      </c>
      <c r="G219" s="856">
        <f t="shared" si="209"/>
        <v>5153675</v>
      </c>
      <c r="H219" s="856">
        <f>H220</f>
        <v>125385</v>
      </c>
      <c r="I219" s="856">
        <f t="shared" ref="I219" si="210">I220</f>
        <v>0</v>
      </c>
      <c r="J219" s="855">
        <f>J220</f>
        <v>31156337</v>
      </c>
      <c r="K219" s="856">
        <f>K220</f>
        <v>30166337</v>
      </c>
      <c r="L219" s="856">
        <f>L220</f>
        <v>990000</v>
      </c>
      <c r="M219" s="856">
        <f t="shared" ref="M219" si="211">M220</f>
        <v>0</v>
      </c>
      <c r="N219" s="856">
        <f>N220</f>
        <v>0</v>
      </c>
      <c r="O219" s="855">
        <f>O220</f>
        <v>30166337</v>
      </c>
      <c r="P219" s="856">
        <f>P220</f>
        <v>56167044</v>
      </c>
      <c r="Q219" s="187"/>
      <c r="R219" s="198"/>
    </row>
    <row r="220" spans="1:18" s="158" customFormat="1" ht="181.5" thickTop="1" thickBot="1" x14ac:dyDescent="0.25">
      <c r="A220" s="857" t="s">
        <v>173</v>
      </c>
      <c r="B220" s="857"/>
      <c r="C220" s="857"/>
      <c r="D220" s="858" t="s">
        <v>674</v>
      </c>
      <c r="E220" s="859">
        <f>E221+E224+E231</f>
        <v>25010707</v>
      </c>
      <c r="F220" s="859">
        <f t="shared" ref="F220:I220" si="212">F221+F224+F231</f>
        <v>25010707</v>
      </c>
      <c r="G220" s="859">
        <f t="shared" si="212"/>
        <v>5153675</v>
      </c>
      <c r="H220" s="859">
        <f t="shared" si="212"/>
        <v>125385</v>
      </c>
      <c r="I220" s="859">
        <f t="shared" si="212"/>
        <v>0</v>
      </c>
      <c r="J220" s="859">
        <f t="shared" ref="J220:J236" si="213">L220+O220</f>
        <v>31156337</v>
      </c>
      <c r="K220" s="859">
        <f t="shared" ref="K220:O220" si="214">K221+K224+K231</f>
        <v>30166337</v>
      </c>
      <c r="L220" s="859">
        <f t="shared" si="214"/>
        <v>990000</v>
      </c>
      <c r="M220" s="859">
        <f t="shared" si="214"/>
        <v>0</v>
      </c>
      <c r="N220" s="859">
        <f t="shared" si="214"/>
        <v>0</v>
      </c>
      <c r="O220" s="859">
        <f t="shared" si="214"/>
        <v>30166337</v>
      </c>
      <c r="P220" s="859">
        <f>E220+J220</f>
        <v>56167044</v>
      </c>
      <c r="Q220" s="257" t="b">
        <f>P220=P222+P226+P227+P228+P230+P233+P236+P223+P234+P229</f>
        <v>1</v>
      </c>
      <c r="R220" s="257" t="b">
        <f>K220='d6'!J175</f>
        <v>1</v>
      </c>
    </row>
    <row r="221" spans="1:18" s="388" customFormat="1" ht="47.25" thickTop="1" thickBot="1" x14ac:dyDescent="0.25">
      <c r="A221" s="455" t="s">
        <v>949</v>
      </c>
      <c r="B221" s="455" t="s">
        <v>843</v>
      </c>
      <c r="C221" s="455"/>
      <c r="D221" s="455" t="s">
        <v>844</v>
      </c>
      <c r="E221" s="389">
        <f>SUM(E222:E223)</f>
        <v>7146595</v>
      </c>
      <c r="F221" s="389">
        <f t="shared" ref="F221" si="215">SUM(F222:F223)</f>
        <v>7146595</v>
      </c>
      <c r="G221" s="389">
        <f t="shared" ref="G221" si="216">SUM(G222:G223)</f>
        <v>5153675</v>
      </c>
      <c r="H221" s="389">
        <f t="shared" ref="H221" si="217">SUM(H222:H223)</f>
        <v>125385</v>
      </c>
      <c r="I221" s="389">
        <f t="shared" ref="I221" si="218">SUM(I222:I223)</f>
        <v>0</v>
      </c>
      <c r="J221" s="844">
        <f t="shared" ref="J221" si="219">SUM(J222:J223)</f>
        <v>163248</v>
      </c>
      <c r="K221" s="844">
        <f t="shared" ref="K221" si="220">SUM(K222:K223)</f>
        <v>163248</v>
      </c>
      <c r="L221" s="844">
        <f t="shared" ref="L221" si="221">SUM(L222:L223)</f>
        <v>0</v>
      </c>
      <c r="M221" s="844">
        <f t="shared" ref="M221" si="222">SUM(M222:M223)</f>
        <v>0</v>
      </c>
      <c r="N221" s="844">
        <f t="shared" ref="N221" si="223">SUM(N222:N223)</f>
        <v>0</v>
      </c>
      <c r="O221" s="844">
        <f>SUM(O222:O223)</f>
        <v>163248</v>
      </c>
      <c r="P221" s="844">
        <f t="shared" ref="P221" si="224">SUM(P222:P223)</f>
        <v>7309843</v>
      </c>
      <c r="Q221" s="257"/>
      <c r="R221" s="257"/>
    </row>
    <row r="222" spans="1:18" s="158" customFormat="1" ht="230.25" thickTop="1" thickBot="1" x14ac:dyDescent="0.25">
      <c r="A222" s="279" t="s">
        <v>449</v>
      </c>
      <c r="B222" s="279" t="s">
        <v>254</v>
      </c>
      <c r="C222" s="279" t="s">
        <v>252</v>
      </c>
      <c r="D222" s="279" t="s">
        <v>253</v>
      </c>
      <c r="E222" s="324">
        <f>F222</f>
        <v>7134595</v>
      </c>
      <c r="F222" s="170">
        <f>-288000-107000+7000-15000-4000-3400+((5441675+1197170+253395+210390+14760+39015+5208+25686+4476+3400+34020-12000)+199000+65800+39500+23500)</f>
        <v>7134595</v>
      </c>
      <c r="G222" s="170">
        <f>(5441675)-288000</f>
        <v>5153675</v>
      </c>
      <c r="H222" s="170">
        <f>7000-15000-4000+((39015+5208+25686+4476)+39500+23500)</f>
        <v>125385</v>
      </c>
      <c r="I222" s="170"/>
      <c r="J222" s="844">
        <f t="shared" si="213"/>
        <v>163248</v>
      </c>
      <c r="K222" s="170">
        <f>(36000)+31812+95436</f>
        <v>163248</v>
      </c>
      <c r="L222" s="847"/>
      <c r="M222" s="847"/>
      <c r="N222" s="847"/>
      <c r="O222" s="849">
        <f t="shared" ref="O222:O233" si="225">K222</f>
        <v>163248</v>
      </c>
      <c r="P222" s="844">
        <f t="shared" ref="P222:P228" si="226">+J222+E222</f>
        <v>7297843</v>
      </c>
      <c r="Q222" s="187"/>
      <c r="R222" s="257" t="b">
        <f>K222='d6'!J176</f>
        <v>1</v>
      </c>
    </row>
    <row r="223" spans="1:18" s="315" customFormat="1" ht="184.5" thickTop="1" thickBot="1" x14ac:dyDescent="0.25">
      <c r="A223" s="316" t="s">
        <v>785</v>
      </c>
      <c r="B223" s="316" t="s">
        <v>388</v>
      </c>
      <c r="C223" s="316" t="s">
        <v>778</v>
      </c>
      <c r="D223" s="316" t="s">
        <v>779</v>
      </c>
      <c r="E223" s="317">
        <f t="shared" ref="E223" si="227">F223</f>
        <v>12000</v>
      </c>
      <c r="F223" s="308">
        <v>12000</v>
      </c>
      <c r="G223" s="308"/>
      <c r="H223" s="308"/>
      <c r="I223" s="308"/>
      <c r="J223" s="845">
        <f t="shared" si="213"/>
        <v>0</v>
      </c>
      <c r="K223" s="308"/>
      <c r="L223" s="850"/>
      <c r="M223" s="851"/>
      <c r="N223" s="851"/>
      <c r="O223" s="852">
        <f t="shared" si="225"/>
        <v>0</v>
      </c>
      <c r="P223" s="845">
        <f>+J223+E223</f>
        <v>12000</v>
      </c>
      <c r="Q223" s="318"/>
      <c r="R223" s="257"/>
    </row>
    <row r="224" spans="1:18" s="388" customFormat="1" ht="91.5" thickTop="1" thickBot="1" x14ac:dyDescent="0.25">
      <c r="A224" s="173" t="s">
        <v>950</v>
      </c>
      <c r="B224" s="454" t="s">
        <v>902</v>
      </c>
      <c r="C224" s="454"/>
      <c r="D224" s="449" t="s">
        <v>903</v>
      </c>
      <c r="E224" s="390">
        <f>SUM(E225:E230)-E225</f>
        <v>17314112</v>
      </c>
      <c r="F224" s="390">
        <f t="shared" ref="F224:P224" si="228">SUM(F225:F230)-F225</f>
        <v>17314112</v>
      </c>
      <c r="G224" s="390">
        <f t="shared" si="228"/>
        <v>0</v>
      </c>
      <c r="H224" s="390">
        <f t="shared" si="228"/>
        <v>0</v>
      </c>
      <c r="I224" s="390">
        <f t="shared" si="228"/>
        <v>0</v>
      </c>
      <c r="J224" s="845">
        <f t="shared" si="228"/>
        <v>29353089</v>
      </c>
      <c r="K224" s="845">
        <f t="shared" si="228"/>
        <v>29353089</v>
      </c>
      <c r="L224" s="845">
        <f t="shared" si="228"/>
        <v>0</v>
      </c>
      <c r="M224" s="845">
        <f t="shared" si="228"/>
        <v>0</v>
      </c>
      <c r="N224" s="845">
        <f t="shared" si="228"/>
        <v>0</v>
      </c>
      <c r="O224" s="845">
        <f t="shared" si="228"/>
        <v>29353089</v>
      </c>
      <c r="P224" s="845">
        <f t="shared" si="228"/>
        <v>46667201</v>
      </c>
      <c r="Q224" s="393"/>
      <c r="R224" s="257"/>
    </row>
    <row r="225" spans="1:18" s="39" customFormat="1" ht="184.5" thickTop="1" thickBot="1" x14ac:dyDescent="0.25">
      <c r="A225" s="445" t="s">
        <v>951</v>
      </c>
      <c r="B225" s="403" t="s">
        <v>952</v>
      </c>
      <c r="C225" s="403"/>
      <c r="D225" s="403" t="s">
        <v>953</v>
      </c>
      <c r="E225" s="467">
        <f>SUM(E226:E228)</f>
        <v>2684112</v>
      </c>
      <c r="F225" s="467">
        <f t="shared" ref="F225:P225" si="229">SUM(F226:F228)</f>
        <v>2684112</v>
      </c>
      <c r="G225" s="467">
        <f t="shared" si="229"/>
        <v>0</v>
      </c>
      <c r="H225" s="467">
        <f t="shared" si="229"/>
        <v>0</v>
      </c>
      <c r="I225" s="467">
        <f t="shared" si="229"/>
        <v>0</v>
      </c>
      <c r="J225" s="467">
        <f t="shared" si="229"/>
        <v>29353089</v>
      </c>
      <c r="K225" s="467">
        <f t="shared" si="229"/>
        <v>29353089</v>
      </c>
      <c r="L225" s="467">
        <f t="shared" si="229"/>
        <v>0</v>
      </c>
      <c r="M225" s="467">
        <f t="shared" si="229"/>
        <v>0</v>
      </c>
      <c r="N225" s="467">
        <f t="shared" si="229"/>
        <v>0</v>
      </c>
      <c r="O225" s="467">
        <f t="shared" si="229"/>
        <v>29353089</v>
      </c>
      <c r="P225" s="467">
        <f t="shared" si="229"/>
        <v>32037201</v>
      </c>
      <c r="Q225" s="194"/>
      <c r="R225" s="257"/>
    </row>
    <row r="226" spans="1:18" s="158" customFormat="1" ht="138.75" thickTop="1" thickBot="1" x14ac:dyDescent="0.25">
      <c r="A226" s="279" t="s">
        <v>298</v>
      </c>
      <c r="B226" s="279" t="s">
        <v>299</v>
      </c>
      <c r="C226" s="279" t="s">
        <v>365</v>
      </c>
      <c r="D226" s="279" t="s">
        <v>300</v>
      </c>
      <c r="E226" s="324">
        <f t="shared" ref="E226:E236" si="230">F226</f>
        <v>2134112</v>
      </c>
      <c r="F226" s="170">
        <f>658812+(((2675300)-200000)-1000000)</f>
        <v>2134112</v>
      </c>
      <c r="G226" s="170"/>
      <c r="H226" s="170"/>
      <c r="I226" s="170"/>
      <c r="J226" s="844">
        <f t="shared" si="213"/>
        <v>8284628</v>
      </c>
      <c r="K226" s="170">
        <f>-708812+((10345240)-1351800)</f>
        <v>8284628</v>
      </c>
      <c r="L226" s="847"/>
      <c r="M226" s="847"/>
      <c r="N226" s="847"/>
      <c r="O226" s="849">
        <f t="shared" si="225"/>
        <v>8284628</v>
      </c>
      <c r="P226" s="844">
        <f t="shared" si="226"/>
        <v>10418740</v>
      </c>
      <c r="Q226" s="187"/>
      <c r="R226" s="257" t="b">
        <f>K226='d6'!J177</f>
        <v>1</v>
      </c>
    </row>
    <row r="227" spans="1:18" s="158" customFormat="1" ht="138.75" thickTop="1" thickBot="1" x14ac:dyDescent="0.25">
      <c r="A227" s="279" t="s">
        <v>320</v>
      </c>
      <c r="B227" s="279" t="s">
        <v>321</v>
      </c>
      <c r="C227" s="279" t="s">
        <v>301</v>
      </c>
      <c r="D227" s="279" t="s">
        <v>322</v>
      </c>
      <c r="E227" s="324">
        <f t="shared" si="230"/>
        <v>0</v>
      </c>
      <c r="F227" s="170"/>
      <c r="G227" s="170"/>
      <c r="H227" s="170"/>
      <c r="I227" s="170"/>
      <c r="J227" s="844">
        <f t="shared" si="213"/>
        <v>8000000</v>
      </c>
      <c r="K227" s="170">
        <f>(5000000)+3000000</f>
        <v>8000000</v>
      </c>
      <c r="L227" s="847"/>
      <c r="M227" s="847"/>
      <c r="N227" s="847"/>
      <c r="O227" s="849">
        <f t="shared" si="225"/>
        <v>8000000</v>
      </c>
      <c r="P227" s="844">
        <f t="shared" si="226"/>
        <v>8000000</v>
      </c>
      <c r="Q227" s="187"/>
      <c r="R227" s="257" t="b">
        <f>K227='d6'!J178</f>
        <v>1</v>
      </c>
    </row>
    <row r="228" spans="1:18" s="158" customFormat="1" ht="184.5" thickTop="1" thickBot="1" x14ac:dyDescent="0.25">
      <c r="A228" s="279" t="s">
        <v>302</v>
      </c>
      <c r="B228" s="279" t="s">
        <v>303</v>
      </c>
      <c r="C228" s="279" t="s">
        <v>301</v>
      </c>
      <c r="D228" s="279" t="s">
        <v>503</v>
      </c>
      <c r="E228" s="324">
        <f t="shared" si="230"/>
        <v>550000</v>
      </c>
      <c r="F228" s="170">
        <v>550000</v>
      </c>
      <c r="G228" s="170"/>
      <c r="H228" s="170"/>
      <c r="I228" s="170"/>
      <c r="J228" s="844">
        <f t="shared" si="213"/>
        <v>13068461</v>
      </c>
      <c r="K228" s="170">
        <f>(13120761)-52300</f>
        <v>13068461</v>
      </c>
      <c r="L228" s="847"/>
      <c r="M228" s="847"/>
      <c r="N228" s="847"/>
      <c r="O228" s="849">
        <f t="shared" si="225"/>
        <v>13068461</v>
      </c>
      <c r="P228" s="844">
        <f t="shared" si="226"/>
        <v>13618461</v>
      </c>
      <c r="Q228" s="187"/>
      <c r="R228" s="257" t="b">
        <f>K228='d6'!J180+'d6'!J181+'d6'!J182</f>
        <v>1</v>
      </c>
    </row>
    <row r="229" spans="1:18" s="584" customFormat="1" ht="230.25" thickTop="1" thickBot="1" x14ac:dyDescent="0.25">
      <c r="A229" s="586" t="s">
        <v>1157</v>
      </c>
      <c r="B229" s="586" t="s">
        <v>316</v>
      </c>
      <c r="C229" s="586" t="s">
        <v>301</v>
      </c>
      <c r="D229" s="586" t="s">
        <v>317</v>
      </c>
      <c r="E229" s="324">
        <f t="shared" ref="E229" si="231">F229</f>
        <v>530000</v>
      </c>
      <c r="F229" s="170">
        <f>300000+((200000)+30000)</f>
        <v>530000</v>
      </c>
      <c r="G229" s="170"/>
      <c r="H229" s="170"/>
      <c r="I229" s="170"/>
      <c r="J229" s="844">
        <f t="shared" ref="J229" si="232">L229+O229</f>
        <v>0</v>
      </c>
      <c r="K229" s="170"/>
      <c r="L229" s="847"/>
      <c r="M229" s="847"/>
      <c r="N229" s="847"/>
      <c r="O229" s="849">
        <f t="shared" ref="O229" si="233">K229</f>
        <v>0</v>
      </c>
      <c r="P229" s="844">
        <f t="shared" ref="P229" si="234">+J229+E229</f>
        <v>530000</v>
      </c>
      <c r="Q229" s="594"/>
      <c r="R229" s="257"/>
    </row>
    <row r="230" spans="1:18" s="158" customFormat="1" ht="93" thickTop="1" thickBot="1" x14ac:dyDescent="0.25">
      <c r="A230" s="279" t="s">
        <v>306</v>
      </c>
      <c r="B230" s="279" t="s">
        <v>307</v>
      </c>
      <c r="C230" s="279" t="s">
        <v>301</v>
      </c>
      <c r="D230" s="279" t="s">
        <v>308</v>
      </c>
      <c r="E230" s="324">
        <f t="shared" si="230"/>
        <v>14100000</v>
      </c>
      <c r="F230" s="170">
        <v>14100000</v>
      </c>
      <c r="G230" s="170"/>
      <c r="H230" s="170"/>
      <c r="I230" s="170"/>
      <c r="J230" s="844">
        <f t="shared" si="213"/>
        <v>0</v>
      </c>
      <c r="K230" s="313"/>
      <c r="L230" s="170"/>
      <c r="M230" s="170"/>
      <c r="N230" s="170"/>
      <c r="O230" s="849">
        <f t="shared" si="225"/>
        <v>0</v>
      </c>
      <c r="P230" s="844">
        <f t="shared" ref="P230" si="235">E230+J230</f>
        <v>14100000</v>
      </c>
      <c r="Q230" s="187"/>
      <c r="R230" s="198"/>
    </row>
    <row r="231" spans="1:18" s="388" customFormat="1" ht="47.25" thickTop="1" thickBot="1" x14ac:dyDescent="0.25">
      <c r="A231" s="173" t="s">
        <v>954</v>
      </c>
      <c r="B231" s="173" t="s">
        <v>908</v>
      </c>
      <c r="C231" s="173"/>
      <c r="D231" s="173" t="s">
        <v>955</v>
      </c>
      <c r="E231" s="324">
        <f>E232</f>
        <v>550000</v>
      </c>
      <c r="F231" s="324">
        <f t="shared" ref="F231:P231" si="236">F232</f>
        <v>550000</v>
      </c>
      <c r="G231" s="324">
        <f t="shared" si="236"/>
        <v>0</v>
      </c>
      <c r="H231" s="324">
        <f t="shared" si="236"/>
        <v>0</v>
      </c>
      <c r="I231" s="324">
        <f t="shared" si="236"/>
        <v>0</v>
      </c>
      <c r="J231" s="324">
        <f>J232</f>
        <v>1640000</v>
      </c>
      <c r="K231" s="324">
        <f t="shared" si="236"/>
        <v>650000</v>
      </c>
      <c r="L231" s="324">
        <f t="shared" si="236"/>
        <v>990000</v>
      </c>
      <c r="M231" s="324">
        <f t="shared" si="236"/>
        <v>0</v>
      </c>
      <c r="N231" s="324">
        <f t="shared" si="236"/>
        <v>0</v>
      </c>
      <c r="O231" s="324">
        <f t="shared" si="236"/>
        <v>650000</v>
      </c>
      <c r="P231" s="324">
        <f t="shared" si="236"/>
        <v>2190000</v>
      </c>
      <c r="Q231" s="393"/>
      <c r="R231" s="198"/>
    </row>
    <row r="232" spans="1:18" s="388" customFormat="1" ht="136.5" thickTop="1" thickBot="1" x14ac:dyDescent="0.25">
      <c r="A232" s="450" t="s">
        <v>956</v>
      </c>
      <c r="B232" s="450" t="s">
        <v>850</v>
      </c>
      <c r="C232" s="450"/>
      <c r="D232" s="450" t="s">
        <v>848</v>
      </c>
      <c r="E232" s="463">
        <f t="shared" ref="E232:P232" si="237">E233+E235+E234</f>
        <v>550000</v>
      </c>
      <c r="F232" s="463">
        <f t="shared" si="237"/>
        <v>550000</v>
      </c>
      <c r="G232" s="463">
        <f t="shared" si="237"/>
        <v>0</v>
      </c>
      <c r="H232" s="463">
        <f t="shared" si="237"/>
        <v>0</v>
      </c>
      <c r="I232" s="463">
        <f t="shared" si="237"/>
        <v>0</v>
      </c>
      <c r="J232" s="463">
        <f t="shared" si="237"/>
        <v>1640000</v>
      </c>
      <c r="K232" s="463">
        <f t="shared" si="237"/>
        <v>650000</v>
      </c>
      <c r="L232" s="463">
        <f t="shared" si="237"/>
        <v>990000</v>
      </c>
      <c r="M232" s="463">
        <f t="shared" si="237"/>
        <v>0</v>
      </c>
      <c r="N232" s="463">
        <f t="shared" si="237"/>
        <v>0</v>
      </c>
      <c r="O232" s="463">
        <f t="shared" si="237"/>
        <v>650000</v>
      </c>
      <c r="P232" s="463">
        <f t="shared" si="237"/>
        <v>2190000</v>
      </c>
      <c r="Q232" s="393"/>
      <c r="R232" s="198"/>
    </row>
    <row r="233" spans="1:18" s="158" customFormat="1" ht="48" thickTop="1" thickBot="1" x14ac:dyDescent="0.25">
      <c r="A233" s="279" t="s">
        <v>315</v>
      </c>
      <c r="B233" s="279" t="s">
        <v>230</v>
      </c>
      <c r="C233" s="279" t="s">
        <v>231</v>
      </c>
      <c r="D233" s="279" t="s">
        <v>43</v>
      </c>
      <c r="E233" s="324">
        <f t="shared" si="230"/>
        <v>550000</v>
      </c>
      <c r="F233" s="170">
        <f>-600000+((500000)+650000)</f>
        <v>550000</v>
      </c>
      <c r="G233" s="170"/>
      <c r="H233" s="170"/>
      <c r="I233" s="170"/>
      <c r="J233" s="844">
        <f t="shared" si="213"/>
        <v>350000</v>
      </c>
      <c r="K233" s="313">
        <f>300000+((2100000)-2050000)</f>
        <v>350000</v>
      </c>
      <c r="L233" s="170"/>
      <c r="M233" s="170"/>
      <c r="N233" s="170"/>
      <c r="O233" s="849">
        <f t="shared" si="225"/>
        <v>350000</v>
      </c>
      <c r="P233" s="844">
        <f>E233+J233</f>
        <v>900000</v>
      </c>
      <c r="Q233" s="187"/>
      <c r="R233" s="257" t="b">
        <f>K233='d6'!J184</f>
        <v>1</v>
      </c>
    </row>
    <row r="234" spans="1:18" s="563" customFormat="1" ht="93" thickTop="1" thickBot="1" x14ac:dyDescent="0.25">
      <c r="A234" s="566" t="s">
        <v>1129</v>
      </c>
      <c r="B234" s="566" t="s">
        <v>215</v>
      </c>
      <c r="C234" s="566" t="s">
        <v>184</v>
      </c>
      <c r="D234" s="566" t="s">
        <v>36</v>
      </c>
      <c r="E234" s="324">
        <f t="shared" ref="E234" si="238">F234</f>
        <v>0</v>
      </c>
      <c r="F234" s="170"/>
      <c r="G234" s="170"/>
      <c r="H234" s="170"/>
      <c r="I234" s="170"/>
      <c r="J234" s="844">
        <f t="shared" ref="J234" si="239">L234+O234</f>
        <v>300000</v>
      </c>
      <c r="K234" s="313">
        <f>(390000)-90000</f>
        <v>300000</v>
      </c>
      <c r="L234" s="170"/>
      <c r="M234" s="170"/>
      <c r="N234" s="170"/>
      <c r="O234" s="849">
        <f t="shared" ref="O234" si="240">K234</f>
        <v>300000</v>
      </c>
      <c r="P234" s="844">
        <f>E234+J234</f>
        <v>300000</v>
      </c>
      <c r="Q234" s="569"/>
      <c r="R234" s="257" t="b">
        <f>K234='d6'!J186</f>
        <v>1</v>
      </c>
    </row>
    <row r="235" spans="1:18" s="388" customFormat="1" ht="48" thickTop="1" thickBot="1" x14ac:dyDescent="0.25">
      <c r="A235" s="445" t="s">
        <v>957</v>
      </c>
      <c r="B235" s="445" t="s">
        <v>853</v>
      </c>
      <c r="C235" s="445"/>
      <c r="D235" s="445" t="s">
        <v>958</v>
      </c>
      <c r="E235" s="464">
        <f>E236</f>
        <v>0</v>
      </c>
      <c r="F235" s="464">
        <f t="shared" ref="F235:P235" si="241">F236</f>
        <v>0</v>
      </c>
      <c r="G235" s="464">
        <f t="shared" si="241"/>
        <v>0</v>
      </c>
      <c r="H235" s="464">
        <f t="shared" si="241"/>
        <v>0</v>
      </c>
      <c r="I235" s="464">
        <f t="shared" si="241"/>
        <v>0</v>
      </c>
      <c r="J235" s="464">
        <f t="shared" si="241"/>
        <v>990000</v>
      </c>
      <c r="K235" s="464">
        <f t="shared" si="241"/>
        <v>0</v>
      </c>
      <c r="L235" s="464">
        <f t="shared" si="241"/>
        <v>990000</v>
      </c>
      <c r="M235" s="464">
        <f t="shared" si="241"/>
        <v>0</v>
      </c>
      <c r="N235" s="464">
        <f t="shared" si="241"/>
        <v>0</v>
      </c>
      <c r="O235" s="464">
        <f t="shared" si="241"/>
        <v>0</v>
      </c>
      <c r="P235" s="464">
        <f t="shared" si="241"/>
        <v>990000</v>
      </c>
      <c r="Q235" s="393"/>
      <c r="R235" s="198"/>
    </row>
    <row r="236" spans="1:18" s="158" customFormat="1" ht="409.6" thickTop="1" thickBot="1" x14ac:dyDescent="0.7">
      <c r="A236" s="1037" t="s">
        <v>452</v>
      </c>
      <c r="B236" s="1037" t="s">
        <v>363</v>
      </c>
      <c r="C236" s="1037" t="s">
        <v>184</v>
      </c>
      <c r="D236" s="326" t="s">
        <v>473</v>
      </c>
      <c r="E236" s="1038">
        <f t="shared" si="230"/>
        <v>0</v>
      </c>
      <c r="F236" s="1039"/>
      <c r="G236" s="1039"/>
      <c r="H236" s="1039"/>
      <c r="I236" s="1039"/>
      <c r="J236" s="1038">
        <f t="shared" si="213"/>
        <v>990000</v>
      </c>
      <c r="K236" s="1039"/>
      <c r="L236" s="1039">
        <f>(190000)+800000</f>
        <v>990000</v>
      </c>
      <c r="M236" s="1039"/>
      <c r="N236" s="1039"/>
      <c r="O236" s="1041">
        <f>K236+0</f>
        <v>0</v>
      </c>
      <c r="P236" s="1032">
        <f>E236+J236</f>
        <v>990000</v>
      </c>
      <c r="Q236" s="187"/>
      <c r="R236" s="198"/>
    </row>
    <row r="237" spans="1:18" s="158" customFormat="1" ht="184.5" thickTop="1" thickBot="1" x14ac:dyDescent="0.25">
      <c r="A237" s="1037"/>
      <c r="B237" s="1037"/>
      <c r="C237" s="1037"/>
      <c r="D237" s="329" t="s">
        <v>474</v>
      </c>
      <c r="E237" s="1038"/>
      <c r="F237" s="1039"/>
      <c r="G237" s="1039"/>
      <c r="H237" s="1039"/>
      <c r="I237" s="1039"/>
      <c r="J237" s="1038"/>
      <c r="K237" s="1039"/>
      <c r="L237" s="1039"/>
      <c r="M237" s="1039"/>
      <c r="N237" s="1039"/>
      <c r="O237" s="1041"/>
      <c r="P237" s="1032"/>
      <c r="Q237" s="187"/>
      <c r="R237" s="198"/>
    </row>
    <row r="238" spans="1:18" s="158" customFormat="1" ht="181.5" thickTop="1" thickBot="1" x14ac:dyDescent="0.25">
      <c r="A238" s="853" t="s">
        <v>641</v>
      </c>
      <c r="B238" s="853"/>
      <c r="C238" s="853"/>
      <c r="D238" s="854" t="s">
        <v>671</v>
      </c>
      <c r="E238" s="855">
        <f>E239</f>
        <v>265128001</v>
      </c>
      <c r="F238" s="856">
        <f t="shared" ref="F238:G238" si="242">F239</f>
        <v>265128001</v>
      </c>
      <c r="G238" s="856">
        <f t="shared" si="242"/>
        <v>7313074</v>
      </c>
      <c r="H238" s="856">
        <f>H239</f>
        <v>159985</v>
      </c>
      <c r="I238" s="856">
        <f t="shared" ref="I238" si="243">I239</f>
        <v>0</v>
      </c>
      <c r="J238" s="855">
        <f>J239</f>
        <v>152618707.61000001</v>
      </c>
      <c r="K238" s="856">
        <f>K239</f>
        <v>150821170.57999998</v>
      </c>
      <c r="L238" s="856">
        <f>L239</f>
        <v>140000</v>
      </c>
      <c r="M238" s="856">
        <f t="shared" ref="M238" si="244">M239</f>
        <v>0</v>
      </c>
      <c r="N238" s="856">
        <f>N239</f>
        <v>0</v>
      </c>
      <c r="O238" s="855">
        <f>O239</f>
        <v>152478707.61000001</v>
      </c>
      <c r="P238" s="856">
        <f>P239</f>
        <v>417746708.61000001</v>
      </c>
      <c r="Q238" s="187"/>
      <c r="R238" s="198"/>
    </row>
    <row r="239" spans="1:18" s="158" customFormat="1" ht="181.5" thickTop="1" thickBot="1" x14ac:dyDescent="0.25">
      <c r="A239" s="857" t="s">
        <v>642</v>
      </c>
      <c r="B239" s="857"/>
      <c r="C239" s="857"/>
      <c r="D239" s="858" t="s">
        <v>672</v>
      </c>
      <c r="E239" s="859">
        <f>E240+E244+E250+E262</f>
        <v>265128001</v>
      </c>
      <c r="F239" s="859">
        <f t="shared" ref="F239:I239" si="245">F240+F244+F250+F262</f>
        <v>265128001</v>
      </c>
      <c r="G239" s="859">
        <f t="shared" si="245"/>
        <v>7313074</v>
      </c>
      <c r="H239" s="859">
        <f t="shared" si="245"/>
        <v>159985</v>
      </c>
      <c r="I239" s="859">
        <f t="shared" si="245"/>
        <v>0</v>
      </c>
      <c r="J239" s="859">
        <f t="shared" ref="J239:J260" si="246">L239+O239</f>
        <v>152618707.61000001</v>
      </c>
      <c r="K239" s="859">
        <f t="shared" ref="K239:O239" si="247">K240+K244+K250+K262</f>
        <v>150821170.57999998</v>
      </c>
      <c r="L239" s="859">
        <f t="shared" si="247"/>
        <v>140000</v>
      </c>
      <c r="M239" s="859">
        <f t="shared" si="247"/>
        <v>0</v>
      </c>
      <c r="N239" s="859">
        <f t="shared" si="247"/>
        <v>0</v>
      </c>
      <c r="O239" s="859">
        <f t="shared" si="247"/>
        <v>152478707.61000001</v>
      </c>
      <c r="P239" s="859">
        <f>E239+J239</f>
        <v>417746708.61000001</v>
      </c>
      <c r="Q239" s="125" t="b">
        <f>P239=P241+P242+P243+P246+P247+P248+P249+P252+P255+P257+P258+P260+P264+P265+P266</f>
        <v>1</v>
      </c>
      <c r="R239" s="125" t="b">
        <f>K239='d6'!J189</f>
        <v>1</v>
      </c>
    </row>
    <row r="240" spans="1:18" s="388" customFormat="1" ht="47.25" thickTop="1" thickBot="1" x14ac:dyDescent="0.25">
      <c r="A240" s="455" t="s">
        <v>959</v>
      </c>
      <c r="B240" s="455" t="s">
        <v>843</v>
      </c>
      <c r="C240" s="455"/>
      <c r="D240" s="455" t="s">
        <v>844</v>
      </c>
      <c r="E240" s="389">
        <f>SUM(E241:E243)</f>
        <v>7562552</v>
      </c>
      <c r="F240" s="389">
        <f t="shared" ref="F240:P240" si="248">SUM(F241:F243)</f>
        <v>7562552</v>
      </c>
      <c r="G240" s="389">
        <f t="shared" si="248"/>
        <v>5593415</v>
      </c>
      <c r="H240" s="389">
        <f t="shared" si="248"/>
        <v>135200</v>
      </c>
      <c r="I240" s="389">
        <f t="shared" si="248"/>
        <v>0</v>
      </c>
      <c r="J240" s="844">
        <f t="shared" si="248"/>
        <v>144000</v>
      </c>
      <c r="K240" s="844">
        <f t="shared" si="248"/>
        <v>144000</v>
      </c>
      <c r="L240" s="844">
        <f t="shared" si="248"/>
        <v>0</v>
      </c>
      <c r="M240" s="844">
        <f t="shared" si="248"/>
        <v>0</v>
      </c>
      <c r="N240" s="844">
        <f t="shared" si="248"/>
        <v>0</v>
      </c>
      <c r="O240" s="844">
        <f t="shared" si="248"/>
        <v>144000</v>
      </c>
      <c r="P240" s="844">
        <f t="shared" si="248"/>
        <v>7706552</v>
      </c>
      <c r="Q240" s="125"/>
      <c r="R240" s="125"/>
    </row>
    <row r="241" spans="1:18" s="158" customFormat="1" ht="230.25" thickTop="1" thickBot="1" x14ac:dyDescent="0.25">
      <c r="A241" s="279" t="s">
        <v>643</v>
      </c>
      <c r="B241" s="279" t="s">
        <v>254</v>
      </c>
      <c r="C241" s="279" t="s">
        <v>252</v>
      </c>
      <c r="D241" s="279" t="s">
        <v>253</v>
      </c>
      <c r="E241" s="324">
        <f>F241</f>
        <v>7454552</v>
      </c>
      <c r="F241" s="170">
        <f>-800000-197000+42000+18815+((6393415+1406550+212730+120360+12160+22680+39015+5208+25686+4476-8000)+3600+6087+47020+36500+5000+41700+6400+10150)</f>
        <v>7454552</v>
      </c>
      <c r="G241" s="170">
        <f>(6393415)-800000</f>
        <v>5593415</v>
      </c>
      <c r="H241" s="170">
        <f>42000+18815+(39015+5208+25686+4476)</f>
        <v>135200</v>
      </c>
      <c r="I241" s="170"/>
      <c r="J241" s="844">
        <f t="shared" si="246"/>
        <v>144000</v>
      </c>
      <c r="K241" s="170">
        <v>144000</v>
      </c>
      <c r="L241" s="847"/>
      <c r="M241" s="847"/>
      <c r="N241" s="847"/>
      <c r="O241" s="849">
        <f t="shared" ref="O241:O258" si="249">K241</f>
        <v>144000</v>
      </c>
      <c r="P241" s="844">
        <f t="shared" ref="P241:P247" si="250">+J241+E241</f>
        <v>7598552</v>
      </c>
      <c r="Q241" s="187"/>
      <c r="R241" s="125" t="b">
        <f>K241='d6'!J190</f>
        <v>1</v>
      </c>
    </row>
    <row r="242" spans="1:18" s="319" customFormat="1" ht="184.5" thickTop="1" thickBot="1" x14ac:dyDescent="0.25">
      <c r="A242" s="320" t="s">
        <v>787</v>
      </c>
      <c r="B242" s="320" t="s">
        <v>388</v>
      </c>
      <c r="C242" s="320" t="s">
        <v>778</v>
      </c>
      <c r="D242" s="320" t="s">
        <v>779</v>
      </c>
      <c r="E242" s="324">
        <f>F242</f>
        <v>8000</v>
      </c>
      <c r="F242" s="170">
        <v>8000</v>
      </c>
      <c r="G242" s="170"/>
      <c r="H242" s="170"/>
      <c r="I242" s="170"/>
      <c r="J242" s="844">
        <f t="shared" ref="J242" si="251">L242+O242</f>
        <v>0</v>
      </c>
      <c r="K242" s="170"/>
      <c r="L242" s="847"/>
      <c r="M242" s="847"/>
      <c r="N242" s="847"/>
      <c r="O242" s="849">
        <f t="shared" ref="O242" si="252">K242</f>
        <v>0</v>
      </c>
      <c r="P242" s="844">
        <f t="shared" ref="P242" si="253">+J242+E242</f>
        <v>8000</v>
      </c>
      <c r="Q242" s="321"/>
      <c r="R242" s="125"/>
    </row>
    <row r="243" spans="1:18" s="158" customFormat="1" ht="93" thickTop="1" thickBot="1" x14ac:dyDescent="0.25">
      <c r="A243" s="279" t="s">
        <v>644</v>
      </c>
      <c r="B243" s="279" t="s">
        <v>45</v>
      </c>
      <c r="C243" s="279" t="s">
        <v>44</v>
      </c>
      <c r="D243" s="279" t="s">
        <v>266</v>
      </c>
      <c r="E243" s="324">
        <f>F243</f>
        <v>100000</v>
      </c>
      <c r="F243" s="170">
        <v>100000</v>
      </c>
      <c r="G243" s="170"/>
      <c r="H243" s="170"/>
      <c r="I243" s="170"/>
      <c r="J243" s="844">
        <f t="shared" si="246"/>
        <v>0</v>
      </c>
      <c r="K243" s="170"/>
      <c r="L243" s="847"/>
      <c r="M243" s="847"/>
      <c r="N243" s="847"/>
      <c r="O243" s="849">
        <f t="shared" si="249"/>
        <v>0</v>
      </c>
      <c r="P243" s="844">
        <f t="shared" si="250"/>
        <v>100000</v>
      </c>
      <c r="Q243" s="187"/>
      <c r="R243" s="198"/>
    </row>
    <row r="244" spans="1:18" s="388" customFormat="1" ht="91.5" thickTop="1" thickBot="1" x14ac:dyDescent="0.25">
      <c r="A244" s="173" t="s">
        <v>960</v>
      </c>
      <c r="B244" s="454" t="s">
        <v>902</v>
      </c>
      <c r="C244" s="454"/>
      <c r="D244" s="449" t="s">
        <v>903</v>
      </c>
      <c r="E244" s="324">
        <f>SUM(E245:E249)-E245</f>
        <v>205029905</v>
      </c>
      <c r="F244" s="324">
        <f t="shared" ref="F244:O244" si="254">SUM(F245:F249)-F245</f>
        <v>205029905</v>
      </c>
      <c r="G244" s="324">
        <f t="shared" si="254"/>
        <v>0</v>
      </c>
      <c r="H244" s="324">
        <f t="shared" si="254"/>
        <v>5000</v>
      </c>
      <c r="I244" s="324">
        <f t="shared" si="254"/>
        <v>0</v>
      </c>
      <c r="J244" s="324">
        <f t="shared" si="254"/>
        <v>16068531</v>
      </c>
      <c r="K244" s="324">
        <f t="shared" si="254"/>
        <v>16068531</v>
      </c>
      <c r="L244" s="324">
        <f t="shared" si="254"/>
        <v>0</v>
      </c>
      <c r="M244" s="324">
        <f t="shared" si="254"/>
        <v>0</v>
      </c>
      <c r="N244" s="324">
        <f t="shared" si="254"/>
        <v>0</v>
      </c>
      <c r="O244" s="324">
        <f t="shared" si="254"/>
        <v>16068531</v>
      </c>
      <c r="P244" s="324">
        <f t="shared" ref="P244" si="255">SUM(P245:P249)-P245</f>
        <v>221098436</v>
      </c>
      <c r="Q244" s="393"/>
      <c r="R244" s="198"/>
    </row>
    <row r="245" spans="1:18" s="388" customFormat="1" ht="184.5" thickTop="1" thickBot="1" x14ac:dyDescent="0.25">
      <c r="A245" s="445" t="s">
        <v>961</v>
      </c>
      <c r="B245" s="403" t="s">
        <v>952</v>
      </c>
      <c r="C245" s="403"/>
      <c r="D245" s="403" t="s">
        <v>953</v>
      </c>
      <c r="E245" s="464">
        <f>SUM(E246:E247)</f>
        <v>34561000</v>
      </c>
      <c r="F245" s="464">
        <f t="shared" ref="F245:P245" si="256">SUM(F246:F247)</f>
        <v>34561000</v>
      </c>
      <c r="G245" s="464">
        <f t="shared" si="256"/>
        <v>0</v>
      </c>
      <c r="H245" s="464">
        <f t="shared" si="256"/>
        <v>0</v>
      </c>
      <c r="I245" s="464">
        <f t="shared" si="256"/>
        <v>0</v>
      </c>
      <c r="J245" s="464">
        <f t="shared" si="256"/>
        <v>0</v>
      </c>
      <c r="K245" s="464">
        <f t="shared" si="256"/>
        <v>0</v>
      </c>
      <c r="L245" s="464">
        <f t="shared" si="256"/>
        <v>0</v>
      </c>
      <c r="M245" s="464">
        <f t="shared" si="256"/>
        <v>0</v>
      </c>
      <c r="N245" s="464">
        <f t="shared" si="256"/>
        <v>0</v>
      </c>
      <c r="O245" s="464">
        <f t="shared" si="256"/>
        <v>0</v>
      </c>
      <c r="P245" s="464">
        <f t="shared" si="256"/>
        <v>34561000</v>
      </c>
      <c r="Q245" s="393"/>
      <c r="R245" s="198"/>
    </row>
    <row r="246" spans="1:18" s="158" customFormat="1" ht="138.75" thickTop="1" thickBot="1" x14ac:dyDescent="0.25">
      <c r="A246" s="279" t="s">
        <v>645</v>
      </c>
      <c r="B246" s="279" t="s">
        <v>403</v>
      </c>
      <c r="C246" s="279" t="s">
        <v>301</v>
      </c>
      <c r="D246" s="279" t="s">
        <v>404</v>
      </c>
      <c r="E246" s="324">
        <f t="shared" ref="E246:E258" si="257">F246</f>
        <v>31000000</v>
      </c>
      <c r="F246" s="170">
        <f>(28000000)+3000000</f>
        <v>31000000</v>
      </c>
      <c r="G246" s="170"/>
      <c r="H246" s="170"/>
      <c r="I246" s="170"/>
      <c r="J246" s="844">
        <f t="shared" si="246"/>
        <v>0</v>
      </c>
      <c r="K246" s="170"/>
      <c r="L246" s="847"/>
      <c r="M246" s="847"/>
      <c r="N246" s="847"/>
      <c r="O246" s="849">
        <f t="shared" si="249"/>
        <v>0</v>
      </c>
      <c r="P246" s="844">
        <f t="shared" si="250"/>
        <v>31000000</v>
      </c>
      <c r="Q246" s="187"/>
      <c r="R246" s="198"/>
    </row>
    <row r="247" spans="1:18" s="158" customFormat="1" ht="138.75" thickTop="1" thickBot="1" x14ac:dyDescent="0.25">
      <c r="A247" s="279" t="s">
        <v>646</v>
      </c>
      <c r="B247" s="279" t="s">
        <v>304</v>
      </c>
      <c r="C247" s="279" t="s">
        <v>301</v>
      </c>
      <c r="D247" s="279" t="s">
        <v>305</v>
      </c>
      <c r="E247" s="324">
        <f t="shared" si="257"/>
        <v>3561000</v>
      </c>
      <c r="F247" s="170">
        <f>(3751000)-190000</f>
        <v>3561000</v>
      </c>
      <c r="G247" s="170"/>
      <c r="H247" s="170"/>
      <c r="I247" s="170"/>
      <c r="J247" s="844">
        <f t="shared" si="246"/>
        <v>0</v>
      </c>
      <c r="K247" s="170"/>
      <c r="L247" s="847"/>
      <c r="M247" s="847"/>
      <c r="N247" s="847"/>
      <c r="O247" s="849">
        <f t="shared" si="249"/>
        <v>0</v>
      </c>
      <c r="P247" s="844">
        <f t="shared" si="250"/>
        <v>3561000</v>
      </c>
      <c r="Q247" s="187"/>
      <c r="R247" s="198"/>
    </row>
    <row r="248" spans="1:18" s="158" customFormat="1" ht="230.25" thickTop="1" thickBot="1" x14ac:dyDescent="0.25">
      <c r="A248" s="279" t="s">
        <v>647</v>
      </c>
      <c r="B248" s="279" t="s">
        <v>316</v>
      </c>
      <c r="C248" s="279" t="s">
        <v>301</v>
      </c>
      <c r="D248" s="279" t="s">
        <v>317</v>
      </c>
      <c r="E248" s="324">
        <f t="shared" si="257"/>
        <v>3430000</v>
      </c>
      <c r="F248" s="170">
        <f>-500000+((700000+2730000)+500000)</f>
        <v>3430000</v>
      </c>
      <c r="G248" s="170"/>
      <c r="H248" s="170"/>
      <c r="I248" s="170"/>
      <c r="J248" s="844">
        <f t="shared" si="246"/>
        <v>0</v>
      </c>
      <c r="K248" s="313"/>
      <c r="L248" s="170"/>
      <c r="M248" s="170"/>
      <c r="N248" s="170"/>
      <c r="O248" s="849">
        <f t="shared" si="249"/>
        <v>0</v>
      </c>
      <c r="P248" s="844">
        <f t="shared" ref="P248:P252" si="258">E248+J248</f>
        <v>3430000</v>
      </c>
      <c r="Q248" s="187"/>
      <c r="R248" s="198"/>
    </row>
    <row r="249" spans="1:18" s="158" customFormat="1" ht="93" thickTop="1" thickBot="1" x14ac:dyDescent="0.25">
      <c r="A249" s="279" t="s">
        <v>648</v>
      </c>
      <c r="B249" s="279" t="s">
        <v>307</v>
      </c>
      <c r="C249" s="279" t="s">
        <v>301</v>
      </c>
      <c r="D249" s="279" t="s">
        <v>308</v>
      </c>
      <c r="E249" s="324">
        <f t="shared" si="257"/>
        <v>167038905</v>
      </c>
      <c r="F249" s="170">
        <f>113957+(((149686023)+1365600)+15873325)</f>
        <v>167038905</v>
      </c>
      <c r="G249" s="170"/>
      <c r="H249" s="170">
        <f>(50000)-45000</f>
        <v>5000</v>
      </c>
      <c r="I249" s="170"/>
      <c r="J249" s="844">
        <f t="shared" si="246"/>
        <v>16068531</v>
      </c>
      <c r="K249" s="313">
        <f>-421908+(((15915164)-1205016)+1780291)</f>
        <v>16068531</v>
      </c>
      <c r="L249" s="170"/>
      <c r="M249" s="170"/>
      <c r="N249" s="170"/>
      <c r="O249" s="849">
        <f t="shared" si="249"/>
        <v>16068531</v>
      </c>
      <c r="P249" s="844">
        <f t="shared" si="258"/>
        <v>183107436</v>
      </c>
      <c r="Q249" s="187"/>
      <c r="R249" s="125" t="b">
        <f>K249='d6'!J192+'d6'!J193+'d6'!J194+'d6'!J195+'d6'!J196+'d6'!J197+'d6'!J198+'d6'!J199+'d6'!J200+'d6'!J201+'d6'!J203+'d6'!J204+'d6'!J205+'d6'!J206+'d6'!J207+'d6'!J208+'d6'!J209</f>
        <v>1</v>
      </c>
    </row>
    <row r="250" spans="1:18" s="388" customFormat="1" ht="47.25" thickTop="1" thickBot="1" x14ac:dyDescent="0.25">
      <c r="A250" s="173" t="s">
        <v>962</v>
      </c>
      <c r="B250" s="454" t="s">
        <v>908</v>
      </c>
      <c r="C250" s="454"/>
      <c r="D250" s="454" t="s">
        <v>909</v>
      </c>
      <c r="E250" s="324">
        <f>E251+E253+E256</f>
        <v>50079366</v>
      </c>
      <c r="F250" s="324">
        <f t="shared" ref="F250:P250" si="259">F251+F253+F256</f>
        <v>50079366</v>
      </c>
      <c r="G250" s="324">
        <f t="shared" si="259"/>
        <v>0</v>
      </c>
      <c r="H250" s="324">
        <f t="shared" si="259"/>
        <v>0</v>
      </c>
      <c r="I250" s="324">
        <f t="shared" si="259"/>
        <v>0</v>
      </c>
      <c r="J250" s="324">
        <f>J251+J253+J256</f>
        <v>136374176.61000001</v>
      </c>
      <c r="K250" s="324">
        <f t="shared" si="259"/>
        <v>134576639.57999998</v>
      </c>
      <c r="L250" s="324">
        <f t="shared" si="259"/>
        <v>140000</v>
      </c>
      <c r="M250" s="324">
        <f t="shared" si="259"/>
        <v>0</v>
      </c>
      <c r="N250" s="324">
        <f t="shared" si="259"/>
        <v>0</v>
      </c>
      <c r="O250" s="324">
        <f t="shared" si="259"/>
        <v>136234176.61000001</v>
      </c>
      <c r="P250" s="324">
        <f t="shared" si="259"/>
        <v>186453542.61000001</v>
      </c>
      <c r="Q250" s="393"/>
      <c r="R250" s="198"/>
    </row>
    <row r="251" spans="1:18" s="388" customFormat="1" ht="91.5" thickTop="1" thickBot="1" x14ac:dyDescent="0.25">
      <c r="A251" s="450" t="s">
        <v>963</v>
      </c>
      <c r="B251" s="450" t="s">
        <v>964</v>
      </c>
      <c r="C251" s="450"/>
      <c r="D251" s="450" t="s">
        <v>965</v>
      </c>
      <c r="E251" s="463">
        <f>E252</f>
        <v>0</v>
      </c>
      <c r="F251" s="463">
        <f t="shared" ref="F251:P251" si="260">F252</f>
        <v>0</v>
      </c>
      <c r="G251" s="463">
        <f t="shared" si="260"/>
        <v>0</v>
      </c>
      <c r="H251" s="463">
        <f t="shared" si="260"/>
        <v>0</v>
      </c>
      <c r="I251" s="463">
        <f t="shared" si="260"/>
        <v>0</v>
      </c>
      <c r="J251" s="463">
        <f t="shared" si="260"/>
        <v>5950000</v>
      </c>
      <c r="K251" s="463">
        <f t="shared" si="260"/>
        <v>5950000</v>
      </c>
      <c r="L251" s="463">
        <f t="shared" si="260"/>
        <v>0</v>
      </c>
      <c r="M251" s="463">
        <f t="shared" si="260"/>
        <v>0</v>
      </c>
      <c r="N251" s="463">
        <f t="shared" si="260"/>
        <v>0</v>
      </c>
      <c r="O251" s="463">
        <f t="shared" si="260"/>
        <v>5950000</v>
      </c>
      <c r="P251" s="463">
        <f t="shared" si="260"/>
        <v>5950000</v>
      </c>
      <c r="Q251" s="393"/>
      <c r="R251" s="198"/>
    </row>
    <row r="252" spans="1:18" s="158" customFormat="1" ht="99.75" thickTop="1" thickBot="1" x14ac:dyDescent="0.25">
      <c r="A252" s="279" t="s">
        <v>649</v>
      </c>
      <c r="B252" s="279" t="s">
        <v>324</v>
      </c>
      <c r="C252" s="279" t="s">
        <v>323</v>
      </c>
      <c r="D252" s="279" t="s">
        <v>780</v>
      </c>
      <c r="E252" s="324">
        <f t="shared" si="257"/>
        <v>0</v>
      </c>
      <c r="F252" s="170"/>
      <c r="G252" s="170"/>
      <c r="H252" s="170"/>
      <c r="I252" s="170"/>
      <c r="J252" s="844">
        <f>L252+O252</f>
        <v>5950000</v>
      </c>
      <c r="K252" s="313">
        <f>650000+(((5200000)+1080522)-980522)</f>
        <v>5950000</v>
      </c>
      <c r="L252" s="170"/>
      <c r="M252" s="170"/>
      <c r="N252" s="170"/>
      <c r="O252" s="849">
        <f>K252</f>
        <v>5950000</v>
      </c>
      <c r="P252" s="844">
        <f t="shared" si="258"/>
        <v>5950000</v>
      </c>
      <c r="Q252" s="187"/>
      <c r="R252" s="125" t="b">
        <f>K252='d6'!J211+'d6'!J212+'d6'!J214+'d6'!J218+'d6'!J219</f>
        <v>1</v>
      </c>
    </row>
    <row r="253" spans="1:18" s="388" customFormat="1" ht="136.5" thickTop="1" thickBot="1" x14ac:dyDescent="0.25">
      <c r="A253" s="450" t="s">
        <v>966</v>
      </c>
      <c r="B253" s="450" t="s">
        <v>967</v>
      </c>
      <c r="C253" s="450"/>
      <c r="D253" s="450" t="s">
        <v>968</v>
      </c>
      <c r="E253" s="463">
        <f t="shared" ref="E253:P254" si="261">E254</f>
        <v>50079366</v>
      </c>
      <c r="F253" s="463">
        <f t="shared" si="261"/>
        <v>50079366</v>
      </c>
      <c r="G253" s="463">
        <f t="shared" si="261"/>
        <v>0</v>
      </c>
      <c r="H253" s="463">
        <f t="shared" si="261"/>
        <v>0</v>
      </c>
      <c r="I253" s="463">
        <f t="shared" si="261"/>
        <v>0</v>
      </c>
      <c r="J253" s="463">
        <f t="shared" si="261"/>
        <v>64664228.030000001</v>
      </c>
      <c r="K253" s="463">
        <f t="shared" si="261"/>
        <v>64537213</v>
      </c>
      <c r="L253" s="463">
        <f t="shared" si="261"/>
        <v>0</v>
      </c>
      <c r="M253" s="463">
        <f t="shared" si="261"/>
        <v>0</v>
      </c>
      <c r="N253" s="463">
        <f t="shared" si="261"/>
        <v>0</v>
      </c>
      <c r="O253" s="463">
        <f t="shared" si="261"/>
        <v>64664228.030000001</v>
      </c>
      <c r="P253" s="463">
        <f t="shared" si="261"/>
        <v>114743594.03</v>
      </c>
      <c r="Q253" s="393"/>
      <c r="R253" s="198"/>
    </row>
    <row r="254" spans="1:18" s="652" customFormat="1" ht="138.75" thickTop="1" thickBot="1" x14ac:dyDescent="0.25">
      <c r="A254" s="653" t="s">
        <v>1242</v>
      </c>
      <c r="B254" s="445" t="s">
        <v>1243</v>
      </c>
      <c r="C254" s="450"/>
      <c r="D254" s="445" t="s">
        <v>1244</v>
      </c>
      <c r="E254" s="464">
        <f t="shared" si="261"/>
        <v>50079366</v>
      </c>
      <c r="F254" s="464">
        <f t="shared" si="261"/>
        <v>50079366</v>
      </c>
      <c r="G254" s="464">
        <f t="shared" si="261"/>
        <v>0</v>
      </c>
      <c r="H254" s="464">
        <f t="shared" si="261"/>
        <v>0</v>
      </c>
      <c r="I254" s="464">
        <f t="shared" si="261"/>
        <v>0</v>
      </c>
      <c r="J254" s="464">
        <f t="shared" si="261"/>
        <v>64664228.030000001</v>
      </c>
      <c r="K254" s="464">
        <f t="shared" si="261"/>
        <v>64537213</v>
      </c>
      <c r="L254" s="464">
        <f t="shared" si="261"/>
        <v>0</v>
      </c>
      <c r="M254" s="464">
        <f t="shared" si="261"/>
        <v>0</v>
      </c>
      <c r="N254" s="464">
        <f t="shared" si="261"/>
        <v>0</v>
      </c>
      <c r="O254" s="464">
        <f t="shared" si="261"/>
        <v>64664228.030000001</v>
      </c>
      <c r="P254" s="464">
        <f t="shared" si="261"/>
        <v>114743594.03</v>
      </c>
      <c r="Q254" s="654"/>
      <c r="R254" s="198"/>
    </row>
    <row r="255" spans="1:18" s="158" customFormat="1" ht="230.25" thickTop="1" thickBot="1" x14ac:dyDescent="0.25">
      <c r="A255" s="279" t="s">
        <v>650</v>
      </c>
      <c r="B255" s="279" t="s">
        <v>312</v>
      </c>
      <c r="C255" s="279" t="s">
        <v>314</v>
      </c>
      <c r="D255" s="279" t="s">
        <v>313</v>
      </c>
      <c r="E255" s="324">
        <f t="shared" si="257"/>
        <v>50079366</v>
      </c>
      <c r="F255" s="170">
        <f>((48273558)+4594808)-2789000</f>
        <v>50079366</v>
      </c>
      <c r="G255" s="170"/>
      <c r="H255" s="170"/>
      <c r="I255" s="170"/>
      <c r="J255" s="844">
        <f t="shared" si="246"/>
        <v>64664228.030000001</v>
      </c>
      <c r="K255" s="170">
        <f>(16932021+60000000)-5594808-6800000</f>
        <v>64537213</v>
      </c>
      <c r="L255" s="847"/>
      <c r="M255" s="847"/>
      <c r="N255" s="847"/>
      <c r="O255" s="849">
        <f>K255+127015.03</f>
        <v>64664228.030000001</v>
      </c>
      <c r="P255" s="844">
        <f>+J255+E255</f>
        <v>114743594.03</v>
      </c>
      <c r="Q255" s="187"/>
      <c r="R255" s="125" t="b">
        <f>K255='d6'!J220</f>
        <v>1</v>
      </c>
    </row>
    <row r="256" spans="1:18" s="388" customFormat="1" ht="136.5" thickTop="1" thickBot="1" x14ac:dyDescent="0.25">
      <c r="A256" s="450" t="s">
        <v>969</v>
      </c>
      <c r="B256" s="450" t="s">
        <v>850</v>
      </c>
      <c r="C256" s="450"/>
      <c r="D256" s="450" t="s">
        <v>848</v>
      </c>
      <c r="E256" s="463">
        <f>SUM(E257:E261)-E259</f>
        <v>0</v>
      </c>
      <c r="F256" s="463">
        <f t="shared" ref="F256:I256" si="262">SUM(F257:F261)-F259</f>
        <v>0</v>
      </c>
      <c r="G256" s="463">
        <f t="shared" si="262"/>
        <v>0</v>
      </c>
      <c r="H256" s="463">
        <f t="shared" si="262"/>
        <v>0</v>
      </c>
      <c r="I256" s="463">
        <f t="shared" si="262"/>
        <v>0</v>
      </c>
      <c r="J256" s="463">
        <f>SUM(J257:J261)-J259</f>
        <v>65759948.579999998</v>
      </c>
      <c r="K256" s="463">
        <f t="shared" ref="K256:P256" si="263">SUM(K257:K261)-K259</f>
        <v>64089426.579999998</v>
      </c>
      <c r="L256" s="463">
        <f t="shared" si="263"/>
        <v>140000</v>
      </c>
      <c r="M256" s="463">
        <f t="shared" si="263"/>
        <v>0</v>
      </c>
      <c r="N256" s="463">
        <f t="shared" si="263"/>
        <v>0</v>
      </c>
      <c r="O256" s="463">
        <f t="shared" si="263"/>
        <v>65619948.579999998</v>
      </c>
      <c r="P256" s="463">
        <f t="shared" si="263"/>
        <v>65759948.579999998</v>
      </c>
      <c r="Q256" s="393"/>
      <c r="R256" s="125"/>
    </row>
    <row r="257" spans="1:18" s="158" customFormat="1" ht="48" thickTop="1" thickBot="1" x14ac:dyDescent="0.25">
      <c r="A257" s="279" t="s">
        <v>651</v>
      </c>
      <c r="B257" s="279" t="s">
        <v>230</v>
      </c>
      <c r="C257" s="279" t="s">
        <v>231</v>
      </c>
      <c r="D257" s="279" t="s">
        <v>43</v>
      </c>
      <c r="E257" s="324">
        <f t="shared" si="257"/>
        <v>0</v>
      </c>
      <c r="F257" s="170"/>
      <c r="G257" s="170"/>
      <c r="H257" s="170"/>
      <c r="I257" s="170"/>
      <c r="J257" s="844">
        <f t="shared" si="246"/>
        <v>20549522.579999998</v>
      </c>
      <c r="K257" s="313">
        <f>(18508795.58)+2040727</f>
        <v>20549522.579999998</v>
      </c>
      <c r="L257" s="170"/>
      <c r="M257" s="170"/>
      <c r="N257" s="170"/>
      <c r="O257" s="849">
        <f t="shared" si="249"/>
        <v>20549522.579999998</v>
      </c>
      <c r="P257" s="844">
        <f>E257+J257</f>
        <v>20549522.579999998</v>
      </c>
      <c r="Q257" s="187"/>
      <c r="R257" s="125" t="b">
        <f>K257='d6'!J221</f>
        <v>1</v>
      </c>
    </row>
    <row r="258" spans="1:18" s="158" customFormat="1" ht="93" thickTop="1" thickBot="1" x14ac:dyDescent="0.25">
      <c r="A258" s="279" t="s">
        <v>652</v>
      </c>
      <c r="B258" s="279" t="s">
        <v>215</v>
      </c>
      <c r="C258" s="279" t="s">
        <v>184</v>
      </c>
      <c r="D258" s="279" t="s">
        <v>36</v>
      </c>
      <c r="E258" s="324">
        <f t="shared" si="257"/>
        <v>0</v>
      </c>
      <c r="F258" s="170"/>
      <c r="G258" s="170"/>
      <c r="H258" s="170"/>
      <c r="I258" s="170"/>
      <c r="J258" s="844">
        <f t="shared" si="246"/>
        <v>43539904</v>
      </c>
      <c r="K258" s="313">
        <f>-28935+(((14547011+1000000)+25241713)+2780115)</f>
        <v>43539904</v>
      </c>
      <c r="L258" s="170"/>
      <c r="M258" s="170"/>
      <c r="N258" s="170"/>
      <c r="O258" s="849">
        <f t="shared" si="249"/>
        <v>43539904</v>
      </c>
      <c r="P258" s="844">
        <f>E258+J258</f>
        <v>43539904</v>
      </c>
      <c r="Q258" s="187"/>
      <c r="R258" s="125" t="b">
        <f>K258='d6'!J223+'d6'!J224+'d6'!J225+'d6'!J226+'d6'!J227+'d6'!J228+'d6'!J229+'d6'!J231+'d6'!J233+'d6'!J235+'d6'!J236+'d6'!J237+'d6'!J238+'d6'!J239+'d6'!J240+'d6'!J241+'d6'!J242+'d6'!J243+'d6'!J244+'d6'!J245+'d6'!J246+'d6'!J247+'d6'!J248+'d6'!J249+'d6'!J250+'d6'!J251+'d6'!J254+'d6'!J255+'d6'!J256+'d6'!J257+'d6'!J258+'d6'!J259+'d6'!J260+'d6'!J261+'d6'!J262+'d6'!J263+'d6'!J264+'d6'!J265+'d6'!J266+'d6'!J267+'d6'!J268+'d6'!J269</f>
        <v>1</v>
      </c>
    </row>
    <row r="259" spans="1:18" s="388" customFormat="1" ht="48" thickTop="1" thickBot="1" x14ac:dyDescent="0.25">
      <c r="A259" s="445" t="s">
        <v>970</v>
      </c>
      <c r="B259" s="445" t="s">
        <v>853</v>
      </c>
      <c r="C259" s="445"/>
      <c r="D259" s="445" t="s">
        <v>958</v>
      </c>
      <c r="E259" s="464">
        <f>E260</f>
        <v>0</v>
      </c>
      <c r="F259" s="464">
        <f t="shared" ref="F259:P259" si="264">F260</f>
        <v>0</v>
      </c>
      <c r="G259" s="464">
        <f t="shared" si="264"/>
        <v>0</v>
      </c>
      <c r="H259" s="464">
        <f t="shared" si="264"/>
        <v>0</v>
      </c>
      <c r="I259" s="464">
        <f t="shared" si="264"/>
        <v>0</v>
      </c>
      <c r="J259" s="464">
        <f t="shared" si="264"/>
        <v>1670522</v>
      </c>
      <c r="K259" s="464">
        <f t="shared" si="264"/>
        <v>0</v>
      </c>
      <c r="L259" s="464">
        <f t="shared" si="264"/>
        <v>140000</v>
      </c>
      <c r="M259" s="464">
        <f t="shared" si="264"/>
        <v>0</v>
      </c>
      <c r="N259" s="464">
        <f t="shared" si="264"/>
        <v>0</v>
      </c>
      <c r="O259" s="464">
        <f t="shared" si="264"/>
        <v>1530522</v>
      </c>
      <c r="P259" s="464">
        <f t="shared" si="264"/>
        <v>1670522</v>
      </c>
      <c r="Q259" s="393"/>
      <c r="R259" s="198"/>
    </row>
    <row r="260" spans="1:18" s="158" customFormat="1" ht="409.6" thickTop="1" thickBot="1" x14ac:dyDescent="0.7">
      <c r="A260" s="1037" t="s">
        <v>653</v>
      </c>
      <c r="B260" s="1037" t="s">
        <v>363</v>
      </c>
      <c r="C260" s="1037" t="s">
        <v>184</v>
      </c>
      <c r="D260" s="326" t="s">
        <v>473</v>
      </c>
      <c r="E260" s="1038"/>
      <c r="F260" s="1039"/>
      <c r="G260" s="1039"/>
      <c r="H260" s="1039"/>
      <c r="I260" s="1039"/>
      <c r="J260" s="1038">
        <f t="shared" si="246"/>
        <v>1670522</v>
      </c>
      <c r="K260" s="1039"/>
      <c r="L260" s="1039">
        <f>((190000)-50000)</f>
        <v>140000</v>
      </c>
      <c r="M260" s="1039"/>
      <c r="N260" s="1039"/>
      <c r="O260" s="1041">
        <f>500000+((K260+50000)+980522)</f>
        <v>1530522</v>
      </c>
      <c r="P260" s="1032">
        <f>E260+J260</f>
        <v>1670522</v>
      </c>
      <c r="Q260" s="187"/>
      <c r="R260" s="198"/>
    </row>
    <row r="261" spans="1:18" s="158" customFormat="1" ht="184.5" thickTop="1" thickBot="1" x14ac:dyDescent="0.25">
      <c r="A261" s="1037"/>
      <c r="B261" s="1037"/>
      <c r="C261" s="1037"/>
      <c r="D261" s="329" t="s">
        <v>474</v>
      </c>
      <c r="E261" s="1038"/>
      <c r="F261" s="1039"/>
      <c r="G261" s="1039"/>
      <c r="H261" s="1039"/>
      <c r="I261" s="1039"/>
      <c r="J261" s="1038"/>
      <c r="K261" s="1039"/>
      <c r="L261" s="1039"/>
      <c r="M261" s="1039"/>
      <c r="N261" s="1039"/>
      <c r="O261" s="1041"/>
      <c r="P261" s="1032"/>
      <c r="Q261" s="187"/>
      <c r="R261" s="198"/>
    </row>
    <row r="262" spans="1:18" s="388" customFormat="1" ht="47.25" thickTop="1" thickBot="1" x14ac:dyDescent="0.25">
      <c r="A262" s="173" t="s">
        <v>971</v>
      </c>
      <c r="B262" s="455" t="s">
        <v>855</v>
      </c>
      <c r="C262" s="455"/>
      <c r="D262" s="468" t="s">
        <v>856</v>
      </c>
      <c r="E262" s="389">
        <f>E263</f>
        <v>2456178</v>
      </c>
      <c r="F262" s="389">
        <f t="shared" ref="F262:P262" si="265">F263</f>
        <v>2456178</v>
      </c>
      <c r="G262" s="389">
        <f t="shared" si="265"/>
        <v>1719659</v>
      </c>
      <c r="H262" s="389">
        <f t="shared" si="265"/>
        <v>19785</v>
      </c>
      <c r="I262" s="389">
        <f t="shared" si="265"/>
        <v>0</v>
      </c>
      <c r="J262" s="844">
        <f t="shared" si="265"/>
        <v>32000</v>
      </c>
      <c r="K262" s="844">
        <f t="shared" si="265"/>
        <v>32000</v>
      </c>
      <c r="L262" s="844">
        <f t="shared" si="265"/>
        <v>0</v>
      </c>
      <c r="M262" s="844">
        <f t="shared" si="265"/>
        <v>0</v>
      </c>
      <c r="N262" s="844">
        <f t="shared" si="265"/>
        <v>0</v>
      </c>
      <c r="O262" s="844">
        <f t="shared" si="265"/>
        <v>32000</v>
      </c>
      <c r="P262" s="844">
        <f t="shared" si="265"/>
        <v>2488178</v>
      </c>
      <c r="Q262" s="393"/>
      <c r="R262" s="198"/>
    </row>
    <row r="263" spans="1:18" s="388" customFormat="1" ht="181.5" thickTop="1" thickBot="1" x14ac:dyDescent="0.25">
      <c r="A263" s="450" t="s">
        <v>973</v>
      </c>
      <c r="B263" s="404" t="s">
        <v>974</v>
      </c>
      <c r="C263" s="404"/>
      <c r="D263" s="469" t="s">
        <v>972</v>
      </c>
      <c r="E263" s="366">
        <f>SUM(E264:E266)</f>
        <v>2456178</v>
      </c>
      <c r="F263" s="366">
        <f t="shared" ref="F263:P263" si="266">SUM(F264:F266)</f>
        <v>2456178</v>
      </c>
      <c r="G263" s="366">
        <f t="shared" si="266"/>
        <v>1719659</v>
      </c>
      <c r="H263" s="366">
        <f t="shared" si="266"/>
        <v>19785</v>
      </c>
      <c r="I263" s="366">
        <f t="shared" si="266"/>
        <v>0</v>
      </c>
      <c r="J263" s="366">
        <f t="shared" si="266"/>
        <v>32000</v>
      </c>
      <c r="K263" s="366">
        <f t="shared" si="266"/>
        <v>32000</v>
      </c>
      <c r="L263" s="366">
        <f t="shared" si="266"/>
        <v>0</v>
      </c>
      <c r="M263" s="366">
        <f t="shared" si="266"/>
        <v>0</v>
      </c>
      <c r="N263" s="366">
        <f t="shared" si="266"/>
        <v>0</v>
      </c>
      <c r="O263" s="366">
        <f t="shared" si="266"/>
        <v>32000</v>
      </c>
      <c r="P263" s="366">
        <f t="shared" si="266"/>
        <v>2488178</v>
      </c>
      <c r="Q263" s="393"/>
      <c r="R263" s="198"/>
    </row>
    <row r="264" spans="1:18" s="158" customFormat="1" ht="184.5" thickTop="1" thickBot="1" x14ac:dyDescent="0.25">
      <c r="A264" s="279" t="s">
        <v>654</v>
      </c>
      <c r="B264" s="279" t="s">
        <v>565</v>
      </c>
      <c r="C264" s="279" t="s">
        <v>269</v>
      </c>
      <c r="D264" s="279" t="s">
        <v>566</v>
      </c>
      <c r="E264" s="324">
        <f>F264</f>
        <v>108400</v>
      </c>
      <c r="F264" s="170">
        <v>108400</v>
      </c>
      <c r="G264" s="170"/>
      <c r="H264" s="170"/>
      <c r="I264" s="170"/>
      <c r="J264" s="844">
        <f>L264+O264</f>
        <v>0</v>
      </c>
      <c r="K264" s="313"/>
      <c r="L264" s="170"/>
      <c r="M264" s="170"/>
      <c r="N264" s="170"/>
      <c r="O264" s="849">
        <f>K264</f>
        <v>0</v>
      </c>
      <c r="P264" s="844">
        <f>E264+J264</f>
        <v>108400</v>
      </c>
      <c r="Q264" s="187"/>
      <c r="R264" s="198"/>
    </row>
    <row r="265" spans="1:18" s="158" customFormat="1" ht="93" thickTop="1" thickBot="1" x14ac:dyDescent="0.25">
      <c r="A265" s="564" t="s">
        <v>655</v>
      </c>
      <c r="B265" s="564" t="s">
        <v>268</v>
      </c>
      <c r="C265" s="564" t="s">
        <v>269</v>
      </c>
      <c r="D265" s="564" t="s">
        <v>267</v>
      </c>
      <c r="E265" s="324">
        <f t="shared" ref="E265:E266" si="267">F265</f>
        <v>2347778</v>
      </c>
      <c r="F265" s="170">
        <f>-69200-15200-10000-10000+((1833178+1219000)-600000)</f>
        <v>2347778</v>
      </c>
      <c r="G265" s="170">
        <f>-69200+(((1494859)+894000)-600000)</f>
        <v>1719659</v>
      </c>
      <c r="H265" s="170">
        <f>-10000+((20785)+9000)</f>
        <v>19785</v>
      </c>
      <c r="I265" s="170"/>
      <c r="J265" s="844">
        <f>L265+O265</f>
        <v>32000</v>
      </c>
      <c r="K265" s="313">
        <v>32000</v>
      </c>
      <c r="L265" s="170"/>
      <c r="M265" s="170"/>
      <c r="N265" s="170"/>
      <c r="O265" s="849">
        <f>K265</f>
        <v>32000</v>
      </c>
      <c r="P265" s="844">
        <f>E265+J265</f>
        <v>2379778</v>
      </c>
      <c r="Q265" s="187"/>
      <c r="R265" s="238" t="b">
        <f>K265='d6'!J270</f>
        <v>1</v>
      </c>
    </row>
    <row r="266" spans="1:18" s="158" customFormat="1" ht="93" hidden="1" thickTop="1" thickBot="1" x14ac:dyDescent="0.25">
      <c r="A266" s="511" t="s">
        <v>656</v>
      </c>
      <c r="B266" s="511" t="s">
        <v>657</v>
      </c>
      <c r="C266" s="511" t="s">
        <v>269</v>
      </c>
      <c r="D266" s="511" t="s">
        <v>658</v>
      </c>
      <c r="E266" s="517">
        <f t="shared" si="267"/>
        <v>0</v>
      </c>
      <c r="F266" s="518">
        <f>(1219000)-1219000</f>
        <v>0</v>
      </c>
      <c r="G266" s="518">
        <f>(354000+540000)-894000</f>
        <v>0</v>
      </c>
      <c r="H266" s="518">
        <f>(6000+3000)-9000</f>
        <v>0</v>
      </c>
      <c r="I266" s="518"/>
      <c r="J266" s="836">
        <f>L266+O266</f>
        <v>0</v>
      </c>
      <c r="K266" s="809"/>
      <c r="L266" s="837"/>
      <c r="M266" s="837"/>
      <c r="N266" s="837"/>
      <c r="O266" s="838">
        <f>K266</f>
        <v>0</v>
      </c>
      <c r="P266" s="836">
        <f>E266+J266</f>
        <v>0</v>
      </c>
      <c r="Q266" s="187"/>
      <c r="R266" s="198"/>
    </row>
    <row r="267" spans="1:18" ht="316.5" thickTop="1" thickBot="1" x14ac:dyDescent="0.25">
      <c r="A267" s="853" t="s">
        <v>25</v>
      </c>
      <c r="B267" s="853"/>
      <c r="C267" s="853"/>
      <c r="D267" s="854" t="s">
        <v>400</v>
      </c>
      <c r="E267" s="855">
        <f>E268</f>
        <v>3171607</v>
      </c>
      <c r="F267" s="856">
        <f t="shared" ref="F267:G267" si="268">F268</f>
        <v>3171607</v>
      </c>
      <c r="G267" s="856">
        <f t="shared" si="268"/>
        <v>2187850</v>
      </c>
      <c r="H267" s="856">
        <f>H268</f>
        <v>86370</v>
      </c>
      <c r="I267" s="856">
        <f t="shared" ref="I267" si="269">I268</f>
        <v>0</v>
      </c>
      <c r="J267" s="855">
        <f>J268</f>
        <v>265150566.50999999</v>
      </c>
      <c r="K267" s="856">
        <f>K268</f>
        <v>263650566.50999999</v>
      </c>
      <c r="L267" s="856">
        <f>L268</f>
        <v>0</v>
      </c>
      <c r="M267" s="856">
        <f t="shared" ref="M267" si="270">M268</f>
        <v>0</v>
      </c>
      <c r="N267" s="856">
        <f>N268</f>
        <v>0</v>
      </c>
      <c r="O267" s="855">
        <f>O268</f>
        <v>265150566.50999999</v>
      </c>
      <c r="P267" s="856">
        <f t="shared" ref="P267" si="271">P268</f>
        <v>268322173.50999999</v>
      </c>
    </row>
    <row r="268" spans="1:18" ht="181.5" thickTop="1" thickBot="1" x14ac:dyDescent="0.25">
      <c r="A268" s="857" t="s">
        <v>26</v>
      </c>
      <c r="B268" s="857"/>
      <c r="C268" s="857"/>
      <c r="D268" s="858" t="s">
        <v>1068</v>
      </c>
      <c r="E268" s="859">
        <f>E269+E273+E276</f>
        <v>3171607</v>
      </c>
      <c r="F268" s="859">
        <f t="shared" ref="F268:I268" si="272">F269+F273+F276</f>
        <v>3171607</v>
      </c>
      <c r="G268" s="859">
        <f t="shared" si="272"/>
        <v>2187850</v>
      </c>
      <c r="H268" s="859">
        <f t="shared" si="272"/>
        <v>86370</v>
      </c>
      <c r="I268" s="859">
        <f t="shared" si="272"/>
        <v>0</v>
      </c>
      <c r="J268" s="859">
        <f>L268+O268</f>
        <v>265150566.50999999</v>
      </c>
      <c r="K268" s="859">
        <f t="shared" ref="K268:O268" si="273">K269+K273+K276</f>
        <v>263650566.50999999</v>
      </c>
      <c r="L268" s="859">
        <f t="shared" si="273"/>
        <v>0</v>
      </c>
      <c r="M268" s="859">
        <f t="shared" si="273"/>
        <v>0</v>
      </c>
      <c r="N268" s="859">
        <f t="shared" si="273"/>
        <v>0</v>
      </c>
      <c r="O268" s="859">
        <f t="shared" si="273"/>
        <v>265150566.50999999</v>
      </c>
      <c r="P268" s="859">
        <f t="shared" ref="P268:P284" si="274">E268+J268</f>
        <v>268322173.50999999</v>
      </c>
      <c r="Q268" s="125" t="b">
        <f>P268=P280+P282+P283+P270+P284+P275+P281+P271+P278+P272+P287</f>
        <v>1</v>
      </c>
      <c r="R268" s="238" t="b">
        <f>K268='d6'!J272</f>
        <v>1</v>
      </c>
    </row>
    <row r="269" spans="1:18" s="436" customFormat="1" ht="47.25" thickTop="1" thickBot="1" x14ac:dyDescent="0.25">
      <c r="A269" s="455" t="s">
        <v>975</v>
      </c>
      <c r="B269" s="455" t="s">
        <v>843</v>
      </c>
      <c r="C269" s="455"/>
      <c r="D269" s="455" t="s">
        <v>844</v>
      </c>
      <c r="E269" s="440">
        <f t="shared" ref="E269:P269" si="275">SUM(E270:E272)</f>
        <v>3171607</v>
      </c>
      <c r="F269" s="589">
        <f t="shared" si="275"/>
        <v>3171607</v>
      </c>
      <c r="G269" s="589">
        <f t="shared" si="275"/>
        <v>2187850</v>
      </c>
      <c r="H269" s="589">
        <f t="shared" si="275"/>
        <v>86370</v>
      </c>
      <c r="I269" s="589">
        <f t="shared" si="275"/>
        <v>0</v>
      </c>
      <c r="J269" s="844">
        <f t="shared" si="275"/>
        <v>0</v>
      </c>
      <c r="K269" s="844">
        <f t="shared" si="275"/>
        <v>0</v>
      </c>
      <c r="L269" s="844">
        <f t="shared" si="275"/>
        <v>0</v>
      </c>
      <c r="M269" s="844">
        <f t="shared" si="275"/>
        <v>0</v>
      </c>
      <c r="N269" s="844">
        <f t="shared" si="275"/>
        <v>0</v>
      </c>
      <c r="O269" s="844">
        <f t="shared" si="275"/>
        <v>0</v>
      </c>
      <c r="P269" s="844">
        <f t="shared" si="275"/>
        <v>3171607</v>
      </c>
      <c r="Q269" s="125"/>
      <c r="R269" s="238"/>
    </row>
    <row r="270" spans="1:18" ht="230.25" thickTop="1" thickBot="1" x14ac:dyDescent="0.25">
      <c r="A270" s="325" t="s">
        <v>445</v>
      </c>
      <c r="B270" s="325" t="s">
        <v>254</v>
      </c>
      <c r="C270" s="325" t="s">
        <v>252</v>
      </c>
      <c r="D270" s="325" t="s">
        <v>253</v>
      </c>
      <c r="E270" s="327">
        <f>F270</f>
        <v>3016607</v>
      </c>
      <c r="F270" s="313">
        <f>-180000-70000+7000-50000+((2367850+520950+61660+322000+2000+1570+24500+53300+1610+1075-5000)-145008-1000+1000+49750+17000+10000+20835+3015+1000+1500)</f>
        <v>3016607</v>
      </c>
      <c r="G270" s="313">
        <f>-180000+(2367850)</f>
        <v>2187850</v>
      </c>
      <c r="H270" s="313">
        <f>7000+(1570+24500+53300)</f>
        <v>86370</v>
      </c>
      <c r="I270" s="313"/>
      <c r="J270" s="844">
        <f t="shared" ref="J270:J284" si="276">L270+O270</f>
        <v>0</v>
      </c>
      <c r="K270" s="313"/>
      <c r="L270" s="313"/>
      <c r="M270" s="313"/>
      <c r="N270" s="313"/>
      <c r="O270" s="849">
        <f>K270</f>
        <v>0</v>
      </c>
      <c r="P270" s="844">
        <f t="shared" si="274"/>
        <v>3016607</v>
      </c>
      <c r="Q270" s="197"/>
      <c r="R270" s="198"/>
    </row>
    <row r="271" spans="1:18" s="319" customFormat="1" ht="184.5" thickTop="1" thickBot="1" x14ac:dyDescent="0.25">
      <c r="A271" s="320" t="s">
        <v>788</v>
      </c>
      <c r="B271" s="320" t="s">
        <v>388</v>
      </c>
      <c r="C271" s="320" t="s">
        <v>778</v>
      </c>
      <c r="D271" s="320" t="s">
        <v>779</v>
      </c>
      <c r="E271" s="324">
        <f>F271</f>
        <v>5000</v>
      </c>
      <c r="F271" s="170">
        <v>5000</v>
      </c>
      <c r="G271" s="170"/>
      <c r="H271" s="170"/>
      <c r="I271" s="170"/>
      <c r="J271" s="844">
        <f t="shared" si="276"/>
        <v>0</v>
      </c>
      <c r="K271" s="170"/>
      <c r="L271" s="847"/>
      <c r="M271" s="847"/>
      <c r="N271" s="847"/>
      <c r="O271" s="849">
        <f t="shared" ref="O271" si="277">K271</f>
        <v>0</v>
      </c>
      <c r="P271" s="844">
        <f t="shared" ref="P271" si="278">+J271+E271</f>
        <v>5000</v>
      </c>
      <c r="Q271" s="197"/>
      <c r="R271" s="198"/>
    </row>
    <row r="272" spans="1:18" s="584" customFormat="1" ht="93" thickTop="1" thickBot="1" x14ac:dyDescent="0.25">
      <c r="A272" s="590" t="s">
        <v>1154</v>
      </c>
      <c r="B272" s="590" t="s">
        <v>45</v>
      </c>
      <c r="C272" s="590" t="s">
        <v>44</v>
      </c>
      <c r="D272" s="590" t="s">
        <v>266</v>
      </c>
      <c r="E272" s="324">
        <f>F272</f>
        <v>150000</v>
      </c>
      <c r="F272" s="170">
        <v>150000</v>
      </c>
      <c r="G272" s="170"/>
      <c r="H272" s="170"/>
      <c r="I272" s="170"/>
      <c r="J272" s="844">
        <f t="shared" ref="J272" si="279">L272+O272</f>
        <v>0</v>
      </c>
      <c r="K272" s="170"/>
      <c r="L272" s="847"/>
      <c r="M272" s="847"/>
      <c r="N272" s="847"/>
      <c r="O272" s="849">
        <f t="shared" ref="O272" si="280">K272</f>
        <v>0</v>
      </c>
      <c r="P272" s="844">
        <f t="shared" ref="P272" si="281">+J272+E272</f>
        <v>150000</v>
      </c>
      <c r="Q272" s="197"/>
      <c r="R272" s="198"/>
    </row>
    <row r="273" spans="1:18" s="436" customFormat="1" ht="47.25" thickTop="1" thickBot="1" x14ac:dyDescent="0.25">
      <c r="A273" s="455" t="s">
        <v>976</v>
      </c>
      <c r="B273" s="455" t="s">
        <v>931</v>
      </c>
      <c r="C273" s="439"/>
      <c r="D273" s="455" t="s">
        <v>932</v>
      </c>
      <c r="E273" s="324">
        <f>E274</f>
        <v>0</v>
      </c>
      <c r="F273" s="324">
        <f t="shared" ref="F273:P274" si="282">F274</f>
        <v>0</v>
      </c>
      <c r="G273" s="324">
        <f t="shared" si="282"/>
        <v>0</v>
      </c>
      <c r="H273" s="324">
        <f t="shared" si="282"/>
        <v>0</v>
      </c>
      <c r="I273" s="324">
        <f t="shared" si="282"/>
        <v>0</v>
      </c>
      <c r="J273" s="324">
        <f t="shared" si="282"/>
        <v>112000000</v>
      </c>
      <c r="K273" s="324">
        <f t="shared" si="282"/>
        <v>112000000</v>
      </c>
      <c r="L273" s="324">
        <f t="shared" si="282"/>
        <v>0</v>
      </c>
      <c r="M273" s="324">
        <f t="shared" si="282"/>
        <v>0</v>
      </c>
      <c r="N273" s="324">
        <f t="shared" si="282"/>
        <v>0</v>
      </c>
      <c r="O273" s="324">
        <f t="shared" si="282"/>
        <v>112000000</v>
      </c>
      <c r="P273" s="324">
        <f t="shared" si="282"/>
        <v>112000000</v>
      </c>
      <c r="Q273" s="197"/>
      <c r="R273" s="198"/>
    </row>
    <row r="274" spans="1:18" s="436" customFormat="1" ht="93" thickTop="1" thickBot="1" x14ac:dyDescent="0.25">
      <c r="A274" s="365" t="s">
        <v>977</v>
      </c>
      <c r="B274" s="365" t="s">
        <v>978</v>
      </c>
      <c r="C274" s="365"/>
      <c r="D274" s="365" t="s">
        <v>979</v>
      </c>
      <c r="E274" s="464">
        <f>E275</f>
        <v>0</v>
      </c>
      <c r="F274" s="464">
        <f t="shared" si="282"/>
        <v>0</v>
      </c>
      <c r="G274" s="464">
        <f t="shared" si="282"/>
        <v>0</v>
      </c>
      <c r="H274" s="464">
        <f t="shared" si="282"/>
        <v>0</v>
      </c>
      <c r="I274" s="464">
        <f t="shared" si="282"/>
        <v>0</v>
      </c>
      <c r="J274" s="464">
        <f t="shared" si="282"/>
        <v>112000000</v>
      </c>
      <c r="K274" s="464">
        <f t="shared" si="282"/>
        <v>112000000</v>
      </c>
      <c r="L274" s="464">
        <f t="shared" si="282"/>
        <v>0</v>
      </c>
      <c r="M274" s="464">
        <f t="shared" si="282"/>
        <v>0</v>
      </c>
      <c r="N274" s="464">
        <f t="shared" si="282"/>
        <v>0</v>
      </c>
      <c r="O274" s="464">
        <f t="shared" si="282"/>
        <v>112000000</v>
      </c>
      <c r="P274" s="464">
        <f t="shared" si="282"/>
        <v>112000000</v>
      </c>
      <c r="Q274" s="197"/>
      <c r="R274" s="198"/>
    </row>
    <row r="275" spans="1:18" ht="321.75" thickTop="1" thickBot="1" x14ac:dyDescent="0.25">
      <c r="A275" s="300" t="s">
        <v>463</v>
      </c>
      <c r="B275" s="300" t="s">
        <v>465</v>
      </c>
      <c r="C275" s="300" t="s">
        <v>213</v>
      </c>
      <c r="D275" s="300" t="s">
        <v>464</v>
      </c>
      <c r="E275" s="299">
        <f t="shared" ref="E275:E282" si="283">F275</f>
        <v>0</v>
      </c>
      <c r="F275" s="313"/>
      <c r="G275" s="313"/>
      <c r="H275" s="313"/>
      <c r="I275" s="313"/>
      <c r="J275" s="844">
        <f t="shared" si="276"/>
        <v>112000000</v>
      </c>
      <c r="K275" s="313">
        <f>((8000000+2000000+7000000)+70000000)+25000000</f>
        <v>112000000</v>
      </c>
      <c r="L275" s="313"/>
      <c r="M275" s="313"/>
      <c r="N275" s="313"/>
      <c r="O275" s="849">
        <f t="shared" ref="O275" si="284">K275</f>
        <v>112000000</v>
      </c>
      <c r="P275" s="844">
        <f t="shared" si="274"/>
        <v>112000000</v>
      </c>
      <c r="Q275" s="197"/>
      <c r="R275" s="238" t="b">
        <f>K275='d6'!J273</f>
        <v>1</v>
      </c>
    </row>
    <row r="276" spans="1:18" s="436" customFormat="1" ht="47.25" thickTop="1" thickBot="1" x14ac:dyDescent="0.25">
      <c r="A276" s="455" t="s">
        <v>980</v>
      </c>
      <c r="B276" s="455" t="s">
        <v>908</v>
      </c>
      <c r="C276" s="439"/>
      <c r="D276" s="455" t="s">
        <v>955</v>
      </c>
      <c r="E276" s="440">
        <f>E277+E285</f>
        <v>0</v>
      </c>
      <c r="F276" s="714">
        <f t="shared" ref="F276:I276" si="285">F277+F285</f>
        <v>0</v>
      </c>
      <c r="G276" s="714">
        <f t="shared" si="285"/>
        <v>0</v>
      </c>
      <c r="H276" s="714">
        <f t="shared" si="285"/>
        <v>0</v>
      </c>
      <c r="I276" s="714">
        <f t="shared" si="285"/>
        <v>0</v>
      </c>
      <c r="J276" s="844">
        <f t="shared" ref="J276" si="286">J277+J285</f>
        <v>153150566.50999999</v>
      </c>
      <c r="K276" s="844">
        <f t="shared" ref="K276" si="287">K277+K285</f>
        <v>151650566.50999999</v>
      </c>
      <c r="L276" s="844">
        <f t="shared" ref="L276" si="288">L277+L285</f>
        <v>0</v>
      </c>
      <c r="M276" s="844">
        <f t="shared" ref="M276" si="289">M277+M285</f>
        <v>0</v>
      </c>
      <c r="N276" s="844">
        <f t="shared" ref="N276" si="290">N277+N285</f>
        <v>0</v>
      </c>
      <c r="O276" s="844">
        <f t="shared" ref="O276" si="291">O277+O285</f>
        <v>153150566.50999999</v>
      </c>
      <c r="P276" s="844">
        <f t="shared" ref="P276" si="292">P277+P285</f>
        <v>153150566.50999999</v>
      </c>
      <c r="Q276" s="197"/>
      <c r="R276" s="198"/>
    </row>
    <row r="277" spans="1:18" s="436" customFormat="1" ht="91.5" thickTop="1" thickBot="1" x14ac:dyDescent="0.25">
      <c r="A277" s="404" t="s">
        <v>981</v>
      </c>
      <c r="B277" s="404" t="s">
        <v>964</v>
      </c>
      <c r="C277" s="404"/>
      <c r="D277" s="404" t="s">
        <v>965</v>
      </c>
      <c r="E277" s="366">
        <f t="shared" ref="E277:P277" si="293">SUM(E278:E284)-E279</f>
        <v>0</v>
      </c>
      <c r="F277" s="366">
        <f t="shared" si="293"/>
        <v>0</v>
      </c>
      <c r="G277" s="366">
        <f t="shared" si="293"/>
        <v>0</v>
      </c>
      <c r="H277" s="366">
        <f t="shared" si="293"/>
        <v>0</v>
      </c>
      <c r="I277" s="366">
        <f t="shared" si="293"/>
        <v>0</v>
      </c>
      <c r="J277" s="366">
        <f t="shared" si="293"/>
        <v>151650566.50999999</v>
      </c>
      <c r="K277" s="366">
        <f t="shared" si="293"/>
        <v>151650566.50999999</v>
      </c>
      <c r="L277" s="366">
        <f t="shared" si="293"/>
        <v>0</v>
      </c>
      <c r="M277" s="366">
        <f t="shared" si="293"/>
        <v>0</v>
      </c>
      <c r="N277" s="366">
        <f t="shared" si="293"/>
        <v>0</v>
      </c>
      <c r="O277" s="366">
        <f t="shared" si="293"/>
        <v>151650566.50999999</v>
      </c>
      <c r="P277" s="366">
        <f t="shared" si="293"/>
        <v>151650566.50999999</v>
      </c>
      <c r="Q277" s="197"/>
      <c r="R277" s="198"/>
    </row>
    <row r="278" spans="1:18" s="584" customFormat="1" ht="99.75" thickTop="1" thickBot="1" x14ac:dyDescent="0.25">
      <c r="A278" s="588" t="s">
        <v>1153</v>
      </c>
      <c r="B278" s="588" t="s">
        <v>324</v>
      </c>
      <c r="C278" s="588" t="s">
        <v>323</v>
      </c>
      <c r="D278" s="588" t="s">
        <v>780</v>
      </c>
      <c r="E278" s="589">
        <f t="shared" ref="E278" si="294">F278</f>
        <v>0</v>
      </c>
      <c r="F278" s="313"/>
      <c r="G278" s="313"/>
      <c r="H278" s="313"/>
      <c r="I278" s="313"/>
      <c r="J278" s="844">
        <f t="shared" ref="J278" si="295">L278+O278</f>
        <v>80574.510000000009</v>
      </c>
      <c r="K278" s="313">
        <f>(36872.51)+43702</f>
        <v>80574.510000000009</v>
      </c>
      <c r="L278" s="313"/>
      <c r="M278" s="313"/>
      <c r="N278" s="313"/>
      <c r="O278" s="849">
        <f>K278</f>
        <v>80574.510000000009</v>
      </c>
      <c r="P278" s="844">
        <f t="shared" ref="P278" si="296">E278+J278</f>
        <v>80574.510000000009</v>
      </c>
      <c r="Q278" s="197"/>
      <c r="R278" s="238" t="b">
        <f>K278='d6'!J275</f>
        <v>1</v>
      </c>
    </row>
    <row r="279" spans="1:18" s="436" customFormat="1" ht="146.25" thickTop="1" thickBot="1" x14ac:dyDescent="0.25">
      <c r="A279" s="365" t="s">
        <v>982</v>
      </c>
      <c r="B279" s="365" t="s">
        <v>983</v>
      </c>
      <c r="C279" s="365"/>
      <c r="D279" s="365" t="s">
        <v>984</v>
      </c>
      <c r="E279" s="367">
        <f>SUM(E280:E281)</f>
        <v>0</v>
      </c>
      <c r="F279" s="367">
        <f t="shared" ref="F279:P279" si="297">SUM(F280:F281)</f>
        <v>0</v>
      </c>
      <c r="G279" s="367">
        <f t="shared" si="297"/>
        <v>0</v>
      </c>
      <c r="H279" s="367">
        <f t="shared" si="297"/>
        <v>0</v>
      </c>
      <c r="I279" s="367">
        <f t="shared" si="297"/>
        <v>0</v>
      </c>
      <c r="J279" s="367">
        <f t="shared" si="297"/>
        <v>24014264</v>
      </c>
      <c r="K279" s="367">
        <f t="shared" si="297"/>
        <v>24014264</v>
      </c>
      <c r="L279" s="367">
        <f t="shared" si="297"/>
        <v>0</v>
      </c>
      <c r="M279" s="367">
        <f t="shared" si="297"/>
        <v>0</v>
      </c>
      <c r="N279" s="367">
        <f t="shared" si="297"/>
        <v>0</v>
      </c>
      <c r="O279" s="367">
        <f t="shared" si="297"/>
        <v>24014264</v>
      </c>
      <c r="P279" s="367">
        <f t="shared" si="297"/>
        <v>24014264</v>
      </c>
      <c r="Q279" s="197"/>
      <c r="R279" s="198"/>
    </row>
    <row r="280" spans="1:18" ht="99.75" thickTop="1" thickBot="1" x14ac:dyDescent="0.25">
      <c r="A280" s="300" t="s">
        <v>333</v>
      </c>
      <c r="B280" s="300" t="s">
        <v>334</v>
      </c>
      <c r="C280" s="300" t="s">
        <v>323</v>
      </c>
      <c r="D280" s="300" t="s">
        <v>781</v>
      </c>
      <c r="E280" s="299">
        <f t="shared" si="283"/>
        <v>0</v>
      </c>
      <c r="F280" s="313"/>
      <c r="G280" s="313"/>
      <c r="H280" s="313"/>
      <c r="I280" s="313"/>
      <c r="J280" s="844">
        <f t="shared" si="276"/>
        <v>23814264</v>
      </c>
      <c r="K280" s="313">
        <f>443307+(((6855987)+16002910-1087940)+1600000)</f>
        <v>23814264</v>
      </c>
      <c r="L280" s="313"/>
      <c r="M280" s="313"/>
      <c r="N280" s="313"/>
      <c r="O280" s="849">
        <f>K280</f>
        <v>23814264</v>
      </c>
      <c r="P280" s="844">
        <f t="shared" si="274"/>
        <v>23814264</v>
      </c>
      <c r="Q280" s="188"/>
      <c r="R280" s="238" t="b">
        <f>K280='d6'!J276+'d6'!J277+'d6'!J278+'d6'!J279+'d6'!J280</f>
        <v>1</v>
      </c>
    </row>
    <row r="281" spans="1:18" ht="99.75" thickTop="1" thickBot="1" x14ac:dyDescent="0.25">
      <c r="A281" s="300" t="s">
        <v>563</v>
      </c>
      <c r="B281" s="300" t="s">
        <v>564</v>
      </c>
      <c r="C281" s="300" t="s">
        <v>323</v>
      </c>
      <c r="D281" s="300" t="s">
        <v>782</v>
      </c>
      <c r="E281" s="299">
        <f t="shared" si="283"/>
        <v>0</v>
      </c>
      <c r="F281" s="313"/>
      <c r="G281" s="313"/>
      <c r="H281" s="313"/>
      <c r="I281" s="313"/>
      <c r="J281" s="844">
        <f t="shared" si="276"/>
        <v>200000</v>
      </c>
      <c r="K281" s="313">
        <v>200000</v>
      </c>
      <c r="L281" s="313"/>
      <c r="M281" s="313"/>
      <c r="N281" s="313"/>
      <c r="O281" s="849">
        <f>K281</f>
        <v>200000</v>
      </c>
      <c r="P281" s="844">
        <f t="shared" si="274"/>
        <v>200000</v>
      </c>
      <c r="Q281" s="188"/>
      <c r="R281" s="238" t="b">
        <f>K281='d6'!J281</f>
        <v>1</v>
      </c>
    </row>
    <row r="282" spans="1:18" ht="145.5" hidden="1" thickTop="1" thickBot="1" x14ac:dyDescent="0.25">
      <c r="A282" s="300" t="s">
        <v>335</v>
      </c>
      <c r="B282" s="300" t="s">
        <v>336</v>
      </c>
      <c r="C282" s="300" t="s">
        <v>323</v>
      </c>
      <c r="D282" s="300" t="s">
        <v>783</v>
      </c>
      <c r="E282" s="299">
        <f t="shared" si="283"/>
        <v>0</v>
      </c>
      <c r="F282" s="313"/>
      <c r="G282" s="313"/>
      <c r="H282" s="313"/>
      <c r="I282" s="313"/>
      <c r="J282" s="844">
        <f t="shared" si="276"/>
        <v>0</v>
      </c>
      <c r="K282" s="313">
        <v>0</v>
      </c>
      <c r="L282" s="313"/>
      <c r="M282" s="313"/>
      <c r="N282" s="313"/>
      <c r="O282" s="849">
        <f>K282</f>
        <v>0</v>
      </c>
      <c r="P282" s="844">
        <f t="shared" si="274"/>
        <v>0</v>
      </c>
      <c r="Q282" s="188"/>
    </row>
    <row r="283" spans="1:18" ht="99.75" thickTop="1" thickBot="1" x14ac:dyDescent="0.3">
      <c r="A283" s="300" t="s">
        <v>337</v>
      </c>
      <c r="B283" s="300" t="s">
        <v>338</v>
      </c>
      <c r="C283" s="300" t="s">
        <v>323</v>
      </c>
      <c r="D283" s="300" t="s">
        <v>784</v>
      </c>
      <c r="E283" s="299">
        <f>F283</f>
        <v>0</v>
      </c>
      <c r="F283" s="313"/>
      <c r="G283" s="313"/>
      <c r="H283" s="313"/>
      <c r="I283" s="313"/>
      <c r="J283" s="844">
        <f t="shared" si="276"/>
        <v>17474426</v>
      </c>
      <c r="K283" s="313">
        <f>-487009+(((9126836+5000000+370000)+2068629+795970)-1400000)+2000000</f>
        <v>17474426</v>
      </c>
      <c r="L283" s="313"/>
      <c r="M283" s="313"/>
      <c r="N283" s="313"/>
      <c r="O283" s="849">
        <f>K283</f>
        <v>17474426</v>
      </c>
      <c r="P283" s="844">
        <f t="shared" si="274"/>
        <v>17474426</v>
      </c>
      <c r="Q283" s="200"/>
      <c r="R283" s="238" t="b">
        <f>K283='d6'!J282+'d6'!J283+'d6'!J284+'d6'!J285+'d6'!J286+'d6'!J287+'d6'!J288+'d6'!J289+'d6'!J290+'d6'!J291+'d6'!J292+'d6'!J293</f>
        <v>1</v>
      </c>
    </row>
    <row r="284" spans="1:18" ht="138.75" thickTop="1" thickBot="1" x14ac:dyDescent="0.25">
      <c r="A284" s="300" t="s">
        <v>469</v>
      </c>
      <c r="B284" s="300" t="s">
        <v>376</v>
      </c>
      <c r="C284" s="300" t="s">
        <v>184</v>
      </c>
      <c r="D284" s="300" t="s">
        <v>280</v>
      </c>
      <c r="E284" s="299">
        <f>F284</f>
        <v>0</v>
      </c>
      <c r="F284" s="313"/>
      <c r="G284" s="313"/>
      <c r="H284" s="313"/>
      <c r="I284" s="313"/>
      <c r="J284" s="844">
        <f t="shared" si="276"/>
        <v>110081302</v>
      </c>
      <c r="K284" s="313">
        <f>((23737852+6343450)+20000000)+60000000</f>
        <v>110081302</v>
      </c>
      <c r="L284" s="313"/>
      <c r="M284" s="313"/>
      <c r="N284" s="313"/>
      <c r="O284" s="849">
        <f>K284</f>
        <v>110081302</v>
      </c>
      <c r="P284" s="844">
        <f t="shared" si="274"/>
        <v>110081302</v>
      </c>
      <c r="R284" s="238" t="b">
        <f>K284='d6'!J294</f>
        <v>1</v>
      </c>
    </row>
    <row r="285" spans="1:18" s="711" customFormat="1" ht="136.5" thickTop="1" thickBot="1" x14ac:dyDescent="0.25">
      <c r="A285" s="450" t="s">
        <v>1301</v>
      </c>
      <c r="B285" s="450" t="s">
        <v>850</v>
      </c>
      <c r="C285" s="450"/>
      <c r="D285" s="450" t="s">
        <v>848</v>
      </c>
      <c r="E285" s="463">
        <f>E286</f>
        <v>0</v>
      </c>
      <c r="F285" s="463">
        <f>F286</f>
        <v>0</v>
      </c>
      <c r="G285" s="463">
        <f>G286</f>
        <v>0</v>
      </c>
      <c r="H285" s="463">
        <f>H286</f>
        <v>0</v>
      </c>
      <c r="I285" s="463">
        <f>I286</f>
        <v>0</v>
      </c>
      <c r="J285" s="463">
        <f t="shared" ref="J285:O285" si="298">J286</f>
        <v>1500000</v>
      </c>
      <c r="K285" s="463">
        <f t="shared" si="298"/>
        <v>0</v>
      </c>
      <c r="L285" s="463">
        <f t="shared" si="298"/>
        <v>0</v>
      </c>
      <c r="M285" s="463">
        <f t="shared" si="298"/>
        <v>0</v>
      </c>
      <c r="N285" s="463">
        <f t="shared" si="298"/>
        <v>0</v>
      </c>
      <c r="O285" s="463">
        <f t="shared" si="298"/>
        <v>1500000</v>
      </c>
      <c r="P285" s="463">
        <f>P286</f>
        <v>1500000</v>
      </c>
      <c r="Q285" s="719"/>
      <c r="R285" s="238"/>
    </row>
    <row r="286" spans="1:18" s="711" customFormat="1" ht="48" thickTop="1" thickBot="1" x14ac:dyDescent="0.25">
      <c r="A286" s="445" t="s">
        <v>1302</v>
      </c>
      <c r="B286" s="445" t="s">
        <v>853</v>
      </c>
      <c r="C286" s="445"/>
      <c r="D286" s="445" t="s">
        <v>958</v>
      </c>
      <c r="E286" s="464">
        <f>E287</f>
        <v>0</v>
      </c>
      <c r="F286" s="464">
        <f t="shared" ref="F286:P286" si="299">F287</f>
        <v>0</v>
      </c>
      <c r="G286" s="464">
        <f t="shared" si="299"/>
        <v>0</v>
      </c>
      <c r="H286" s="464">
        <f t="shared" si="299"/>
        <v>0</v>
      </c>
      <c r="I286" s="464">
        <f t="shared" si="299"/>
        <v>0</v>
      </c>
      <c r="J286" s="464">
        <f t="shared" si="299"/>
        <v>1500000</v>
      </c>
      <c r="K286" s="464">
        <f t="shared" si="299"/>
        <v>0</v>
      </c>
      <c r="L286" s="464">
        <f t="shared" si="299"/>
        <v>0</v>
      </c>
      <c r="M286" s="464">
        <f t="shared" si="299"/>
        <v>0</v>
      </c>
      <c r="N286" s="464">
        <f t="shared" si="299"/>
        <v>0</v>
      </c>
      <c r="O286" s="464">
        <f t="shared" si="299"/>
        <v>1500000</v>
      </c>
      <c r="P286" s="464">
        <f t="shared" si="299"/>
        <v>1500000</v>
      </c>
      <c r="Q286" s="719"/>
      <c r="R286" s="238"/>
    </row>
    <row r="287" spans="1:18" s="711" customFormat="1" ht="409.6" thickTop="1" thickBot="1" x14ac:dyDescent="0.7">
      <c r="A287" s="1037" t="s">
        <v>1303</v>
      </c>
      <c r="B287" s="1037" t="s">
        <v>363</v>
      </c>
      <c r="C287" s="1037" t="s">
        <v>184</v>
      </c>
      <c r="D287" s="326" t="s">
        <v>473</v>
      </c>
      <c r="E287" s="1038">
        <f t="shared" ref="E287" si="300">F287</f>
        <v>0</v>
      </c>
      <c r="F287" s="1039"/>
      <c r="G287" s="1039"/>
      <c r="H287" s="1039"/>
      <c r="I287" s="1039"/>
      <c r="J287" s="1038">
        <f t="shared" ref="J287" si="301">L287+O287</f>
        <v>1500000</v>
      </c>
      <c r="K287" s="1039"/>
      <c r="L287" s="1039"/>
      <c r="M287" s="1039"/>
      <c r="N287" s="1039"/>
      <c r="O287" s="1041">
        <f>K287+1500000</f>
        <v>1500000</v>
      </c>
      <c r="P287" s="1032">
        <f>E287+J287</f>
        <v>1500000</v>
      </c>
      <c r="Q287" s="719"/>
      <c r="R287" s="238"/>
    </row>
    <row r="288" spans="1:18" s="711" customFormat="1" ht="184.5" thickTop="1" thickBot="1" x14ac:dyDescent="0.25">
      <c r="A288" s="1037"/>
      <c r="B288" s="1037"/>
      <c r="C288" s="1037"/>
      <c r="D288" s="329" t="s">
        <v>474</v>
      </c>
      <c r="E288" s="1038"/>
      <c r="F288" s="1039"/>
      <c r="G288" s="1039"/>
      <c r="H288" s="1039"/>
      <c r="I288" s="1039"/>
      <c r="J288" s="1038"/>
      <c r="K288" s="1039"/>
      <c r="L288" s="1039"/>
      <c r="M288" s="1039"/>
      <c r="N288" s="1039"/>
      <c r="O288" s="1041"/>
      <c r="P288" s="1032"/>
      <c r="Q288" s="719"/>
      <c r="R288" s="238"/>
    </row>
    <row r="289" spans="1:18" ht="181.5" thickTop="1" thickBot="1" x14ac:dyDescent="0.25">
      <c r="A289" s="853" t="s">
        <v>174</v>
      </c>
      <c r="B289" s="853"/>
      <c r="C289" s="853"/>
      <c r="D289" s="854" t="s">
        <v>1069</v>
      </c>
      <c r="E289" s="855">
        <f>E290</f>
        <v>6219215</v>
      </c>
      <c r="F289" s="856">
        <f t="shared" ref="F289:G289" si="302">F290</f>
        <v>6219215</v>
      </c>
      <c r="G289" s="856">
        <f t="shared" si="302"/>
        <v>4475575</v>
      </c>
      <c r="H289" s="856">
        <f>H290</f>
        <v>177645</v>
      </c>
      <c r="I289" s="856">
        <f t="shared" ref="I289" si="303">I290</f>
        <v>0</v>
      </c>
      <c r="J289" s="855">
        <f>J290</f>
        <v>837700</v>
      </c>
      <c r="K289" s="856">
        <f>K290</f>
        <v>837700</v>
      </c>
      <c r="L289" s="856">
        <f>L290</f>
        <v>0</v>
      </c>
      <c r="M289" s="856">
        <f t="shared" ref="M289" si="304">M290</f>
        <v>0</v>
      </c>
      <c r="N289" s="856">
        <f>N290</f>
        <v>0</v>
      </c>
      <c r="O289" s="855">
        <f>O290</f>
        <v>837700</v>
      </c>
      <c r="P289" s="856">
        <f t="shared" ref="P289" si="305">P290</f>
        <v>7056915</v>
      </c>
    </row>
    <row r="290" spans="1:18" ht="181.5" thickTop="1" thickBot="1" x14ac:dyDescent="0.25">
      <c r="A290" s="857" t="s">
        <v>175</v>
      </c>
      <c r="B290" s="857"/>
      <c r="C290" s="857"/>
      <c r="D290" s="858" t="s">
        <v>1070</v>
      </c>
      <c r="E290" s="859">
        <f>E291+E294</f>
        <v>6219215</v>
      </c>
      <c r="F290" s="859">
        <f>F291+F294</f>
        <v>6219215</v>
      </c>
      <c r="G290" s="859">
        <f>G291+G294</f>
        <v>4475575</v>
      </c>
      <c r="H290" s="859">
        <f>H291+H294</f>
        <v>177645</v>
      </c>
      <c r="I290" s="859">
        <f>I291+I294</f>
        <v>0</v>
      </c>
      <c r="J290" s="859">
        <f>L290+O290</f>
        <v>837700</v>
      </c>
      <c r="K290" s="859">
        <f>K291+K294</f>
        <v>837700</v>
      </c>
      <c r="L290" s="859">
        <f>L291+L294</f>
        <v>0</v>
      </c>
      <c r="M290" s="859">
        <f>M291+M294</f>
        <v>0</v>
      </c>
      <c r="N290" s="859">
        <f>N291+N294</f>
        <v>0</v>
      </c>
      <c r="O290" s="859">
        <f>O291+O294</f>
        <v>837700</v>
      </c>
      <c r="P290" s="859">
        <f>E290+J290</f>
        <v>7056915</v>
      </c>
      <c r="Q290" s="125" t="b">
        <f>P290=P292+P293+P296</f>
        <v>1</v>
      </c>
      <c r="R290" s="238" t="b">
        <f>J290='d6'!J295</f>
        <v>1</v>
      </c>
    </row>
    <row r="291" spans="1:18" s="436" customFormat="1" ht="47.25" thickTop="1" thickBot="1" x14ac:dyDescent="0.25">
      <c r="A291" s="173" t="s">
        <v>985</v>
      </c>
      <c r="B291" s="455" t="s">
        <v>843</v>
      </c>
      <c r="C291" s="455"/>
      <c r="D291" s="455" t="s">
        <v>844</v>
      </c>
      <c r="E291" s="440">
        <f>SUM(E292:E293)</f>
        <v>6219215</v>
      </c>
      <c r="F291" s="440">
        <f t="shared" ref="F291" si="306">SUM(F292:F293)</f>
        <v>6219215</v>
      </c>
      <c r="G291" s="440">
        <f t="shared" ref="G291" si="307">SUM(G292:G293)</f>
        <v>4475575</v>
      </c>
      <c r="H291" s="440">
        <f t="shared" ref="H291" si="308">SUM(H292:H293)</f>
        <v>177645</v>
      </c>
      <c r="I291" s="440">
        <f t="shared" ref="I291" si="309">SUM(I292:I293)</f>
        <v>0</v>
      </c>
      <c r="J291" s="844">
        <f t="shared" ref="J291" si="310">SUM(J292:J293)</f>
        <v>239700</v>
      </c>
      <c r="K291" s="844">
        <f t="shared" ref="K291" si="311">SUM(K292:K293)</f>
        <v>239700</v>
      </c>
      <c r="L291" s="844">
        <f t="shared" ref="L291" si="312">SUM(L292:L293)</f>
        <v>0</v>
      </c>
      <c r="M291" s="844">
        <f t="shared" ref="M291" si="313">SUM(M292:M293)</f>
        <v>0</v>
      </c>
      <c r="N291" s="844">
        <f t="shared" ref="N291" si="314">SUM(N292:N293)</f>
        <v>0</v>
      </c>
      <c r="O291" s="844">
        <f t="shared" ref="O291" si="315">SUM(O292:O293)</f>
        <v>239700</v>
      </c>
      <c r="P291" s="844">
        <f t="shared" ref="P291" si="316">SUM(P292:P293)</f>
        <v>6458915</v>
      </c>
      <c r="Q291" s="125"/>
      <c r="R291" s="238"/>
    </row>
    <row r="292" spans="1:18" ht="230.25" thickTop="1" thickBot="1" x14ac:dyDescent="0.25">
      <c r="A292" s="279" t="s">
        <v>447</v>
      </c>
      <c r="B292" s="279" t="s">
        <v>254</v>
      </c>
      <c r="C292" s="279" t="s">
        <v>252</v>
      </c>
      <c r="D292" s="279" t="s">
        <v>253</v>
      </c>
      <c r="E292" s="322">
        <f>F292</f>
        <v>6212215</v>
      </c>
      <c r="F292" s="323">
        <f>-450000-115000+41600+7000+((6523715-7000)+55900+140000+16000)</f>
        <v>6212215</v>
      </c>
      <c r="G292" s="323">
        <f>(4925575)-450000</f>
        <v>4475575</v>
      </c>
      <c r="H292" s="323">
        <f>41600+7000+(97095+1950+30000)</f>
        <v>177645</v>
      </c>
      <c r="I292" s="323"/>
      <c r="J292" s="844">
        <f>L292+O292</f>
        <v>239700</v>
      </c>
      <c r="K292" s="313">
        <f>63700+((140000)+36000)</f>
        <v>239700</v>
      </c>
      <c r="L292" s="313"/>
      <c r="M292" s="313"/>
      <c r="N292" s="313"/>
      <c r="O292" s="849">
        <f>K292</f>
        <v>239700</v>
      </c>
      <c r="P292" s="844">
        <f>E292+J292</f>
        <v>6451915</v>
      </c>
      <c r="Q292" s="197"/>
      <c r="R292" s="238" t="b">
        <f>K292='d6'!J297</f>
        <v>1</v>
      </c>
    </row>
    <row r="293" spans="1:18" s="319" customFormat="1" ht="184.5" thickTop="1" thickBot="1" x14ac:dyDescent="0.25">
      <c r="A293" s="325" t="s">
        <v>789</v>
      </c>
      <c r="B293" s="325" t="s">
        <v>388</v>
      </c>
      <c r="C293" s="325" t="s">
        <v>778</v>
      </c>
      <c r="D293" s="325" t="s">
        <v>779</v>
      </c>
      <c r="E293" s="324">
        <f>F293</f>
        <v>7000</v>
      </c>
      <c r="F293" s="170">
        <v>7000</v>
      </c>
      <c r="G293" s="170"/>
      <c r="H293" s="170"/>
      <c r="I293" s="170"/>
      <c r="J293" s="844">
        <f t="shared" ref="J293" si="317">L293+O293</f>
        <v>0</v>
      </c>
      <c r="K293" s="170"/>
      <c r="L293" s="847"/>
      <c r="M293" s="847"/>
      <c r="N293" s="847"/>
      <c r="O293" s="849">
        <f t="shared" ref="O293" si="318">K293</f>
        <v>0</v>
      </c>
      <c r="P293" s="844">
        <f t="shared" ref="P293" si="319">+J293+E293</f>
        <v>7000</v>
      </c>
      <c r="Q293" s="197"/>
      <c r="R293" s="238"/>
    </row>
    <row r="294" spans="1:18" s="536" customFormat="1" ht="47.25" thickTop="1" thickBot="1" x14ac:dyDescent="0.25">
      <c r="A294" s="455" t="s">
        <v>1115</v>
      </c>
      <c r="B294" s="455" t="s">
        <v>908</v>
      </c>
      <c r="C294" s="538"/>
      <c r="D294" s="455" t="s">
        <v>955</v>
      </c>
      <c r="E294" s="539">
        <f>E295</f>
        <v>0</v>
      </c>
      <c r="F294" s="539">
        <f t="shared" ref="F294:P295" si="320">F295</f>
        <v>0</v>
      </c>
      <c r="G294" s="539">
        <f t="shared" si="320"/>
        <v>0</v>
      </c>
      <c r="H294" s="539">
        <f t="shared" si="320"/>
        <v>0</v>
      </c>
      <c r="I294" s="539">
        <f t="shared" si="320"/>
        <v>0</v>
      </c>
      <c r="J294" s="844">
        <f t="shared" si="320"/>
        <v>598000</v>
      </c>
      <c r="K294" s="844">
        <f t="shared" si="320"/>
        <v>598000</v>
      </c>
      <c r="L294" s="844">
        <f t="shared" si="320"/>
        <v>0</v>
      </c>
      <c r="M294" s="844">
        <f t="shared" si="320"/>
        <v>0</v>
      </c>
      <c r="N294" s="844">
        <f t="shared" si="320"/>
        <v>0</v>
      </c>
      <c r="O294" s="844">
        <f t="shared" si="320"/>
        <v>598000</v>
      </c>
      <c r="P294" s="844">
        <f t="shared" si="320"/>
        <v>598000</v>
      </c>
      <c r="Q294" s="197"/>
      <c r="R294" s="238"/>
    </row>
    <row r="295" spans="1:18" s="536" customFormat="1" ht="91.5" thickTop="1" thickBot="1" x14ac:dyDescent="0.25">
      <c r="A295" s="404" t="s">
        <v>1116</v>
      </c>
      <c r="B295" s="404" t="s">
        <v>964</v>
      </c>
      <c r="C295" s="404"/>
      <c r="D295" s="404" t="s">
        <v>965</v>
      </c>
      <c r="E295" s="366">
        <f>E296</f>
        <v>0</v>
      </c>
      <c r="F295" s="366">
        <f t="shared" si="320"/>
        <v>0</v>
      </c>
      <c r="G295" s="366">
        <f t="shared" si="320"/>
        <v>0</v>
      </c>
      <c r="H295" s="366">
        <f t="shared" si="320"/>
        <v>0</v>
      </c>
      <c r="I295" s="366">
        <f t="shared" si="320"/>
        <v>0</v>
      </c>
      <c r="J295" s="366">
        <f t="shared" si="320"/>
        <v>598000</v>
      </c>
      <c r="K295" s="366">
        <f t="shared" si="320"/>
        <v>598000</v>
      </c>
      <c r="L295" s="366">
        <f t="shared" si="320"/>
        <v>0</v>
      </c>
      <c r="M295" s="366">
        <f t="shared" si="320"/>
        <v>0</v>
      </c>
      <c r="N295" s="366">
        <f t="shared" si="320"/>
        <v>0</v>
      </c>
      <c r="O295" s="366">
        <f t="shared" si="320"/>
        <v>598000</v>
      </c>
      <c r="P295" s="366">
        <f t="shared" si="320"/>
        <v>598000</v>
      </c>
      <c r="Q295" s="197"/>
      <c r="R295" s="238"/>
    </row>
    <row r="296" spans="1:18" s="536" customFormat="1" ht="138.75" thickTop="1" thickBot="1" x14ac:dyDescent="0.25">
      <c r="A296" s="538" t="s">
        <v>1117</v>
      </c>
      <c r="B296" s="538" t="s">
        <v>1118</v>
      </c>
      <c r="C296" s="538" t="s">
        <v>323</v>
      </c>
      <c r="D296" s="538" t="s">
        <v>1119</v>
      </c>
      <c r="E296" s="324">
        <f>F296</f>
        <v>0</v>
      </c>
      <c r="F296" s="170"/>
      <c r="G296" s="170"/>
      <c r="H296" s="170"/>
      <c r="I296" s="170"/>
      <c r="J296" s="844">
        <f t="shared" ref="J296" si="321">L296+O296</f>
        <v>598000</v>
      </c>
      <c r="K296" s="170">
        <f>(611000)-13000</f>
        <v>598000</v>
      </c>
      <c r="L296" s="847"/>
      <c r="M296" s="847"/>
      <c r="N296" s="847"/>
      <c r="O296" s="849">
        <f t="shared" ref="O296" si="322">K296</f>
        <v>598000</v>
      </c>
      <c r="P296" s="844">
        <f t="shared" ref="P296" si="323">+J296+E296</f>
        <v>598000</v>
      </c>
      <c r="Q296" s="197"/>
      <c r="R296" s="238" t="b">
        <f>K296='d6'!J300+'d6'!J299+'d6'!J298</f>
        <v>1</v>
      </c>
    </row>
    <row r="297" spans="1:18" ht="136.5" thickTop="1" thickBot="1" x14ac:dyDescent="0.25">
      <c r="A297" s="853" t="s">
        <v>477</v>
      </c>
      <c r="B297" s="853"/>
      <c r="C297" s="853"/>
      <c r="D297" s="854" t="s">
        <v>479</v>
      </c>
      <c r="E297" s="855">
        <f>E298</f>
        <v>94682461</v>
      </c>
      <c r="F297" s="856">
        <f t="shared" ref="F297:G297" si="324">F298</f>
        <v>94682461</v>
      </c>
      <c r="G297" s="856">
        <f t="shared" si="324"/>
        <v>2452610</v>
      </c>
      <c r="H297" s="856">
        <f>H298</f>
        <v>72945</v>
      </c>
      <c r="I297" s="856">
        <f t="shared" ref="I297" si="325">I298</f>
        <v>0</v>
      </c>
      <c r="J297" s="855">
        <f>J298</f>
        <v>36000</v>
      </c>
      <c r="K297" s="856">
        <f>K298</f>
        <v>36000</v>
      </c>
      <c r="L297" s="856">
        <f>L298</f>
        <v>0</v>
      </c>
      <c r="M297" s="856">
        <f t="shared" ref="M297" si="326">M298</f>
        <v>0</v>
      </c>
      <c r="N297" s="856">
        <f>N298</f>
        <v>0</v>
      </c>
      <c r="O297" s="855">
        <f>O298</f>
        <v>36000</v>
      </c>
      <c r="P297" s="856">
        <f t="shared" ref="P297" si="327">P298</f>
        <v>94718461</v>
      </c>
    </row>
    <row r="298" spans="1:18" ht="181.5" thickTop="1" thickBot="1" x14ac:dyDescent="0.25">
      <c r="A298" s="857" t="s">
        <v>478</v>
      </c>
      <c r="B298" s="857"/>
      <c r="C298" s="857"/>
      <c r="D298" s="858" t="s">
        <v>480</v>
      </c>
      <c r="E298" s="859">
        <f>E299+E303</f>
        <v>94682461</v>
      </c>
      <c r="F298" s="859">
        <f t="shared" ref="F298:I298" si="328">F299+F303</f>
        <v>94682461</v>
      </c>
      <c r="G298" s="859">
        <f t="shared" si="328"/>
        <v>2452610</v>
      </c>
      <c r="H298" s="859">
        <f t="shared" si="328"/>
        <v>72945</v>
      </c>
      <c r="I298" s="859">
        <f t="shared" si="328"/>
        <v>0</v>
      </c>
      <c r="J298" s="859">
        <f>L298+O298</f>
        <v>36000</v>
      </c>
      <c r="K298" s="859">
        <f t="shared" ref="K298:O298" si="329">K299+K303</f>
        <v>36000</v>
      </c>
      <c r="L298" s="859">
        <f t="shared" si="329"/>
        <v>0</v>
      </c>
      <c r="M298" s="859">
        <f t="shared" si="329"/>
        <v>0</v>
      </c>
      <c r="N298" s="859">
        <f t="shared" si="329"/>
        <v>0</v>
      </c>
      <c r="O298" s="859">
        <f t="shared" si="329"/>
        <v>36000</v>
      </c>
      <c r="P298" s="859">
        <f>E298+J298</f>
        <v>94718461</v>
      </c>
      <c r="Q298" s="125" t="b">
        <f>P298=P300+P302+P308+P301+P306+P309</f>
        <v>1</v>
      </c>
      <c r="R298" s="238" t="b">
        <f>K298='d6'!J301</f>
        <v>1</v>
      </c>
    </row>
    <row r="299" spans="1:18" s="436" customFormat="1" ht="47.25" thickTop="1" thickBot="1" x14ac:dyDescent="0.25">
      <c r="A299" s="173" t="s">
        <v>986</v>
      </c>
      <c r="B299" s="455" t="s">
        <v>843</v>
      </c>
      <c r="C299" s="455"/>
      <c r="D299" s="455" t="s">
        <v>844</v>
      </c>
      <c r="E299" s="440">
        <f>SUM(E300:E301)</f>
        <v>3746840</v>
      </c>
      <c r="F299" s="440">
        <f t="shared" ref="F299" si="330">SUM(F300:F301)</f>
        <v>3746840</v>
      </c>
      <c r="G299" s="440">
        <f t="shared" ref="G299" si="331">SUM(G300:G301)</f>
        <v>2452610</v>
      </c>
      <c r="H299" s="440">
        <f t="shared" ref="H299" si="332">SUM(H300:H301)</f>
        <v>72945</v>
      </c>
      <c r="I299" s="440">
        <f t="shared" ref="I299" si="333">SUM(I300:I301)</f>
        <v>0</v>
      </c>
      <c r="J299" s="844">
        <f t="shared" ref="J299" si="334">SUM(J300:J301)</f>
        <v>36000</v>
      </c>
      <c r="K299" s="844">
        <f t="shared" ref="K299" si="335">SUM(K300:K301)</f>
        <v>36000</v>
      </c>
      <c r="L299" s="844">
        <f t="shared" ref="L299" si="336">SUM(L300:L301)</f>
        <v>0</v>
      </c>
      <c r="M299" s="844">
        <f t="shared" ref="M299" si="337">SUM(M300:M301)</f>
        <v>0</v>
      </c>
      <c r="N299" s="844">
        <f t="shared" ref="N299" si="338">SUM(N300:N301)</f>
        <v>0</v>
      </c>
      <c r="O299" s="844">
        <f t="shared" ref="O299" si="339">SUM(O300:O301)</f>
        <v>36000</v>
      </c>
      <c r="P299" s="844">
        <f t="shared" ref="P299" si="340">SUM(P300:P301)</f>
        <v>3782840</v>
      </c>
      <c r="Q299" s="125"/>
      <c r="R299" s="238"/>
    </row>
    <row r="300" spans="1:18" ht="230.25" thickTop="1" thickBot="1" x14ac:dyDescent="0.25">
      <c r="A300" s="279" t="s">
        <v>481</v>
      </c>
      <c r="B300" s="279" t="s">
        <v>254</v>
      </c>
      <c r="C300" s="279" t="s">
        <v>252</v>
      </c>
      <c r="D300" s="279" t="s">
        <v>253</v>
      </c>
      <c r="E300" s="322">
        <f>F300</f>
        <v>3741760</v>
      </c>
      <c r="F300" s="323">
        <f>7800+40000+49530+7000+2000+49000+((3546620-5080)+240240+4650-200000)</f>
        <v>3741760</v>
      </c>
      <c r="G300" s="323">
        <f>(2452610)</f>
        <v>2452610</v>
      </c>
      <c r="H300" s="323">
        <f>7800+(40290+1200+22400+1255)</f>
        <v>72945</v>
      </c>
      <c r="I300" s="323"/>
      <c r="J300" s="844">
        <f>L300+O300</f>
        <v>36000</v>
      </c>
      <c r="K300" s="313">
        <f>(18000)+18000</f>
        <v>36000</v>
      </c>
      <c r="L300" s="313"/>
      <c r="M300" s="313"/>
      <c r="N300" s="313"/>
      <c r="O300" s="849">
        <f>K300</f>
        <v>36000</v>
      </c>
      <c r="P300" s="844">
        <f>E300+J300</f>
        <v>3777760</v>
      </c>
      <c r="Q300" s="197"/>
      <c r="R300" s="238" t="b">
        <f>K300='d6'!J303</f>
        <v>1</v>
      </c>
    </row>
    <row r="301" spans="1:18" s="319" customFormat="1" ht="184.5" thickTop="1" thickBot="1" x14ac:dyDescent="0.25">
      <c r="A301" s="325" t="s">
        <v>790</v>
      </c>
      <c r="B301" s="325" t="s">
        <v>388</v>
      </c>
      <c r="C301" s="325" t="s">
        <v>778</v>
      </c>
      <c r="D301" s="325" t="s">
        <v>779</v>
      </c>
      <c r="E301" s="324">
        <f>F301</f>
        <v>5080</v>
      </c>
      <c r="F301" s="170">
        <v>5080</v>
      </c>
      <c r="G301" s="170"/>
      <c r="H301" s="170"/>
      <c r="I301" s="170"/>
      <c r="J301" s="844">
        <f t="shared" ref="J301" si="341">L301+O301</f>
        <v>0</v>
      </c>
      <c r="K301" s="170"/>
      <c r="L301" s="847"/>
      <c r="M301" s="847"/>
      <c r="N301" s="847"/>
      <c r="O301" s="849">
        <f t="shared" ref="O301" si="342">K301</f>
        <v>0</v>
      </c>
      <c r="P301" s="844">
        <f t="shared" ref="P301" si="343">+J301+E301</f>
        <v>5080</v>
      </c>
      <c r="Q301" s="197"/>
      <c r="R301" s="238"/>
    </row>
    <row r="302" spans="1:18" ht="93" hidden="1" thickTop="1" thickBot="1" x14ac:dyDescent="0.25">
      <c r="A302" s="186" t="s">
        <v>504</v>
      </c>
      <c r="B302" s="186" t="s">
        <v>440</v>
      </c>
      <c r="C302" s="186" t="s">
        <v>441</v>
      </c>
      <c r="D302" s="186" t="s">
        <v>442</v>
      </c>
      <c r="E302" s="303">
        <f>F302</f>
        <v>0</v>
      </c>
      <c r="F302" s="304">
        <f>(34016813)-19850000-9713396-4453417</f>
        <v>0</v>
      </c>
      <c r="G302" s="304"/>
      <c r="H302" s="304"/>
      <c r="I302" s="304"/>
      <c r="J302" s="882">
        <f>L302+O302</f>
        <v>0</v>
      </c>
      <c r="K302" s="883"/>
      <c r="L302" s="883"/>
      <c r="M302" s="883"/>
      <c r="N302" s="883"/>
      <c r="O302" s="884">
        <f>K302</f>
        <v>0</v>
      </c>
      <c r="P302" s="882">
        <f>E302+J302</f>
        <v>0</v>
      </c>
      <c r="Q302" s="197"/>
      <c r="R302" s="198"/>
    </row>
    <row r="303" spans="1:18" s="436" customFormat="1" ht="47.25" thickTop="1" thickBot="1" x14ac:dyDescent="0.25">
      <c r="A303" s="173" t="s">
        <v>987</v>
      </c>
      <c r="B303" s="455" t="s">
        <v>908</v>
      </c>
      <c r="C303" s="439"/>
      <c r="D303" s="455" t="s">
        <v>955</v>
      </c>
      <c r="E303" s="438">
        <f>E304</f>
        <v>90935621</v>
      </c>
      <c r="F303" s="438">
        <f t="shared" ref="F303:P307" si="344">F304</f>
        <v>90935621</v>
      </c>
      <c r="G303" s="438">
        <f t="shared" si="344"/>
        <v>0</v>
      </c>
      <c r="H303" s="438">
        <f t="shared" si="344"/>
        <v>0</v>
      </c>
      <c r="I303" s="438">
        <f t="shared" si="344"/>
        <v>0</v>
      </c>
      <c r="J303" s="844">
        <f t="shared" si="344"/>
        <v>0</v>
      </c>
      <c r="K303" s="844">
        <f t="shared" si="344"/>
        <v>0</v>
      </c>
      <c r="L303" s="844">
        <f t="shared" si="344"/>
        <v>0</v>
      </c>
      <c r="M303" s="844">
        <f t="shared" si="344"/>
        <v>0</v>
      </c>
      <c r="N303" s="844">
        <f t="shared" si="344"/>
        <v>0</v>
      </c>
      <c r="O303" s="844">
        <f t="shared" si="344"/>
        <v>0</v>
      </c>
      <c r="P303" s="844">
        <f t="shared" si="344"/>
        <v>90935621</v>
      </c>
      <c r="Q303" s="197"/>
      <c r="R303" s="198"/>
    </row>
    <row r="304" spans="1:18" s="436" customFormat="1" ht="136.5" thickTop="1" thickBot="1" x14ac:dyDescent="0.25">
      <c r="A304" s="450" t="s">
        <v>988</v>
      </c>
      <c r="B304" s="450" t="s">
        <v>967</v>
      </c>
      <c r="C304" s="450"/>
      <c r="D304" s="450" t="s">
        <v>968</v>
      </c>
      <c r="E304" s="448">
        <f>E307+E305+E309</f>
        <v>90935621</v>
      </c>
      <c r="F304" s="448">
        <f t="shared" ref="F304:P304" si="345">F307+F305+F309</f>
        <v>90935621</v>
      </c>
      <c r="G304" s="448">
        <f t="shared" si="345"/>
        <v>0</v>
      </c>
      <c r="H304" s="448">
        <f t="shared" si="345"/>
        <v>0</v>
      </c>
      <c r="I304" s="448">
        <f t="shared" si="345"/>
        <v>0</v>
      </c>
      <c r="J304" s="448">
        <f t="shared" si="345"/>
        <v>0</v>
      </c>
      <c r="K304" s="448">
        <f t="shared" si="345"/>
        <v>0</v>
      </c>
      <c r="L304" s="448">
        <f t="shared" si="345"/>
        <v>0</v>
      </c>
      <c r="M304" s="448">
        <f t="shared" si="345"/>
        <v>0</v>
      </c>
      <c r="N304" s="448">
        <f t="shared" si="345"/>
        <v>0</v>
      </c>
      <c r="O304" s="448">
        <f t="shared" si="345"/>
        <v>0</v>
      </c>
      <c r="P304" s="448">
        <f t="shared" si="345"/>
        <v>90935621</v>
      </c>
      <c r="Q304" s="197"/>
      <c r="R304" s="198"/>
    </row>
    <row r="305" spans="1:18" s="721" customFormat="1" ht="138.75" thickTop="1" thickBot="1" x14ac:dyDescent="0.25">
      <c r="A305" s="445" t="s">
        <v>1347</v>
      </c>
      <c r="B305" s="445" t="s">
        <v>1348</v>
      </c>
      <c r="C305" s="445"/>
      <c r="D305" s="445" t="s">
        <v>1346</v>
      </c>
      <c r="E305" s="446">
        <f>E306</f>
        <v>2093008</v>
      </c>
      <c r="F305" s="446">
        <f t="shared" ref="F305:O305" si="346">F306</f>
        <v>2093008</v>
      </c>
      <c r="G305" s="446">
        <f t="shared" si="346"/>
        <v>0</v>
      </c>
      <c r="H305" s="446">
        <f t="shared" si="346"/>
        <v>0</v>
      </c>
      <c r="I305" s="446">
        <f t="shared" si="346"/>
        <v>0</v>
      </c>
      <c r="J305" s="367">
        <f t="shared" si="346"/>
        <v>0</v>
      </c>
      <c r="K305" s="367">
        <f t="shared" si="346"/>
        <v>0</v>
      </c>
      <c r="L305" s="367">
        <f t="shared" si="346"/>
        <v>0</v>
      </c>
      <c r="M305" s="367">
        <f t="shared" si="346"/>
        <v>0</v>
      </c>
      <c r="N305" s="367">
        <f t="shared" si="346"/>
        <v>0</v>
      </c>
      <c r="O305" s="367">
        <f t="shared" si="346"/>
        <v>0</v>
      </c>
      <c r="P305" s="367">
        <f t="shared" si="344"/>
        <v>2093008</v>
      </c>
      <c r="Q305" s="197"/>
      <c r="R305" s="198"/>
    </row>
    <row r="306" spans="1:18" s="721" customFormat="1" ht="93" thickTop="1" thickBot="1" x14ac:dyDescent="0.25">
      <c r="A306" s="728" t="s">
        <v>504</v>
      </c>
      <c r="B306" s="728" t="s">
        <v>440</v>
      </c>
      <c r="C306" s="728" t="s">
        <v>441</v>
      </c>
      <c r="D306" s="728" t="s">
        <v>442</v>
      </c>
      <c r="E306" s="726">
        <f>F306</f>
        <v>2093008</v>
      </c>
      <c r="F306" s="323">
        <v>2093008</v>
      </c>
      <c r="G306" s="323"/>
      <c r="H306" s="323"/>
      <c r="I306" s="323"/>
      <c r="J306" s="844">
        <f>L306+O306</f>
        <v>0</v>
      </c>
      <c r="K306" s="313"/>
      <c r="L306" s="313"/>
      <c r="M306" s="313"/>
      <c r="N306" s="313"/>
      <c r="O306" s="849">
        <f>K306</f>
        <v>0</v>
      </c>
      <c r="P306" s="844">
        <f>E306+J306</f>
        <v>2093008</v>
      </c>
      <c r="Q306" s="197"/>
      <c r="R306" s="198"/>
    </row>
    <row r="307" spans="1:18" s="436" customFormat="1" ht="138.75" thickTop="1" thickBot="1" x14ac:dyDescent="0.25">
      <c r="A307" s="445" t="s">
        <v>989</v>
      </c>
      <c r="B307" s="445" t="s">
        <v>990</v>
      </c>
      <c r="C307" s="445"/>
      <c r="D307" s="445" t="s">
        <v>991</v>
      </c>
      <c r="E307" s="446">
        <f>E308</f>
        <v>88642613</v>
      </c>
      <c r="F307" s="446">
        <f t="shared" si="344"/>
        <v>88642613</v>
      </c>
      <c r="G307" s="446">
        <f t="shared" si="344"/>
        <v>0</v>
      </c>
      <c r="H307" s="446">
        <f t="shared" si="344"/>
        <v>0</v>
      </c>
      <c r="I307" s="446">
        <f t="shared" si="344"/>
        <v>0</v>
      </c>
      <c r="J307" s="367">
        <f t="shared" si="344"/>
        <v>0</v>
      </c>
      <c r="K307" s="367">
        <f t="shared" si="344"/>
        <v>0</v>
      </c>
      <c r="L307" s="367">
        <f t="shared" si="344"/>
        <v>0</v>
      </c>
      <c r="M307" s="367">
        <f t="shared" si="344"/>
        <v>0</v>
      </c>
      <c r="N307" s="367">
        <f t="shared" si="344"/>
        <v>0</v>
      </c>
      <c r="O307" s="367">
        <f t="shared" si="344"/>
        <v>0</v>
      </c>
      <c r="P307" s="367">
        <f t="shared" si="344"/>
        <v>88642613</v>
      </c>
      <c r="Q307" s="197"/>
      <c r="R307" s="198"/>
    </row>
    <row r="308" spans="1:18" ht="93" thickTop="1" thickBot="1" x14ac:dyDescent="0.25">
      <c r="A308" s="279" t="s">
        <v>505</v>
      </c>
      <c r="B308" s="279" t="s">
        <v>309</v>
      </c>
      <c r="C308" s="279" t="s">
        <v>311</v>
      </c>
      <c r="D308" s="279" t="s">
        <v>310</v>
      </c>
      <c r="E308" s="322">
        <f>F308</f>
        <v>88642613</v>
      </c>
      <c r="F308" s="323">
        <f>(54505073)+34137540</f>
        <v>88642613</v>
      </c>
      <c r="G308" s="323"/>
      <c r="H308" s="323"/>
      <c r="I308" s="323"/>
      <c r="J308" s="844">
        <f>L308+O308</f>
        <v>0</v>
      </c>
      <c r="K308" s="313"/>
      <c r="L308" s="313"/>
      <c r="M308" s="313"/>
      <c r="N308" s="313"/>
      <c r="O308" s="849">
        <f>K308</f>
        <v>0</v>
      </c>
      <c r="P308" s="844">
        <f>E308+J308</f>
        <v>88642613</v>
      </c>
      <c r="Q308" s="197"/>
      <c r="R308" s="198"/>
    </row>
    <row r="309" spans="1:18" s="912" customFormat="1" ht="93" thickTop="1" thickBot="1" x14ac:dyDescent="0.25">
      <c r="A309" s="927" t="s">
        <v>1478</v>
      </c>
      <c r="B309" s="927" t="s">
        <v>1479</v>
      </c>
      <c r="C309" s="927" t="s">
        <v>314</v>
      </c>
      <c r="D309" s="927" t="s">
        <v>1477</v>
      </c>
      <c r="E309" s="928">
        <f>F309</f>
        <v>200000</v>
      </c>
      <c r="F309" s="323">
        <v>200000</v>
      </c>
      <c r="G309" s="323"/>
      <c r="H309" s="323"/>
      <c r="I309" s="323"/>
      <c r="J309" s="918">
        <f>L309+O309</f>
        <v>0</v>
      </c>
      <c r="K309" s="313"/>
      <c r="L309" s="313"/>
      <c r="M309" s="313"/>
      <c r="N309" s="313"/>
      <c r="O309" s="929">
        <f>K309</f>
        <v>0</v>
      </c>
      <c r="P309" s="918">
        <f>E309+J309</f>
        <v>200000</v>
      </c>
      <c r="Q309" s="197"/>
      <c r="R309" s="198"/>
    </row>
    <row r="310" spans="1:18" ht="136.5" thickTop="1" thickBot="1" x14ac:dyDescent="0.25">
      <c r="A310" s="853" t="s">
        <v>180</v>
      </c>
      <c r="B310" s="853"/>
      <c r="C310" s="853"/>
      <c r="D310" s="854" t="s">
        <v>380</v>
      </c>
      <c r="E310" s="855">
        <f>E311</f>
        <v>11842501.41</v>
      </c>
      <c r="F310" s="856">
        <f t="shared" ref="F310:G310" si="347">F311</f>
        <v>11842501.41</v>
      </c>
      <c r="G310" s="856">
        <f t="shared" si="347"/>
        <v>0</v>
      </c>
      <c r="H310" s="856">
        <f>H311</f>
        <v>0</v>
      </c>
      <c r="I310" s="856">
        <f t="shared" ref="I310" si="348">I311</f>
        <v>0</v>
      </c>
      <c r="J310" s="855">
        <f>J311</f>
        <v>1909885</v>
      </c>
      <c r="K310" s="856">
        <f>K311</f>
        <v>1909885</v>
      </c>
      <c r="L310" s="856">
        <f>L311</f>
        <v>0</v>
      </c>
      <c r="M310" s="856">
        <f t="shared" ref="M310" si="349">M311</f>
        <v>0</v>
      </c>
      <c r="N310" s="856">
        <f>N311</f>
        <v>0</v>
      </c>
      <c r="O310" s="855">
        <f>O311</f>
        <v>1909885</v>
      </c>
      <c r="P310" s="856">
        <f t="shared" ref="P310" si="350">P311</f>
        <v>13752386.41</v>
      </c>
    </row>
    <row r="311" spans="1:18" ht="136.5" thickTop="1" thickBot="1" x14ac:dyDescent="0.25">
      <c r="A311" s="857" t="s">
        <v>181</v>
      </c>
      <c r="B311" s="857"/>
      <c r="C311" s="857"/>
      <c r="D311" s="858" t="s">
        <v>381</v>
      </c>
      <c r="E311" s="859">
        <f>E312+E320</f>
        <v>11842501.41</v>
      </c>
      <c r="F311" s="859">
        <f>F312+F320</f>
        <v>11842501.41</v>
      </c>
      <c r="G311" s="859">
        <f t="shared" ref="G311:K311" si="351">G312+G320</f>
        <v>0</v>
      </c>
      <c r="H311" s="859">
        <f t="shared" si="351"/>
        <v>0</v>
      </c>
      <c r="I311" s="859">
        <f t="shared" si="351"/>
        <v>0</v>
      </c>
      <c r="J311" s="859">
        <f t="shared" ref="J311:J319" si="352">L311+O311</f>
        <v>1909885</v>
      </c>
      <c r="K311" s="859">
        <f t="shared" si="351"/>
        <v>1909885</v>
      </c>
      <c r="L311" s="859">
        <f t="shared" ref="L311" si="353">L312+L320</f>
        <v>0</v>
      </c>
      <c r="M311" s="859">
        <f t="shared" ref="M311" si="354">M312+M320</f>
        <v>0</v>
      </c>
      <c r="N311" s="859">
        <f t="shared" ref="N311" si="355">N312+N320</f>
        <v>0</v>
      </c>
      <c r="O311" s="859">
        <f t="shared" ref="O311" si="356">O312+O320</f>
        <v>1909885</v>
      </c>
      <c r="P311" s="859">
        <f t="shared" ref="P311:P319" si="357">E311+J311</f>
        <v>13752386.41</v>
      </c>
      <c r="Q311" s="125" t="b">
        <f>P311=P316+P317+P319+P322+P314</f>
        <v>1</v>
      </c>
      <c r="R311" s="238" t="b">
        <f>K311='d6'!J305</f>
        <v>1</v>
      </c>
    </row>
    <row r="312" spans="1:18" s="436" customFormat="1" ht="47.25" thickTop="1" thickBot="1" x14ac:dyDescent="0.25">
      <c r="A312" s="455" t="s">
        <v>992</v>
      </c>
      <c r="B312" s="455" t="s">
        <v>908</v>
      </c>
      <c r="C312" s="439"/>
      <c r="D312" s="455" t="s">
        <v>955</v>
      </c>
      <c r="E312" s="470">
        <f t="shared" ref="E312:P312" si="358">E315+E313</f>
        <v>10142501.41</v>
      </c>
      <c r="F312" s="470">
        <f t="shared" si="358"/>
        <v>10142501.41</v>
      </c>
      <c r="G312" s="470">
        <f t="shared" si="358"/>
        <v>0</v>
      </c>
      <c r="H312" s="470">
        <f t="shared" si="358"/>
        <v>0</v>
      </c>
      <c r="I312" s="470">
        <f t="shared" si="358"/>
        <v>0</v>
      </c>
      <c r="J312" s="470">
        <f t="shared" si="358"/>
        <v>209885</v>
      </c>
      <c r="K312" s="470">
        <f t="shared" si="358"/>
        <v>209885</v>
      </c>
      <c r="L312" s="470">
        <f t="shared" si="358"/>
        <v>0</v>
      </c>
      <c r="M312" s="470">
        <f t="shared" si="358"/>
        <v>0</v>
      </c>
      <c r="N312" s="470">
        <f t="shared" si="358"/>
        <v>0</v>
      </c>
      <c r="O312" s="470">
        <f t="shared" si="358"/>
        <v>209885</v>
      </c>
      <c r="P312" s="470">
        <f t="shared" si="358"/>
        <v>10352386.41</v>
      </c>
      <c r="Q312" s="125"/>
      <c r="R312" s="238"/>
    </row>
    <row r="313" spans="1:18" s="721" customFormat="1" ht="91.5" thickTop="1" thickBot="1" x14ac:dyDescent="0.25">
      <c r="A313" s="404" t="s">
        <v>1344</v>
      </c>
      <c r="B313" s="404" t="s">
        <v>964</v>
      </c>
      <c r="C313" s="404"/>
      <c r="D313" s="404" t="s">
        <v>965</v>
      </c>
      <c r="E313" s="471">
        <f>E314</f>
        <v>70000</v>
      </c>
      <c r="F313" s="471">
        <f>F314</f>
        <v>70000</v>
      </c>
      <c r="G313" s="471">
        <f t="shared" ref="G313:O313" si="359">G314</f>
        <v>0</v>
      </c>
      <c r="H313" s="471">
        <f t="shared" si="359"/>
        <v>0</v>
      </c>
      <c r="I313" s="471">
        <f t="shared" si="359"/>
        <v>0</v>
      </c>
      <c r="J313" s="471">
        <f t="shared" si="359"/>
        <v>0</v>
      </c>
      <c r="K313" s="471">
        <f t="shared" si="359"/>
        <v>0</v>
      </c>
      <c r="L313" s="471">
        <f t="shared" si="359"/>
        <v>0</v>
      </c>
      <c r="M313" s="471">
        <f t="shared" si="359"/>
        <v>0</v>
      </c>
      <c r="N313" s="471">
        <f t="shared" si="359"/>
        <v>0</v>
      </c>
      <c r="O313" s="471">
        <f t="shared" si="359"/>
        <v>0</v>
      </c>
      <c r="P313" s="471">
        <f>P314</f>
        <v>70000</v>
      </c>
      <c r="Q313" s="125"/>
      <c r="R313" s="238"/>
    </row>
    <row r="314" spans="1:18" s="721" customFormat="1" ht="138.75" thickTop="1" thickBot="1" x14ac:dyDescent="0.25">
      <c r="A314" s="725" t="s">
        <v>1345</v>
      </c>
      <c r="B314" s="725" t="s">
        <v>376</v>
      </c>
      <c r="C314" s="725" t="s">
        <v>184</v>
      </c>
      <c r="D314" s="725" t="s">
        <v>280</v>
      </c>
      <c r="E314" s="723">
        <f t="shared" ref="E314" si="360">F314</f>
        <v>70000</v>
      </c>
      <c r="F314" s="313">
        <v>70000</v>
      </c>
      <c r="G314" s="313"/>
      <c r="H314" s="313"/>
      <c r="I314" s="313"/>
      <c r="J314" s="844">
        <f t="shared" ref="J314" si="361">L314+O314</f>
        <v>0</v>
      </c>
      <c r="K314" s="313"/>
      <c r="L314" s="313"/>
      <c r="M314" s="313"/>
      <c r="N314" s="313"/>
      <c r="O314" s="849">
        <f>K314</f>
        <v>0</v>
      </c>
      <c r="P314" s="844">
        <f t="shared" ref="P314" si="362">E314+J314</f>
        <v>70000</v>
      </c>
      <c r="Q314" s="125"/>
      <c r="R314" s="238"/>
    </row>
    <row r="315" spans="1:18" s="436" customFormat="1" ht="136.5" thickTop="1" thickBot="1" x14ac:dyDescent="0.25">
      <c r="A315" s="404" t="s">
        <v>993</v>
      </c>
      <c r="B315" s="404" t="s">
        <v>850</v>
      </c>
      <c r="C315" s="404"/>
      <c r="D315" s="404" t="s">
        <v>848</v>
      </c>
      <c r="E315" s="471">
        <f>SUM(E316:E319)-E318</f>
        <v>10072501.41</v>
      </c>
      <c r="F315" s="471">
        <f t="shared" ref="F315:P315" si="363">SUM(F316:F319)-F318</f>
        <v>10072501.41</v>
      </c>
      <c r="G315" s="471">
        <f t="shared" si="363"/>
        <v>0</v>
      </c>
      <c r="H315" s="471">
        <f t="shared" si="363"/>
        <v>0</v>
      </c>
      <c r="I315" s="471">
        <f t="shared" si="363"/>
        <v>0</v>
      </c>
      <c r="J315" s="471">
        <f t="shared" si="363"/>
        <v>209885</v>
      </c>
      <c r="K315" s="471">
        <f t="shared" si="363"/>
        <v>209885</v>
      </c>
      <c r="L315" s="471">
        <f t="shared" si="363"/>
        <v>0</v>
      </c>
      <c r="M315" s="471">
        <f t="shared" si="363"/>
        <v>0</v>
      </c>
      <c r="N315" s="471">
        <f t="shared" si="363"/>
        <v>0</v>
      </c>
      <c r="O315" s="471">
        <f t="shared" si="363"/>
        <v>209885</v>
      </c>
      <c r="P315" s="471">
        <f t="shared" si="363"/>
        <v>10282386.41</v>
      </c>
      <c r="Q315" s="125"/>
      <c r="R315" s="238"/>
    </row>
    <row r="316" spans="1:18" ht="93" thickTop="1" thickBot="1" x14ac:dyDescent="0.25">
      <c r="A316" s="335" t="s">
        <v>278</v>
      </c>
      <c r="B316" s="335" t="s">
        <v>279</v>
      </c>
      <c r="C316" s="335" t="s">
        <v>277</v>
      </c>
      <c r="D316" s="335" t="s">
        <v>276</v>
      </c>
      <c r="E316" s="336">
        <f t="shared" ref="E316:E319" si="364">F316</f>
        <v>4452230</v>
      </c>
      <c r="F316" s="313">
        <f>-150000+(-490000+300000+((5588200)-795970))</f>
        <v>4452230</v>
      </c>
      <c r="G316" s="313"/>
      <c r="H316" s="313"/>
      <c r="I316" s="313"/>
      <c r="J316" s="844">
        <f t="shared" si="352"/>
        <v>0</v>
      </c>
      <c r="K316" s="313"/>
      <c r="L316" s="313"/>
      <c r="M316" s="313"/>
      <c r="N316" s="313"/>
      <c r="O316" s="849">
        <f>K316</f>
        <v>0</v>
      </c>
      <c r="P316" s="844">
        <f t="shared" si="357"/>
        <v>4452230</v>
      </c>
      <c r="R316" s="238"/>
    </row>
    <row r="317" spans="1:18" ht="138.75" thickTop="1" thickBot="1" x14ac:dyDescent="0.25">
      <c r="A317" s="335" t="s">
        <v>270</v>
      </c>
      <c r="B317" s="335" t="s">
        <v>272</v>
      </c>
      <c r="C317" s="335" t="s">
        <v>231</v>
      </c>
      <c r="D317" s="335" t="s">
        <v>271</v>
      </c>
      <c r="E317" s="336">
        <f t="shared" si="364"/>
        <v>1235000</v>
      </c>
      <c r="F317" s="313">
        <f>(745000)+490000</f>
        <v>1235000</v>
      </c>
      <c r="G317" s="313"/>
      <c r="H317" s="313"/>
      <c r="I317" s="313"/>
      <c r="J317" s="844">
        <f t="shared" si="352"/>
        <v>0</v>
      </c>
      <c r="K317" s="313"/>
      <c r="L317" s="313"/>
      <c r="M317" s="313"/>
      <c r="N317" s="313"/>
      <c r="O317" s="849">
        <f>K317</f>
        <v>0</v>
      </c>
      <c r="P317" s="844">
        <f t="shared" si="357"/>
        <v>1235000</v>
      </c>
      <c r="R317" s="238"/>
    </row>
    <row r="318" spans="1:18" s="436" customFormat="1" ht="48" thickTop="1" thickBot="1" x14ac:dyDescent="0.25">
      <c r="A318" s="365" t="s">
        <v>994</v>
      </c>
      <c r="B318" s="365" t="s">
        <v>853</v>
      </c>
      <c r="C318" s="365"/>
      <c r="D318" s="365" t="s">
        <v>851</v>
      </c>
      <c r="E318" s="367">
        <f>E319</f>
        <v>4385271.41</v>
      </c>
      <c r="F318" s="367">
        <f t="shared" ref="F318:P318" si="365">F319</f>
        <v>4385271.41</v>
      </c>
      <c r="G318" s="367">
        <f t="shared" si="365"/>
        <v>0</v>
      </c>
      <c r="H318" s="367">
        <f t="shared" si="365"/>
        <v>0</v>
      </c>
      <c r="I318" s="367">
        <f t="shared" si="365"/>
        <v>0</v>
      </c>
      <c r="J318" s="367">
        <f t="shared" si="365"/>
        <v>209885</v>
      </c>
      <c r="K318" s="367">
        <f t="shared" si="365"/>
        <v>209885</v>
      </c>
      <c r="L318" s="367">
        <f t="shared" si="365"/>
        <v>0</v>
      </c>
      <c r="M318" s="367">
        <f t="shared" si="365"/>
        <v>0</v>
      </c>
      <c r="N318" s="367">
        <f t="shared" si="365"/>
        <v>0</v>
      </c>
      <c r="O318" s="367">
        <f t="shared" si="365"/>
        <v>209885</v>
      </c>
      <c r="P318" s="367">
        <f t="shared" si="365"/>
        <v>4595156.41</v>
      </c>
      <c r="Q318" s="442"/>
      <c r="R318" s="238"/>
    </row>
    <row r="319" spans="1:18" ht="93" thickTop="1" thickBot="1" x14ac:dyDescent="0.25">
      <c r="A319" s="335" t="s">
        <v>274</v>
      </c>
      <c r="B319" s="335" t="s">
        <v>275</v>
      </c>
      <c r="C319" s="335" t="s">
        <v>184</v>
      </c>
      <c r="D319" s="335" t="s">
        <v>273</v>
      </c>
      <c r="E319" s="336">
        <f t="shared" si="364"/>
        <v>4385271.41</v>
      </c>
      <c r="F319" s="313">
        <f>500000+1500000+(30296+105938+(800000+2049580)-1600542.59+300000+700000)</f>
        <v>4385271.41</v>
      </c>
      <c r="G319" s="313"/>
      <c r="H319" s="313"/>
      <c r="I319" s="313"/>
      <c r="J319" s="844">
        <f t="shared" si="352"/>
        <v>209885</v>
      </c>
      <c r="K319" s="313">
        <f>(400000)-190115</f>
        <v>209885</v>
      </c>
      <c r="L319" s="313"/>
      <c r="M319" s="313"/>
      <c r="N319" s="313"/>
      <c r="O319" s="849">
        <f>K319</f>
        <v>209885</v>
      </c>
      <c r="P319" s="844">
        <f t="shared" si="357"/>
        <v>4595156.41</v>
      </c>
      <c r="R319" s="238" t="b">
        <f>K319='d6'!J306</f>
        <v>1</v>
      </c>
    </row>
    <row r="320" spans="1:18" s="519" customFormat="1" ht="47.25" thickTop="1" thickBot="1" x14ac:dyDescent="0.25">
      <c r="A320" s="455" t="s">
        <v>1102</v>
      </c>
      <c r="B320" s="455" t="s">
        <v>861</v>
      </c>
      <c r="C320" s="455"/>
      <c r="D320" s="455" t="s">
        <v>862</v>
      </c>
      <c r="E320" s="520">
        <f>E321</f>
        <v>1700000</v>
      </c>
      <c r="F320" s="520">
        <f t="shared" ref="F320:P321" si="366">F321</f>
        <v>1700000</v>
      </c>
      <c r="G320" s="520">
        <f t="shared" si="366"/>
        <v>0</v>
      </c>
      <c r="H320" s="520">
        <f t="shared" si="366"/>
        <v>0</v>
      </c>
      <c r="I320" s="520">
        <f t="shared" si="366"/>
        <v>0</v>
      </c>
      <c r="J320" s="844">
        <f t="shared" si="366"/>
        <v>1700000</v>
      </c>
      <c r="K320" s="844">
        <f t="shared" si="366"/>
        <v>1700000</v>
      </c>
      <c r="L320" s="844">
        <f t="shared" si="366"/>
        <v>0</v>
      </c>
      <c r="M320" s="844">
        <f t="shared" si="366"/>
        <v>0</v>
      </c>
      <c r="N320" s="844">
        <f t="shared" si="366"/>
        <v>0</v>
      </c>
      <c r="O320" s="844">
        <f t="shared" si="366"/>
        <v>1700000</v>
      </c>
      <c r="P320" s="844">
        <f t="shared" si="366"/>
        <v>3400000</v>
      </c>
      <c r="Q320" s="524"/>
      <c r="R320" s="238"/>
    </row>
    <row r="321" spans="1:18" s="519" customFormat="1" ht="271.5" thickTop="1" thickBot="1" x14ac:dyDescent="0.25">
      <c r="A321" s="404" t="s">
        <v>1103</v>
      </c>
      <c r="B321" s="404" t="s">
        <v>864</v>
      </c>
      <c r="C321" s="404"/>
      <c r="D321" s="404" t="s">
        <v>865</v>
      </c>
      <c r="E321" s="366">
        <f>E322</f>
        <v>1700000</v>
      </c>
      <c r="F321" s="366">
        <f t="shared" si="366"/>
        <v>1700000</v>
      </c>
      <c r="G321" s="366">
        <f t="shared" si="366"/>
        <v>0</v>
      </c>
      <c r="H321" s="366">
        <f t="shared" si="366"/>
        <v>0</v>
      </c>
      <c r="I321" s="366">
        <f t="shared" si="366"/>
        <v>0</v>
      </c>
      <c r="J321" s="366">
        <f t="shared" si="366"/>
        <v>1700000</v>
      </c>
      <c r="K321" s="366">
        <f t="shared" si="366"/>
        <v>1700000</v>
      </c>
      <c r="L321" s="366">
        <f t="shared" si="366"/>
        <v>0</v>
      </c>
      <c r="M321" s="366">
        <f t="shared" si="366"/>
        <v>0</v>
      </c>
      <c r="N321" s="366">
        <f t="shared" si="366"/>
        <v>0</v>
      </c>
      <c r="O321" s="366">
        <f t="shared" si="366"/>
        <v>1700000</v>
      </c>
      <c r="P321" s="366">
        <f t="shared" si="366"/>
        <v>3400000</v>
      </c>
      <c r="Q321" s="524"/>
      <c r="R321" s="238"/>
    </row>
    <row r="322" spans="1:18" s="519" customFormat="1" ht="93" thickTop="1" thickBot="1" x14ac:dyDescent="0.25">
      <c r="A322" s="521" t="s">
        <v>1104</v>
      </c>
      <c r="B322" s="521" t="s">
        <v>389</v>
      </c>
      <c r="C322" s="521" t="s">
        <v>45</v>
      </c>
      <c r="D322" s="521" t="s">
        <v>390</v>
      </c>
      <c r="E322" s="520">
        <f t="shared" ref="E322" si="367">F322</f>
        <v>1700000</v>
      </c>
      <c r="F322" s="313">
        <f>(700000)+1000000</f>
        <v>1700000</v>
      </c>
      <c r="G322" s="313"/>
      <c r="H322" s="313"/>
      <c r="I322" s="313"/>
      <c r="J322" s="844">
        <f>L322+O322</f>
        <v>1700000</v>
      </c>
      <c r="K322" s="313">
        <f>(1000000)+700000</f>
        <v>1700000</v>
      </c>
      <c r="L322" s="313"/>
      <c r="M322" s="313"/>
      <c r="N322" s="313"/>
      <c r="O322" s="849">
        <f>K322</f>
        <v>1700000</v>
      </c>
      <c r="P322" s="844">
        <f>E322+J322</f>
        <v>3400000</v>
      </c>
      <c r="Q322" s="524"/>
      <c r="R322" s="238" t="b">
        <f>K322='d6'!J307</f>
        <v>1</v>
      </c>
    </row>
    <row r="323" spans="1:18" ht="226.5" thickTop="1" thickBot="1" x14ac:dyDescent="0.25">
      <c r="A323" s="853" t="s">
        <v>178</v>
      </c>
      <c r="B323" s="853"/>
      <c r="C323" s="853"/>
      <c r="D323" s="854" t="s">
        <v>1061</v>
      </c>
      <c r="E323" s="855">
        <f>E324</f>
        <v>5845885</v>
      </c>
      <c r="F323" s="856">
        <f t="shared" ref="F323:G323" si="368">F324</f>
        <v>5845885</v>
      </c>
      <c r="G323" s="856">
        <f t="shared" si="368"/>
        <v>4568055</v>
      </c>
      <c r="H323" s="856">
        <f>H324</f>
        <v>89200</v>
      </c>
      <c r="I323" s="856">
        <f t="shared" ref="I323" si="369">I324</f>
        <v>0</v>
      </c>
      <c r="J323" s="855">
        <f>J324</f>
        <v>3249138.96</v>
      </c>
      <c r="K323" s="856">
        <f>K324</f>
        <v>64000</v>
      </c>
      <c r="L323" s="856">
        <f>L324</f>
        <v>1485138.96</v>
      </c>
      <c r="M323" s="856">
        <f t="shared" ref="M323" si="370">M324</f>
        <v>0</v>
      </c>
      <c r="N323" s="856">
        <f>N324</f>
        <v>0</v>
      </c>
      <c r="O323" s="855">
        <f>O324</f>
        <v>1764000</v>
      </c>
      <c r="P323" s="856">
        <f t="shared" ref="P323" si="371">P324</f>
        <v>9095023.9600000009</v>
      </c>
    </row>
    <row r="324" spans="1:18" ht="181.5" thickTop="1" thickBot="1" x14ac:dyDescent="0.25">
      <c r="A324" s="857" t="s">
        <v>179</v>
      </c>
      <c r="B324" s="857"/>
      <c r="C324" s="857"/>
      <c r="D324" s="858" t="s">
        <v>1060</v>
      </c>
      <c r="E324" s="859">
        <f>E325+E328</f>
        <v>5845885</v>
      </c>
      <c r="F324" s="859">
        <f t="shared" ref="F324:I324" si="372">F325+F328</f>
        <v>5845885</v>
      </c>
      <c r="G324" s="859">
        <f t="shared" si="372"/>
        <v>4568055</v>
      </c>
      <c r="H324" s="859">
        <f t="shared" si="372"/>
        <v>89200</v>
      </c>
      <c r="I324" s="859">
        <f t="shared" si="372"/>
        <v>0</v>
      </c>
      <c r="J324" s="859">
        <f>L324+O324</f>
        <v>3249138.96</v>
      </c>
      <c r="K324" s="859">
        <f t="shared" ref="K324:O324" si="373">K325+K328</f>
        <v>64000</v>
      </c>
      <c r="L324" s="859">
        <f t="shared" si="373"/>
        <v>1485138.96</v>
      </c>
      <c r="M324" s="859">
        <f t="shared" si="373"/>
        <v>0</v>
      </c>
      <c r="N324" s="859">
        <f t="shared" si="373"/>
        <v>0</v>
      </c>
      <c r="O324" s="859">
        <f t="shared" si="373"/>
        <v>1764000</v>
      </c>
      <c r="P324" s="859">
        <f t="shared" ref="P324:P334" si="374">E324+J324</f>
        <v>9095023.9600000009</v>
      </c>
      <c r="Q324" s="125" t="b">
        <f>P324=P331+P334+P326+P332+P333+P327</f>
        <v>1</v>
      </c>
      <c r="R324" s="238" t="b">
        <f>K324='d6'!J308</f>
        <v>1</v>
      </c>
    </row>
    <row r="325" spans="1:18" s="436" customFormat="1" ht="47.25" thickTop="1" thickBot="1" x14ac:dyDescent="0.25">
      <c r="A325" s="173" t="s">
        <v>995</v>
      </c>
      <c r="B325" s="455" t="s">
        <v>843</v>
      </c>
      <c r="C325" s="455"/>
      <c r="D325" s="455" t="s">
        <v>844</v>
      </c>
      <c r="E325" s="440">
        <f>SUM(E326:E327)</f>
        <v>5845885</v>
      </c>
      <c r="F325" s="440">
        <f t="shared" ref="F325" si="375">SUM(F326:F327)</f>
        <v>5845885</v>
      </c>
      <c r="G325" s="440">
        <f t="shared" ref="G325" si="376">SUM(G326:G327)</f>
        <v>4568055</v>
      </c>
      <c r="H325" s="440">
        <f t="shared" ref="H325" si="377">SUM(H326:H327)</f>
        <v>89200</v>
      </c>
      <c r="I325" s="440">
        <f t="shared" ref="I325" si="378">SUM(I326:I327)</f>
        <v>0</v>
      </c>
      <c r="J325" s="844">
        <f t="shared" ref="J325" si="379">SUM(J326:J327)</f>
        <v>64000</v>
      </c>
      <c r="K325" s="844">
        <f t="shared" ref="K325" si="380">SUM(K326:K327)</f>
        <v>64000</v>
      </c>
      <c r="L325" s="844">
        <f t="shared" ref="L325" si="381">SUM(L326:L327)</f>
        <v>0</v>
      </c>
      <c r="M325" s="844">
        <f t="shared" ref="M325" si="382">SUM(M326:M327)</f>
        <v>0</v>
      </c>
      <c r="N325" s="844">
        <f t="shared" ref="N325" si="383">SUM(N326:N327)</f>
        <v>0</v>
      </c>
      <c r="O325" s="844">
        <f>SUM(O326:O327)</f>
        <v>64000</v>
      </c>
      <c r="P325" s="844">
        <f t="shared" ref="P325" si="384">SUM(P326:P327)</f>
        <v>5909885</v>
      </c>
      <c r="Q325" s="125"/>
      <c r="R325" s="238"/>
    </row>
    <row r="326" spans="1:18" s="99" customFormat="1" ht="230.25" thickTop="1" thickBot="1" x14ac:dyDescent="0.25">
      <c r="A326" s="279" t="s">
        <v>450</v>
      </c>
      <c r="B326" s="279" t="s">
        <v>254</v>
      </c>
      <c r="C326" s="279" t="s">
        <v>252</v>
      </c>
      <c r="D326" s="279" t="s">
        <v>253</v>
      </c>
      <c r="E326" s="322">
        <f>F326</f>
        <v>5840885</v>
      </c>
      <c r="F326" s="323">
        <f>-40000-84000-10000-4500+(5984385-5000)</f>
        <v>5840885</v>
      </c>
      <c r="G326" s="323">
        <f>-40000+(4608055)</f>
        <v>4568055</v>
      </c>
      <c r="H326" s="323">
        <f>-10000-4500+(70880+8160+21000+3660)</f>
        <v>89200</v>
      </c>
      <c r="I326" s="323"/>
      <c r="J326" s="844">
        <f t="shared" ref="J326:J334" si="385">L326+O326</f>
        <v>64000</v>
      </c>
      <c r="K326" s="313">
        <f>(18000)+46000</f>
        <v>64000</v>
      </c>
      <c r="L326" s="313"/>
      <c r="M326" s="313"/>
      <c r="N326" s="313"/>
      <c r="O326" s="849">
        <f>K326</f>
        <v>64000</v>
      </c>
      <c r="P326" s="844">
        <f t="shared" si="374"/>
        <v>5904885</v>
      </c>
      <c r="Q326" s="258"/>
      <c r="R326" s="238" t="b">
        <f>K326='d6'!J310</f>
        <v>1</v>
      </c>
    </row>
    <row r="327" spans="1:18" s="99" customFormat="1" ht="184.5" thickTop="1" thickBot="1" x14ac:dyDescent="0.25">
      <c r="A327" s="325" t="s">
        <v>791</v>
      </c>
      <c r="B327" s="325" t="s">
        <v>388</v>
      </c>
      <c r="C327" s="325" t="s">
        <v>778</v>
      </c>
      <c r="D327" s="325" t="s">
        <v>779</v>
      </c>
      <c r="E327" s="324">
        <f>F327</f>
        <v>5000</v>
      </c>
      <c r="F327" s="170">
        <v>5000</v>
      </c>
      <c r="G327" s="170"/>
      <c r="H327" s="170"/>
      <c r="I327" s="170"/>
      <c r="J327" s="844">
        <f t="shared" si="385"/>
        <v>0</v>
      </c>
      <c r="K327" s="170"/>
      <c r="L327" s="847"/>
      <c r="M327" s="847"/>
      <c r="N327" s="847"/>
      <c r="O327" s="849">
        <f t="shared" ref="O327" si="386">K327</f>
        <v>0</v>
      </c>
      <c r="P327" s="844">
        <f t="shared" ref="P327" si="387">+J327+E327</f>
        <v>5000</v>
      </c>
      <c r="Q327" s="258"/>
      <c r="R327" s="238"/>
    </row>
    <row r="328" spans="1:18" s="99" customFormat="1" ht="47.25" thickTop="1" thickBot="1" x14ac:dyDescent="0.25">
      <c r="A328" s="173" t="s">
        <v>996</v>
      </c>
      <c r="B328" s="455" t="s">
        <v>855</v>
      </c>
      <c r="C328" s="455"/>
      <c r="D328" s="455" t="s">
        <v>856</v>
      </c>
      <c r="E328" s="324">
        <f>E329</f>
        <v>0</v>
      </c>
      <c r="F328" s="324">
        <f t="shared" ref="F328:P328" si="388">F329</f>
        <v>0</v>
      </c>
      <c r="G328" s="324">
        <f t="shared" si="388"/>
        <v>0</v>
      </c>
      <c r="H328" s="324">
        <f t="shared" si="388"/>
        <v>0</v>
      </c>
      <c r="I328" s="324">
        <f t="shared" si="388"/>
        <v>0</v>
      </c>
      <c r="J328" s="324">
        <f t="shared" si="388"/>
        <v>3185138.96</v>
      </c>
      <c r="K328" s="324">
        <f t="shared" si="388"/>
        <v>0</v>
      </c>
      <c r="L328" s="324">
        <f t="shared" si="388"/>
        <v>1485138.96</v>
      </c>
      <c r="M328" s="324">
        <f t="shared" si="388"/>
        <v>0</v>
      </c>
      <c r="N328" s="324">
        <f t="shared" si="388"/>
        <v>0</v>
      </c>
      <c r="O328" s="324">
        <f t="shared" si="388"/>
        <v>1700000</v>
      </c>
      <c r="P328" s="324">
        <f t="shared" si="388"/>
        <v>3185138.96</v>
      </c>
      <c r="Q328" s="258"/>
      <c r="R328" s="238"/>
    </row>
    <row r="329" spans="1:18" s="99" customFormat="1" ht="91.5" thickTop="1" thickBot="1" x14ac:dyDescent="0.25">
      <c r="A329" s="450" t="s">
        <v>997</v>
      </c>
      <c r="B329" s="404" t="s">
        <v>998</v>
      </c>
      <c r="C329" s="404"/>
      <c r="D329" s="404" t="s">
        <v>999</v>
      </c>
      <c r="E329" s="463">
        <f>SUM(E330:E334)-E330</f>
        <v>0</v>
      </c>
      <c r="F329" s="463">
        <f t="shared" ref="F329:P329" si="389">SUM(F330:F334)-F330</f>
        <v>0</v>
      </c>
      <c r="G329" s="463">
        <f t="shared" si="389"/>
        <v>0</v>
      </c>
      <c r="H329" s="463">
        <f t="shared" si="389"/>
        <v>0</v>
      </c>
      <c r="I329" s="463">
        <f t="shared" si="389"/>
        <v>0</v>
      </c>
      <c r="J329" s="463">
        <f t="shared" si="389"/>
        <v>3185138.96</v>
      </c>
      <c r="K329" s="463">
        <f t="shared" si="389"/>
        <v>0</v>
      </c>
      <c r="L329" s="463">
        <f t="shared" si="389"/>
        <v>1485138.96</v>
      </c>
      <c r="M329" s="463">
        <f t="shared" si="389"/>
        <v>0</v>
      </c>
      <c r="N329" s="463">
        <f t="shared" si="389"/>
        <v>0</v>
      </c>
      <c r="O329" s="463">
        <f t="shared" si="389"/>
        <v>1700000</v>
      </c>
      <c r="P329" s="463">
        <f t="shared" si="389"/>
        <v>3185138.96</v>
      </c>
      <c r="Q329" s="258"/>
      <c r="R329" s="238"/>
    </row>
    <row r="330" spans="1:18" s="99" customFormat="1" ht="138.75" thickTop="1" thickBot="1" x14ac:dyDescent="0.25">
      <c r="A330" s="365" t="s">
        <v>1000</v>
      </c>
      <c r="B330" s="365" t="s">
        <v>1001</v>
      </c>
      <c r="C330" s="365"/>
      <c r="D330" s="365" t="s">
        <v>1002</v>
      </c>
      <c r="E330" s="464">
        <f>SUM(E331:E332)</f>
        <v>0</v>
      </c>
      <c r="F330" s="464">
        <f t="shared" ref="F330:P330" si="390">SUM(F331:F332)</f>
        <v>0</v>
      </c>
      <c r="G330" s="464">
        <f t="shared" si="390"/>
        <v>0</v>
      </c>
      <c r="H330" s="464">
        <f t="shared" si="390"/>
        <v>0</v>
      </c>
      <c r="I330" s="464">
        <f t="shared" si="390"/>
        <v>0</v>
      </c>
      <c r="J330" s="464">
        <f t="shared" si="390"/>
        <v>765138.96</v>
      </c>
      <c r="K330" s="464">
        <f t="shared" si="390"/>
        <v>0</v>
      </c>
      <c r="L330" s="464">
        <f t="shared" si="390"/>
        <v>765138.96</v>
      </c>
      <c r="M330" s="464">
        <f t="shared" si="390"/>
        <v>0</v>
      </c>
      <c r="N330" s="464">
        <f t="shared" si="390"/>
        <v>0</v>
      </c>
      <c r="O330" s="464">
        <f t="shared" si="390"/>
        <v>0</v>
      </c>
      <c r="P330" s="464">
        <f t="shared" si="390"/>
        <v>765138.96</v>
      </c>
      <c r="Q330" s="258"/>
      <c r="R330" s="238"/>
    </row>
    <row r="331" spans="1:18" s="99" customFormat="1" ht="138.75" thickTop="1" thickBot="1" x14ac:dyDescent="0.25">
      <c r="A331" s="651" t="s">
        <v>328</v>
      </c>
      <c r="B331" s="651" t="s">
        <v>329</v>
      </c>
      <c r="C331" s="651" t="s">
        <v>54</v>
      </c>
      <c r="D331" s="651" t="s">
        <v>55</v>
      </c>
      <c r="E331" s="514">
        <f t="shared" ref="E331:E333" si="391">F331</f>
        <v>0</v>
      </c>
      <c r="F331" s="313"/>
      <c r="G331" s="313"/>
      <c r="H331" s="313"/>
      <c r="I331" s="313"/>
      <c r="J331" s="844">
        <f t="shared" si="385"/>
        <v>403900</v>
      </c>
      <c r="K331" s="313"/>
      <c r="L331" s="313">
        <f>(248900)+155000</f>
        <v>403900</v>
      </c>
      <c r="M331" s="313"/>
      <c r="N331" s="313"/>
      <c r="O331" s="849">
        <f t="shared" ref="O331:O332" si="392">K331</f>
        <v>0</v>
      </c>
      <c r="P331" s="844">
        <f t="shared" si="374"/>
        <v>403900</v>
      </c>
      <c r="Q331" s="125" t="b">
        <f>J331='d9'!F13+'d9'!F14+'d9'!F15+'d9'!F16</f>
        <v>1</v>
      </c>
      <c r="R331" s="201"/>
    </row>
    <row r="332" spans="1:18" s="99" customFormat="1" ht="48" thickTop="1" thickBot="1" x14ac:dyDescent="0.25">
      <c r="A332" s="515" t="s">
        <v>508</v>
      </c>
      <c r="B332" s="515" t="s">
        <v>509</v>
      </c>
      <c r="C332" s="515" t="s">
        <v>507</v>
      </c>
      <c r="D332" s="515" t="s">
        <v>510</v>
      </c>
      <c r="E332" s="514">
        <f t="shared" si="391"/>
        <v>0</v>
      </c>
      <c r="F332" s="313"/>
      <c r="G332" s="313"/>
      <c r="H332" s="313"/>
      <c r="I332" s="313"/>
      <c r="J332" s="844">
        <f t="shared" si="385"/>
        <v>361238.96</v>
      </c>
      <c r="K332" s="313"/>
      <c r="L332" s="313">
        <f>(70000)+291238.96</f>
        <v>361238.96</v>
      </c>
      <c r="M332" s="313"/>
      <c r="N332" s="313"/>
      <c r="O332" s="849">
        <f t="shared" si="392"/>
        <v>0</v>
      </c>
      <c r="P332" s="844">
        <f t="shared" si="374"/>
        <v>361238.96</v>
      </c>
      <c r="Q332" s="125" t="b">
        <f>J332='d9'!F17+'d9'!F18</f>
        <v>1</v>
      </c>
      <c r="R332" s="201"/>
    </row>
    <row r="333" spans="1:18" s="99" customFormat="1" ht="93" thickTop="1" thickBot="1" x14ac:dyDescent="0.25">
      <c r="A333" s="515" t="s">
        <v>569</v>
      </c>
      <c r="B333" s="515" t="s">
        <v>567</v>
      </c>
      <c r="C333" s="515" t="s">
        <v>570</v>
      </c>
      <c r="D333" s="515" t="s">
        <v>568</v>
      </c>
      <c r="E333" s="514">
        <f t="shared" si="391"/>
        <v>0</v>
      </c>
      <c r="F333" s="313"/>
      <c r="G333" s="313"/>
      <c r="H333" s="313"/>
      <c r="I333" s="313"/>
      <c r="J333" s="844">
        <f t="shared" si="385"/>
        <v>175000</v>
      </c>
      <c r="K333" s="313"/>
      <c r="L333" s="313">
        <f>(125000)+50000</f>
        <v>175000</v>
      </c>
      <c r="M333" s="313"/>
      <c r="N333" s="313"/>
      <c r="O333" s="849">
        <f>K333</f>
        <v>0</v>
      </c>
      <c r="P333" s="844">
        <f t="shared" si="374"/>
        <v>175000</v>
      </c>
      <c r="Q333" s="125" t="b">
        <f>J333='d9'!F19+'d9'!F20+'d9'!F21</f>
        <v>1</v>
      </c>
      <c r="R333" s="201"/>
    </row>
    <row r="334" spans="1:18" s="99" customFormat="1" ht="93" thickTop="1" thickBot="1" x14ac:dyDescent="0.25">
      <c r="A334" s="515" t="s">
        <v>330</v>
      </c>
      <c r="B334" s="515" t="s">
        <v>331</v>
      </c>
      <c r="C334" s="515" t="s">
        <v>56</v>
      </c>
      <c r="D334" s="515" t="s">
        <v>511</v>
      </c>
      <c r="E334" s="514">
        <v>0</v>
      </c>
      <c r="F334" s="313"/>
      <c r="G334" s="313"/>
      <c r="H334" s="313"/>
      <c r="I334" s="313"/>
      <c r="J334" s="844">
        <f t="shared" si="385"/>
        <v>2245000</v>
      </c>
      <c r="K334" s="844"/>
      <c r="L334" s="313">
        <f>(187000)+358000</f>
        <v>545000</v>
      </c>
      <c r="M334" s="313"/>
      <c r="N334" s="313"/>
      <c r="O334" s="849">
        <f>K334+1700000</f>
        <v>1700000</v>
      </c>
      <c r="P334" s="844">
        <f t="shared" si="374"/>
        <v>2245000</v>
      </c>
      <c r="Q334" s="125" t="b">
        <f>J334='d9'!F22+'d9'!F23+'d9'!F24+'d9'!F25+'d9'!F26+'d9'!F27+'d9'!F28+1700000</f>
        <v>1</v>
      </c>
      <c r="R334" s="201"/>
    </row>
    <row r="335" spans="1:18" ht="136.5" thickTop="1" thickBot="1" x14ac:dyDescent="0.25">
      <c r="A335" s="853" t="s">
        <v>176</v>
      </c>
      <c r="B335" s="853"/>
      <c r="C335" s="853"/>
      <c r="D335" s="854" t="s">
        <v>1073</v>
      </c>
      <c r="E335" s="855">
        <f>E336</f>
        <v>7101225</v>
      </c>
      <c r="F335" s="856">
        <f t="shared" ref="F335:G335" si="393">F336</f>
        <v>7101225</v>
      </c>
      <c r="G335" s="856">
        <f t="shared" si="393"/>
        <v>5311200</v>
      </c>
      <c r="H335" s="856">
        <f>H336</f>
        <v>99200</v>
      </c>
      <c r="I335" s="856">
        <f t="shared" ref="I335" si="394">I336</f>
        <v>0</v>
      </c>
      <c r="J335" s="855">
        <f>J336</f>
        <v>350000</v>
      </c>
      <c r="K335" s="856">
        <f>K336</f>
        <v>350000</v>
      </c>
      <c r="L335" s="856">
        <f>L336</f>
        <v>0</v>
      </c>
      <c r="M335" s="856">
        <f t="shared" ref="M335" si="395">M336</f>
        <v>0</v>
      </c>
      <c r="N335" s="856">
        <f>N336</f>
        <v>0</v>
      </c>
      <c r="O335" s="855">
        <f>O336</f>
        <v>350000</v>
      </c>
      <c r="P335" s="856">
        <f t="shared" ref="P335" si="396">P336</f>
        <v>7451225</v>
      </c>
    </row>
    <row r="336" spans="1:18" ht="181.5" thickTop="1" thickBot="1" x14ac:dyDescent="0.25">
      <c r="A336" s="857" t="s">
        <v>177</v>
      </c>
      <c r="B336" s="857"/>
      <c r="C336" s="857"/>
      <c r="D336" s="858" t="s">
        <v>1072</v>
      </c>
      <c r="E336" s="859">
        <f>E337+E339</f>
        <v>7101225</v>
      </c>
      <c r="F336" s="859">
        <f t="shared" ref="F336:I336" si="397">F337+F339</f>
        <v>7101225</v>
      </c>
      <c r="G336" s="859">
        <f t="shared" si="397"/>
        <v>5311200</v>
      </c>
      <c r="H336" s="859">
        <f t="shared" si="397"/>
        <v>99200</v>
      </c>
      <c r="I336" s="859">
        <f t="shared" si="397"/>
        <v>0</v>
      </c>
      <c r="J336" s="859">
        <f>L336+O336</f>
        <v>350000</v>
      </c>
      <c r="K336" s="859">
        <f t="shared" ref="K336:O336" si="398">K337+K339</f>
        <v>350000</v>
      </c>
      <c r="L336" s="859">
        <f t="shared" si="398"/>
        <v>0</v>
      </c>
      <c r="M336" s="859">
        <f t="shared" si="398"/>
        <v>0</v>
      </c>
      <c r="N336" s="859">
        <f t="shared" si="398"/>
        <v>0</v>
      </c>
      <c r="O336" s="859">
        <f t="shared" si="398"/>
        <v>350000</v>
      </c>
      <c r="P336" s="859">
        <f>E336+J336</f>
        <v>7451225</v>
      </c>
      <c r="Q336" s="125" t="b">
        <f>P336=P341+P343+P338</f>
        <v>1</v>
      </c>
      <c r="R336" s="125" t="b">
        <f>K336='d6'!J311</f>
        <v>1</v>
      </c>
    </row>
    <row r="337" spans="1:19" s="436" customFormat="1" ht="47.25" thickTop="1" thickBot="1" x14ac:dyDescent="0.25">
      <c r="A337" s="173" t="s">
        <v>1003</v>
      </c>
      <c r="B337" s="455" t="s">
        <v>843</v>
      </c>
      <c r="C337" s="455"/>
      <c r="D337" s="455" t="s">
        <v>844</v>
      </c>
      <c r="E337" s="440">
        <f>SUM(E338)</f>
        <v>7101225</v>
      </c>
      <c r="F337" s="440">
        <f t="shared" ref="F337:P337" si="399">SUM(F338)</f>
        <v>7101225</v>
      </c>
      <c r="G337" s="440">
        <f t="shared" si="399"/>
        <v>5311200</v>
      </c>
      <c r="H337" s="440">
        <f t="shared" si="399"/>
        <v>99200</v>
      </c>
      <c r="I337" s="440">
        <f t="shared" si="399"/>
        <v>0</v>
      </c>
      <c r="J337" s="844">
        <f t="shared" si="399"/>
        <v>100000</v>
      </c>
      <c r="K337" s="844">
        <f t="shared" si="399"/>
        <v>100000</v>
      </c>
      <c r="L337" s="844">
        <f t="shared" si="399"/>
        <v>0</v>
      </c>
      <c r="M337" s="844">
        <f t="shared" si="399"/>
        <v>0</v>
      </c>
      <c r="N337" s="844">
        <f t="shared" si="399"/>
        <v>0</v>
      </c>
      <c r="O337" s="844">
        <f t="shared" si="399"/>
        <v>100000</v>
      </c>
      <c r="P337" s="844">
        <f t="shared" si="399"/>
        <v>7201225</v>
      </c>
      <c r="Q337" s="125"/>
      <c r="R337" s="125"/>
    </row>
    <row r="338" spans="1:19" ht="230.25" thickTop="1" thickBot="1" x14ac:dyDescent="0.25">
      <c r="A338" s="279" t="s">
        <v>446</v>
      </c>
      <c r="B338" s="279" t="s">
        <v>254</v>
      </c>
      <c r="C338" s="279" t="s">
        <v>252</v>
      </c>
      <c r="D338" s="279" t="s">
        <v>253</v>
      </c>
      <c r="E338" s="322">
        <f>F338</f>
        <v>7101225</v>
      </c>
      <c r="F338" s="323">
        <f>23900+2600+((5014525)+1688700+371500)</f>
        <v>7101225</v>
      </c>
      <c r="G338" s="323">
        <f>(3622500)+1688700</f>
        <v>5311200</v>
      </c>
      <c r="H338" s="323">
        <f>23900+2600+(53320+2000+17380)</f>
        <v>99200</v>
      </c>
      <c r="I338" s="323"/>
      <c r="J338" s="844">
        <f>L338+O338</f>
        <v>100000</v>
      </c>
      <c r="K338" s="313">
        <v>100000</v>
      </c>
      <c r="L338" s="313"/>
      <c r="M338" s="313"/>
      <c r="N338" s="313"/>
      <c r="O338" s="849">
        <f>K338</f>
        <v>100000</v>
      </c>
      <c r="P338" s="844">
        <f>E338+J338</f>
        <v>7201225</v>
      </c>
      <c r="R338" s="125" t="b">
        <f>K338='d6'!J313</f>
        <v>1</v>
      </c>
    </row>
    <row r="339" spans="1:19" s="436" customFormat="1" ht="47.25" thickTop="1" thickBot="1" x14ac:dyDescent="0.25">
      <c r="A339" s="173" t="s">
        <v>1004</v>
      </c>
      <c r="B339" s="455" t="s">
        <v>908</v>
      </c>
      <c r="C339" s="439"/>
      <c r="D339" s="455" t="s">
        <v>955</v>
      </c>
      <c r="E339" s="438">
        <f t="shared" ref="E339:P339" si="400">E340+E342</f>
        <v>0</v>
      </c>
      <c r="F339" s="438">
        <f t="shared" si="400"/>
        <v>0</v>
      </c>
      <c r="G339" s="438">
        <f t="shared" si="400"/>
        <v>0</v>
      </c>
      <c r="H339" s="438">
        <f t="shared" si="400"/>
        <v>0</v>
      </c>
      <c r="I339" s="438">
        <f t="shared" si="400"/>
        <v>0</v>
      </c>
      <c r="J339" s="844">
        <f t="shared" si="400"/>
        <v>250000</v>
      </c>
      <c r="K339" s="844">
        <f t="shared" si="400"/>
        <v>250000</v>
      </c>
      <c r="L339" s="844">
        <f t="shared" si="400"/>
        <v>0</v>
      </c>
      <c r="M339" s="844">
        <f t="shared" si="400"/>
        <v>0</v>
      </c>
      <c r="N339" s="844">
        <f t="shared" si="400"/>
        <v>0</v>
      </c>
      <c r="O339" s="844">
        <f t="shared" si="400"/>
        <v>250000</v>
      </c>
      <c r="P339" s="844">
        <f t="shared" si="400"/>
        <v>250000</v>
      </c>
      <c r="R339" s="197"/>
    </row>
    <row r="340" spans="1:19" s="436" customFormat="1" ht="91.5" thickTop="1" thickBot="1" x14ac:dyDescent="0.25">
      <c r="A340" s="450" t="s">
        <v>1005</v>
      </c>
      <c r="B340" s="450" t="s">
        <v>1006</v>
      </c>
      <c r="C340" s="450"/>
      <c r="D340" s="450" t="s">
        <v>1007</v>
      </c>
      <c r="E340" s="448">
        <f>SUM(E341)</f>
        <v>0</v>
      </c>
      <c r="F340" s="448">
        <f t="shared" ref="F340:P340" si="401">SUM(F341)</f>
        <v>0</v>
      </c>
      <c r="G340" s="448">
        <f t="shared" si="401"/>
        <v>0</v>
      </c>
      <c r="H340" s="448">
        <f t="shared" si="401"/>
        <v>0</v>
      </c>
      <c r="I340" s="448">
        <f t="shared" si="401"/>
        <v>0</v>
      </c>
      <c r="J340" s="366">
        <f t="shared" si="401"/>
        <v>200000</v>
      </c>
      <c r="K340" s="366">
        <f t="shared" si="401"/>
        <v>200000</v>
      </c>
      <c r="L340" s="366">
        <f t="shared" si="401"/>
        <v>0</v>
      </c>
      <c r="M340" s="366">
        <f t="shared" si="401"/>
        <v>0</v>
      </c>
      <c r="N340" s="366">
        <f t="shared" si="401"/>
        <v>0</v>
      </c>
      <c r="O340" s="366">
        <f t="shared" si="401"/>
        <v>200000</v>
      </c>
      <c r="P340" s="366">
        <f t="shared" si="401"/>
        <v>200000</v>
      </c>
      <c r="R340" s="197"/>
    </row>
    <row r="341" spans="1:19" ht="93" thickTop="1" thickBot="1" x14ac:dyDescent="0.25">
      <c r="A341" s="279" t="s">
        <v>325</v>
      </c>
      <c r="B341" s="279" t="s">
        <v>326</v>
      </c>
      <c r="C341" s="279" t="s">
        <v>327</v>
      </c>
      <c r="D341" s="279" t="s">
        <v>497</v>
      </c>
      <c r="E341" s="322">
        <f>F341</f>
        <v>0</v>
      </c>
      <c r="F341" s="323"/>
      <c r="G341" s="323"/>
      <c r="H341" s="323"/>
      <c r="I341" s="323"/>
      <c r="J341" s="844">
        <f>L341+O341</f>
        <v>200000</v>
      </c>
      <c r="K341" s="313">
        <v>200000</v>
      </c>
      <c r="L341" s="313"/>
      <c r="M341" s="313"/>
      <c r="N341" s="313"/>
      <c r="O341" s="849">
        <v>200000</v>
      </c>
      <c r="P341" s="844">
        <f>E341+J341</f>
        <v>200000</v>
      </c>
      <c r="R341" s="125" t="b">
        <f>K341='d6'!J314+'d6'!J315</f>
        <v>1</v>
      </c>
    </row>
    <row r="342" spans="1:19" s="436" customFormat="1" ht="136.5" thickTop="1" thickBot="1" x14ac:dyDescent="0.25">
      <c r="A342" s="450" t="s">
        <v>1008</v>
      </c>
      <c r="B342" s="450" t="s">
        <v>850</v>
      </c>
      <c r="C342" s="437"/>
      <c r="D342" s="450" t="s">
        <v>1009</v>
      </c>
      <c r="E342" s="448">
        <f>SUM(E343)</f>
        <v>0</v>
      </c>
      <c r="F342" s="448">
        <f t="shared" ref="F342:P342" si="402">SUM(F343)</f>
        <v>0</v>
      </c>
      <c r="G342" s="448">
        <f t="shared" si="402"/>
        <v>0</v>
      </c>
      <c r="H342" s="448">
        <f t="shared" si="402"/>
        <v>0</v>
      </c>
      <c r="I342" s="448">
        <f t="shared" si="402"/>
        <v>0</v>
      </c>
      <c r="J342" s="366">
        <f t="shared" si="402"/>
        <v>50000</v>
      </c>
      <c r="K342" s="366">
        <f t="shared" si="402"/>
        <v>50000</v>
      </c>
      <c r="L342" s="366">
        <f t="shared" si="402"/>
        <v>0</v>
      </c>
      <c r="M342" s="366">
        <f t="shared" si="402"/>
        <v>0</v>
      </c>
      <c r="N342" s="366">
        <f t="shared" si="402"/>
        <v>0</v>
      </c>
      <c r="O342" s="366">
        <f t="shared" si="402"/>
        <v>50000</v>
      </c>
      <c r="P342" s="366">
        <f t="shared" si="402"/>
        <v>50000</v>
      </c>
      <c r="R342" s="442"/>
    </row>
    <row r="343" spans="1:19" ht="138.75" thickTop="1" thickBot="1" x14ac:dyDescent="0.25">
      <c r="A343" s="279" t="s">
        <v>394</v>
      </c>
      <c r="B343" s="279" t="s">
        <v>395</v>
      </c>
      <c r="C343" s="279" t="s">
        <v>184</v>
      </c>
      <c r="D343" s="279" t="s">
        <v>396</v>
      </c>
      <c r="E343" s="322">
        <f>F343</f>
        <v>0</v>
      </c>
      <c r="F343" s="323"/>
      <c r="G343" s="323"/>
      <c r="H343" s="323"/>
      <c r="I343" s="323"/>
      <c r="J343" s="844">
        <f>L343+O343</f>
        <v>50000</v>
      </c>
      <c r="K343" s="313">
        <v>50000</v>
      </c>
      <c r="L343" s="313"/>
      <c r="M343" s="313"/>
      <c r="N343" s="313"/>
      <c r="O343" s="849">
        <f>K343</f>
        <v>50000</v>
      </c>
      <c r="P343" s="844">
        <f>E343+J343</f>
        <v>50000</v>
      </c>
      <c r="R343" s="125" t="b">
        <f>K343='d6'!J316</f>
        <v>1</v>
      </c>
    </row>
    <row r="344" spans="1:19" ht="136.5" thickTop="1" thickBot="1" x14ac:dyDescent="0.25">
      <c r="A344" s="853" t="s">
        <v>182</v>
      </c>
      <c r="B344" s="853"/>
      <c r="C344" s="853"/>
      <c r="D344" s="854" t="s">
        <v>27</v>
      </c>
      <c r="E344" s="855">
        <f>E345</f>
        <v>86990348.180000007</v>
      </c>
      <c r="F344" s="856">
        <f t="shared" ref="F344:G344" si="403">F345</f>
        <v>86990348.180000007</v>
      </c>
      <c r="G344" s="856">
        <f t="shared" si="403"/>
        <v>6740000</v>
      </c>
      <c r="H344" s="856">
        <f>H345</f>
        <v>158150</v>
      </c>
      <c r="I344" s="856">
        <f t="shared" ref="I344" si="404">I345</f>
        <v>0</v>
      </c>
      <c r="J344" s="855">
        <f>J345</f>
        <v>40000</v>
      </c>
      <c r="K344" s="856">
        <f>K345</f>
        <v>40000</v>
      </c>
      <c r="L344" s="856">
        <f>L345</f>
        <v>0</v>
      </c>
      <c r="M344" s="856">
        <f t="shared" ref="M344" si="405">M345</f>
        <v>0</v>
      </c>
      <c r="N344" s="856">
        <f>N345</f>
        <v>0</v>
      </c>
      <c r="O344" s="855">
        <f>O345</f>
        <v>40000</v>
      </c>
      <c r="P344" s="856">
        <f t="shared" ref="P344" si="406">P345</f>
        <v>87030348.180000007</v>
      </c>
    </row>
    <row r="345" spans="1:19" ht="136.5" thickTop="1" thickBot="1" x14ac:dyDescent="0.25">
      <c r="A345" s="857" t="s">
        <v>183</v>
      </c>
      <c r="B345" s="857"/>
      <c r="C345" s="857"/>
      <c r="D345" s="858" t="s">
        <v>42</v>
      </c>
      <c r="E345" s="859">
        <f>E346+E349+E353</f>
        <v>86990348.180000007</v>
      </c>
      <c r="F345" s="859">
        <f t="shared" ref="F345:I345" si="407">F346+F349+F353</f>
        <v>86990348.180000007</v>
      </c>
      <c r="G345" s="859">
        <f t="shared" si="407"/>
        <v>6740000</v>
      </c>
      <c r="H345" s="859">
        <f t="shared" si="407"/>
        <v>158150</v>
      </c>
      <c r="I345" s="859">
        <f t="shared" si="407"/>
        <v>0</v>
      </c>
      <c r="J345" s="859">
        <f>L345+O345</f>
        <v>40000</v>
      </c>
      <c r="K345" s="859">
        <f t="shared" ref="K345:O345" si="408">K346+K349+K353</f>
        <v>40000</v>
      </c>
      <c r="L345" s="859">
        <f t="shared" si="408"/>
        <v>0</v>
      </c>
      <c r="M345" s="859">
        <f t="shared" si="408"/>
        <v>0</v>
      </c>
      <c r="N345" s="859">
        <f t="shared" si="408"/>
        <v>0</v>
      </c>
      <c r="O345" s="859">
        <f t="shared" si="408"/>
        <v>40000</v>
      </c>
      <c r="P345" s="859">
        <f>E345+J345</f>
        <v>87030348.180000007</v>
      </c>
      <c r="Q345" s="125" t="b">
        <f>P345=P350+P352+P355+P347+P348</f>
        <v>1</v>
      </c>
      <c r="R345" s="125" t="b">
        <f>K345='d6'!J317</f>
        <v>1</v>
      </c>
    </row>
    <row r="346" spans="1:19" s="436" customFormat="1" ht="47.25" thickTop="1" thickBot="1" x14ac:dyDescent="0.25">
      <c r="A346" s="173" t="s">
        <v>1010</v>
      </c>
      <c r="B346" s="455" t="s">
        <v>843</v>
      </c>
      <c r="C346" s="455"/>
      <c r="D346" s="455" t="s">
        <v>844</v>
      </c>
      <c r="E346" s="440">
        <f>SUM(E347:E348)</f>
        <v>8459005</v>
      </c>
      <c r="F346" s="440">
        <f t="shared" ref="F346:P346" si="409">SUM(F347:F348)</f>
        <v>8459005</v>
      </c>
      <c r="G346" s="440">
        <f t="shared" si="409"/>
        <v>6740000</v>
      </c>
      <c r="H346" s="440">
        <f t="shared" si="409"/>
        <v>158150</v>
      </c>
      <c r="I346" s="440">
        <f t="shared" si="409"/>
        <v>0</v>
      </c>
      <c r="J346" s="844">
        <f t="shared" si="409"/>
        <v>40000</v>
      </c>
      <c r="K346" s="844">
        <f t="shared" si="409"/>
        <v>40000</v>
      </c>
      <c r="L346" s="844">
        <f t="shared" si="409"/>
        <v>0</v>
      </c>
      <c r="M346" s="844">
        <f t="shared" si="409"/>
        <v>0</v>
      </c>
      <c r="N346" s="844">
        <f t="shared" si="409"/>
        <v>0</v>
      </c>
      <c r="O346" s="844">
        <f t="shared" si="409"/>
        <v>40000</v>
      </c>
      <c r="P346" s="844">
        <f t="shared" si="409"/>
        <v>8499005</v>
      </c>
      <c r="Q346" s="125"/>
      <c r="R346" s="198"/>
    </row>
    <row r="347" spans="1:19" ht="230.25" thickTop="1" thickBot="1" x14ac:dyDescent="0.25">
      <c r="A347" s="325" t="s">
        <v>448</v>
      </c>
      <c r="B347" s="325" t="s">
        <v>254</v>
      </c>
      <c r="C347" s="325" t="s">
        <v>252</v>
      </c>
      <c r="D347" s="325" t="s">
        <v>253</v>
      </c>
      <c r="E347" s="327">
        <f>F347</f>
        <v>8456005</v>
      </c>
      <c r="F347" s="313">
        <f>-100000-80000+19400+7400+(((7700000+1540000+152690+146035+7000+71000+4400+51000+4950+1075-3000)-205945)-860000)</f>
        <v>8456005</v>
      </c>
      <c r="G347" s="313">
        <f>-100000+((7700000)-860000)</f>
        <v>6740000</v>
      </c>
      <c r="H347" s="313">
        <f>19400+7400+(71000+4400+51000+4950)</f>
        <v>158150</v>
      </c>
      <c r="I347" s="313"/>
      <c r="J347" s="844">
        <f>L347+O347</f>
        <v>40000</v>
      </c>
      <c r="K347" s="313">
        <v>40000</v>
      </c>
      <c r="L347" s="313"/>
      <c r="M347" s="313"/>
      <c r="N347" s="313"/>
      <c r="O347" s="849">
        <f>K347</f>
        <v>40000</v>
      </c>
      <c r="P347" s="844">
        <f>E347+J347</f>
        <v>8496005</v>
      </c>
      <c r="Q347" s="125" t="b">
        <f>K347='d6'!J319</f>
        <v>1</v>
      </c>
      <c r="R347" s="198"/>
      <c r="S347" s="197">
        <f>'d6'!J319</f>
        <v>40000</v>
      </c>
    </row>
    <row r="348" spans="1:19" s="319" customFormat="1" ht="184.5" thickTop="1" thickBot="1" x14ac:dyDescent="0.25">
      <c r="A348" s="325" t="s">
        <v>792</v>
      </c>
      <c r="B348" s="325" t="s">
        <v>388</v>
      </c>
      <c r="C348" s="325" t="s">
        <v>778</v>
      </c>
      <c r="D348" s="325" t="s">
        <v>779</v>
      </c>
      <c r="E348" s="324">
        <f>F348</f>
        <v>3000</v>
      </c>
      <c r="F348" s="170">
        <v>3000</v>
      </c>
      <c r="G348" s="170"/>
      <c r="H348" s="170"/>
      <c r="I348" s="170"/>
      <c r="J348" s="844">
        <f t="shared" ref="J348" si="410">L348+O348</f>
        <v>0</v>
      </c>
      <c r="K348" s="170"/>
      <c r="L348" s="847"/>
      <c r="M348" s="847"/>
      <c r="N348" s="847"/>
      <c r="O348" s="849">
        <f t="shared" ref="O348" si="411">K348</f>
        <v>0</v>
      </c>
      <c r="P348" s="844">
        <f t="shared" ref="P348" si="412">+J348+E348</f>
        <v>3000</v>
      </c>
      <c r="Q348" s="197"/>
      <c r="R348" s="198"/>
    </row>
    <row r="349" spans="1:19" s="436" customFormat="1" ht="47.25" thickTop="1" thickBot="1" x14ac:dyDescent="0.25">
      <c r="A349" s="173" t="s">
        <v>1011</v>
      </c>
      <c r="B349" s="455" t="s">
        <v>855</v>
      </c>
      <c r="C349" s="455"/>
      <c r="D349" s="455" t="s">
        <v>856</v>
      </c>
      <c r="E349" s="324">
        <f>E350+E351</f>
        <v>5227443.18</v>
      </c>
      <c r="F349" s="324">
        <f t="shared" ref="F349:P349" si="413">F350+F351</f>
        <v>5227443.18</v>
      </c>
      <c r="G349" s="324">
        <f t="shared" si="413"/>
        <v>0</v>
      </c>
      <c r="H349" s="324">
        <f t="shared" si="413"/>
        <v>0</v>
      </c>
      <c r="I349" s="324">
        <f t="shared" si="413"/>
        <v>0</v>
      </c>
      <c r="J349" s="324">
        <f t="shared" si="413"/>
        <v>0</v>
      </c>
      <c r="K349" s="324">
        <f t="shared" si="413"/>
        <v>0</v>
      </c>
      <c r="L349" s="324">
        <f t="shared" si="413"/>
        <v>0</v>
      </c>
      <c r="M349" s="324">
        <f t="shared" si="413"/>
        <v>0</v>
      </c>
      <c r="N349" s="324">
        <f t="shared" si="413"/>
        <v>0</v>
      </c>
      <c r="O349" s="324">
        <f t="shared" si="413"/>
        <v>0</v>
      </c>
      <c r="P349" s="324">
        <f t="shared" si="413"/>
        <v>5227443.18</v>
      </c>
      <c r="Q349" s="197"/>
      <c r="R349" s="198"/>
    </row>
    <row r="350" spans="1:19" ht="91.5" thickTop="1" thickBot="1" x14ac:dyDescent="0.25">
      <c r="A350" s="472">
        <v>3718600</v>
      </c>
      <c r="B350" s="472">
        <v>8600</v>
      </c>
      <c r="C350" s="404" t="s">
        <v>388</v>
      </c>
      <c r="D350" s="472" t="s">
        <v>488</v>
      </c>
      <c r="E350" s="366">
        <f>F350</f>
        <v>4377443.18</v>
      </c>
      <c r="F350" s="366">
        <f>200000+355467.18+(((1033835)+205945)+2582196)</f>
        <v>4377443.18</v>
      </c>
      <c r="G350" s="366"/>
      <c r="H350" s="366"/>
      <c r="I350" s="366"/>
      <c r="J350" s="366">
        <f>L350+O350</f>
        <v>0</v>
      </c>
      <c r="K350" s="366"/>
      <c r="L350" s="366"/>
      <c r="M350" s="366"/>
      <c r="N350" s="366"/>
      <c r="O350" s="885">
        <f>K350</f>
        <v>0</v>
      </c>
      <c r="P350" s="366">
        <f>E350+J350</f>
        <v>4377443.18</v>
      </c>
    </row>
    <row r="351" spans="1:19" s="436" customFormat="1" ht="47.25" thickTop="1" thickBot="1" x14ac:dyDescent="0.25">
      <c r="A351" s="472">
        <v>3718700</v>
      </c>
      <c r="B351" s="472">
        <v>8700</v>
      </c>
      <c r="C351" s="404"/>
      <c r="D351" s="472" t="s">
        <v>1012</v>
      </c>
      <c r="E351" s="366">
        <f>E352</f>
        <v>850000</v>
      </c>
      <c r="F351" s="366">
        <f>F352</f>
        <v>850000</v>
      </c>
      <c r="G351" s="366">
        <f t="shared" ref="G351:P351" si="414">G352</f>
        <v>0</v>
      </c>
      <c r="H351" s="366">
        <f t="shared" si="414"/>
        <v>0</v>
      </c>
      <c r="I351" s="366">
        <f t="shared" si="414"/>
        <v>0</v>
      </c>
      <c r="J351" s="366">
        <f t="shared" si="414"/>
        <v>0</v>
      </c>
      <c r="K351" s="366">
        <f t="shared" si="414"/>
        <v>0</v>
      </c>
      <c r="L351" s="366">
        <f t="shared" si="414"/>
        <v>0</v>
      </c>
      <c r="M351" s="366">
        <f t="shared" si="414"/>
        <v>0</v>
      </c>
      <c r="N351" s="366">
        <f t="shared" si="414"/>
        <v>0</v>
      </c>
      <c r="O351" s="366">
        <f t="shared" si="414"/>
        <v>0</v>
      </c>
      <c r="P351" s="366">
        <f t="shared" si="414"/>
        <v>850000</v>
      </c>
      <c r="Q351" s="442"/>
      <c r="R351" s="442"/>
    </row>
    <row r="352" spans="1:19" ht="93" thickTop="1" thickBot="1" x14ac:dyDescent="0.25">
      <c r="A352" s="339">
        <v>3718710</v>
      </c>
      <c r="B352" s="339">
        <v>8710</v>
      </c>
      <c r="C352" s="335" t="s">
        <v>44</v>
      </c>
      <c r="D352" s="337" t="s">
        <v>798</v>
      </c>
      <c r="E352" s="336">
        <f>F352</f>
        <v>850000</v>
      </c>
      <c r="F352" s="313">
        <f>((3000000)-100000)-900000-1000000-150000</f>
        <v>850000</v>
      </c>
      <c r="G352" s="313"/>
      <c r="H352" s="313"/>
      <c r="I352" s="313"/>
      <c r="J352" s="844">
        <f>L352+O352</f>
        <v>0</v>
      </c>
      <c r="K352" s="313"/>
      <c r="L352" s="313"/>
      <c r="M352" s="313"/>
      <c r="N352" s="313"/>
      <c r="O352" s="849">
        <f>K352</f>
        <v>0</v>
      </c>
      <c r="P352" s="844">
        <f>E352+J352</f>
        <v>850000</v>
      </c>
    </row>
    <row r="353" spans="1:18" s="436" customFormat="1" ht="47.25" thickTop="1" thickBot="1" x14ac:dyDescent="0.25">
      <c r="A353" s="455" t="s">
        <v>1013</v>
      </c>
      <c r="B353" s="455" t="s">
        <v>861</v>
      </c>
      <c r="C353" s="455"/>
      <c r="D353" s="455" t="s">
        <v>862</v>
      </c>
      <c r="E353" s="440">
        <f>E354</f>
        <v>73303900</v>
      </c>
      <c r="F353" s="440">
        <f t="shared" ref="F353:P354" si="415">F354</f>
        <v>73303900</v>
      </c>
      <c r="G353" s="440">
        <f t="shared" si="415"/>
        <v>0</v>
      </c>
      <c r="H353" s="440">
        <f t="shared" si="415"/>
        <v>0</v>
      </c>
      <c r="I353" s="440">
        <f t="shared" si="415"/>
        <v>0</v>
      </c>
      <c r="J353" s="844">
        <f t="shared" si="415"/>
        <v>0</v>
      </c>
      <c r="K353" s="844">
        <f t="shared" si="415"/>
        <v>0</v>
      </c>
      <c r="L353" s="844">
        <f t="shared" si="415"/>
        <v>0</v>
      </c>
      <c r="M353" s="844">
        <f t="shared" si="415"/>
        <v>0</v>
      </c>
      <c r="N353" s="844">
        <f t="shared" si="415"/>
        <v>0</v>
      </c>
      <c r="O353" s="844">
        <f t="shared" si="415"/>
        <v>0</v>
      </c>
      <c r="P353" s="844">
        <f t="shared" si="415"/>
        <v>73303900</v>
      </c>
      <c r="Q353" s="442"/>
      <c r="R353" s="442"/>
    </row>
    <row r="354" spans="1:18" s="436" customFormat="1" ht="91.5" thickTop="1" thickBot="1" x14ac:dyDescent="0.25">
      <c r="A354" s="472">
        <v>3719100</v>
      </c>
      <c r="B354" s="404" t="s">
        <v>1015</v>
      </c>
      <c r="C354" s="404"/>
      <c r="D354" s="404" t="s">
        <v>1014</v>
      </c>
      <c r="E354" s="366">
        <f>E355</f>
        <v>73303900</v>
      </c>
      <c r="F354" s="366">
        <f t="shared" si="415"/>
        <v>73303900</v>
      </c>
      <c r="G354" s="366">
        <f t="shared" si="415"/>
        <v>0</v>
      </c>
      <c r="H354" s="366">
        <f t="shared" si="415"/>
        <v>0</v>
      </c>
      <c r="I354" s="366">
        <f t="shared" si="415"/>
        <v>0</v>
      </c>
      <c r="J354" s="366">
        <f t="shared" si="415"/>
        <v>0</v>
      </c>
      <c r="K354" s="366">
        <f t="shared" si="415"/>
        <v>0</v>
      </c>
      <c r="L354" s="366">
        <f t="shared" si="415"/>
        <v>0</v>
      </c>
      <c r="M354" s="366">
        <f t="shared" si="415"/>
        <v>0</v>
      </c>
      <c r="N354" s="366">
        <f t="shared" si="415"/>
        <v>0</v>
      </c>
      <c r="O354" s="366">
        <f t="shared" si="415"/>
        <v>0</v>
      </c>
      <c r="P354" s="366">
        <f t="shared" si="415"/>
        <v>73303900</v>
      </c>
      <c r="Q354" s="442"/>
      <c r="R354" s="442"/>
    </row>
    <row r="355" spans="1:18" ht="48" thickTop="1" thickBot="1" x14ac:dyDescent="0.25">
      <c r="A355" s="339">
        <v>3719110</v>
      </c>
      <c r="B355" s="339">
        <v>9110</v>
      </c>
      <c r="C355" s="335" t="s">
        <v>45</v>
      </c>
      <c r="D355" s="337" t="s">
        <v>487</v>
      </c>
      <c r="E355" s="336">
        <f>F355</f>
        <v>73303900</v>
      </c>
      <c r="F355" s="313">
        <v>73303900</v>
      </c>
      <c r="G355" s="313"/>
      <c r="H355" s="313"/>
      <c r="I355" s="313"/>
      <c r="J355" s="844">
        <f>L355+O355</f>
        <v>0</v>
      </c>
      <c r="K355" s="313"/>
      <c r="L355" s="313"/>
      <c r="M355" s="313"/>
      <c r="N355" s="313"/>
      <c r="O355" s="849">
        <f>K355</f>
        <v>0</v>
      </c>
      <c r="P355" s="844">
        <f>E355+J355</f>
        <v>73303900</v>
      </c>
    </row>
    <row r="356" spans="1:18" ht="159.75" customHeight="1" thickTop="1" thickBot="1" x14ac:dyDescent="0.25">
      <c r="A356" s="246" t="s">
        <v>408</v>
      </c>
      <c r="B356" s="246" t="s">
        <v>408</v>
      </c>
      <c r="C356" s="246" t="s">
        <v>408</v>
      </c>
      <c r="D356" s="247" t="s">
        <v>418</v>
      </c>
      <c r="E356" s="340">
        <f t="shared" ref="E356:P356" si="416">E17+E42+E190+E89+E113+E170++E268+E290+E345+E311+E324+E336+E298+E239+E220</f>
        <v>2778219255.6599994</v>
      </c>
      <c r="F356" s="340">
        <f t="shared" si="416"/>
        <v>2778219255.6599994</v>
      </c>
      <c r="G356" s="340">
        <f t="shared" si="416"/>
        <v>1446103014.5</v>
      </c>
      <c r="H356" s="340">
        <f t="shared" si="416"/>
        <v>133575871.78999999</v>
      </c>
      <c r="I356" s="340">
        <f t="shared" si="416"/>
        <v>0</v>
      </c>
      <c r="J356" s="340">
        <f t="shared" si="416"/>
        <v>754391572.22000003</v>
      </c>
      <c r="K356" s="340">
        <f t="shared" si="416"/>
        <v>583404942.64999998</v>
      </c>
      <c r="L356" s="340">
        <f t="shared" si="416"/>
        <v>164296711.54000002</v>
      </c>
      <c r="M356" s="340">
        <f t="shared" si="416"/>
        <v>50901291</v>
      </c>
      <c r="N356" s="340">
        <f t="shared" si="416"/>
        <v>14358738</v>
      </c>
      <c r="O356" s="340">
        <f t="shared" si="416"/>
        <v>590094860.68000007</v>
      </c>
      <c r="P356" s="340">
        <f t="shared" si="416"/>
        <v>3532610827.8800001</v>
      </c>
      <c r="Q356" s="38" t="b">
        <f>K356='d6'!J320</f>
        <v>1</v>
      </c>
      <c r="R356" s="38" t="b">
        <f>P356=J356+E356</f>
        <v>1</v>
      </c>
    </row>
    <row r="357" spans="1:18" ht="46.5" thickTop="1" x14ac:dyDescent="0.2">
      <c r="A357" s="1071" t="s">
        <v>542</v>
      </c>
      <c r="B357" s="1072"/>
      <c r="C357" s="1072"/>
      <c r="D357" s="1072"/>
      <c r="E357" s="1072"/>
      <c r="F357" s="1072"/>
      <c r="G357" s="1072"/>
      <c r="H357" s="1072"/>
      <c r="I357" s="1072"/>
      <c r="J357" s="1072"/>
      <c r="K357" s="1072"/>
      <c r="L357" s="1072"/>
      <c r="M357" s="1072"/>
      <c r="N357" s="1072"/>
      <c r="O357" s="1072"/>
      <c r="P357" s="1072"/>
      <c r="Q357" s="203"/>
    </row>
    <row r="358" spans="1:18" ht="60.75" hidden="1" x14ac:dyDescent="0.2">
      <c r="A358" s="136"/>
      <c r="B358" s="137"/>
      <c r="C358" s="137"/>
      <c r="D358" s="137"/>
      <c r="E358" s="78">
        <f>F358</f>
        <v>2778219255.6599998</v>
      </c>
      <c r="F358" s="78">
        <f>((77438986.82+'d2'!E19+((((2638170564+6058967+642850)-'d4'!F17+'d2'!E28)+16026676.66+1406835-100000)+9712966))+553900)+32367649.18</f>
        <v>2778219255.6599998</v>
      </c>
      <c r="G358" s="78">
        <f>(828700-600000+9997450+1414400+359540+((354000+540000+1494859+80242670+1114143912+4186600+68381820+89280550+40854695+37511680)-3284345.53+1122300+879350))-5636312+6090001.03-2025200-32000-1655</f>
        <v>1446103014.5</v>
      </c>
      <c r="H358" s="78">
        <f>(67000+2735067+49875+1431+((6000+3000+20785+3339900+87477970+201540+2063407+3907125+2243165+730080+50000+6058967)-4296997.21+25300+63000-165000-635000+200000))+27531977+100000+282765+81165+1170490+357860-45000-50000</f>
        <v>133575871.79000001</v>
      </c>
      <c r="I358" s="78">
        <v>0</v>
      </c>
      <c r="J358" s="78">
        <f>((-10623233.82+41402316+((((356021747.58+79713450)+73413409.53-123742.2+22276190+100000)+60000000+70000000)+26383129))+5835403.78+19271337.53)+10721564.82</f>
        <v>754391572.22000003</v>
      </c>
      <c r="K358" s="78">
        <f>((-10623233.82+41402316-2300000-1326174+((((356021747.58+79713450)-4201200-630900-155853885)+73413409.53-123742.2-1155966.58-127015.03-854238.96-95000+(22276190-1700000+100000)+60000000+70000000)+26383129))+5835403.78+19271337.53)+10721564.82-2242250-500000</f>
        <v>583404942.6500001</v>
      </c>
      <c r="L358" s="78">
        <f>(-230522+1326174+((4201200-49000)+630900+(155853885-1788820-106000))+78600-9947+1155966.58+854238.96-50000)+2242250+222586-34800</f>
        <v>164296711.54000002</v>
      </c>
      <c r="M358" s="78">
        <f>(332110+14400+(866362+41217060+104000+7345900))+1021459</f>
        <v>50901291</v>
      </c>
      <c r="N358" s="78">
        <f>(920000-18400+(308978+8654190+137000+257400))+4099570</f>
        <v>14358738</v>
      </c>
      <c r="O358" s="78">
        <f>((-10623233.82+41402316-2300000-1326174+2530522+((((356021747.58+79713450)-(4201200-49000)-630900-(155853885-1788820-106000))+16400+9947+(73413409.53-123742.2-95000-1155966.58-854238.96)+50000+(22276190+100000)+60000000+70000000)+26383129))+5835403.78+19271337.53)+10721564.82-2242250-222586+34800</f>
        <v>590094860.67999995</v>
      </c>
      <c r="P358" s="78">
        <f>(((((2994192311.58+6058967+80356300)-'d4'!F20+'d2'!E28+(89440086.19-123742.2)+23683025+60000000+70000000)+36096095)+118841302.82+'d2'!E19-10623233.82)+4665403.78+1170000+19825237.53)+43089214</f>
        <v>3532610827.8800001</v>
      </c>
      <c r="Q358" s="38" t="b">
        <f>E358+J358=P358</f>
        <v>1</v>
      </c>
      <c r="R358" s="203"/>
    </row>
    <row r="359" spans="1:18" s="505" customFormat="1" ht="60.75" x14ac:dyDescent="0.2">
      <c r="A359" s="659"/>
      <c r="B359" s="660"/>
      <c r="C359" s="660"/>
      <c r="D359" s="660"/>
      <c r="E359" s="661"/>
      <c r="F359" s="661"/>
      <c r="G359" s="661"/>
      <c r="H359" s="661"/>
      <c r="I359" s="661"/>
      <c r="J359" s="661"/>
      <c r="K359" s="661"/>
      <c r="L359" s="661"/>
      <c r="M359" s="661"/>
      <c r="N359" s="661"/>
      <c r="O359" s="661"/>
      <c r="P359" s="661"/>
      <c r="Q359" s="662"/>
      <c r="R359" s="663"/>
    </row>
    <row r="360" spans="1:18" ht="75.75" customHeight="1" x14ac:dyDescent="0.65">
      <c r="A360" s="136"/>
      <c r="B360" s="137"/>
      <c r="C360" s="137"/>
      <c r="D360" s="760" t="s">
        <v>1508</v>
      </c>
      <c r="E360" s="658"/>
      <c r="F360" s="758"/>
      <c r="G360" s="658"/>
      <c r="H360" s="658"/>
      <c r="I360" s="123"/>
      <c r="J360" s="123"/>
      <c r="K360" s="658" t="s">
        <v>1509</v>
      </c>
      <c r="L360" s="123"/>
      <c r="M360" s="123"/>
      <c r="N360" s="123"/>
      <c r="O360" s="123"/>
      <c r="P360" s="123"/>
      <c r="Q360" s="203"/>
    </row>
    <row r="361" spans="1:18" s="141" customFormat="1" ht="12.75" customHeight="1" x14ac:dyDescent="0.65">
      <c r="A361" s="142"/>
      <c r="B361" s="143"/>
      <c r="C361" s="143"/>
      <c r="D361" s="1004"/>
      <c r="E361" s="1004"/>
      <c r="F361" s="1004"/>
      <c r="G361" s="1004"/>
      <c r="H361" s="1004"/>
      <c r="I361" s="1004"/>
      <c r="J361" s="1004"/>
      <c r="K361" s="1004"/>
      <c r="L361" s="1004"/>
      <c r="M361" s="1004"/>
      <c r="N361" s="1004"/>
      <c r="O361" s="1004"/>
      <c r="P361" s="1004"/>
      <c r="Q361" s="203"/>
      <c r="R361" s="187"/>
    </row>
    <row r="362" spans="1:18" s="141" customFormat="1" ht="46.5" thickBot="1" x14ac:dyDescent="0.7">
      <c r="A362" s="142"/>
      <c r="B362" s="143"/>
      <c r="C362" s="143"/>
      <c r="D362" s="144" t="s">
        <v>606</v>
      </c>
      <c r="E362" s="758"/>
      <c r="F362" s="758"/>
      <c r="G362" s="758"/>
      <c r="H362" s="144"/>
      <c r="I362" s="123"/>
      <c r="J362" s="123"/>
      <c r="K362" s="144" t="s">
        <v>607</v>
      </c>
      <c r="L362" s="123"/>
      <c r="M362" s="123"/>
      <c r="N362" s="123"/>
      <c r="O362" s="123"/>
      <c r="P362" s="123"/>
      <c r="Q362" s="203"/>
      <c r="R362" s="187"/>
    </row>
    <row r="363" spans="1:18" ht="47.25" thickTop="1" thickBot="1" x14ac:dyDescent="0.7">
      <c r="A363" s="134"/>
      <c r="B363" s="134"/>
      <c r="C363" s="134"/>
      <c r="D363" s="1004"/>
      <c r="E363" s="1004"/>
      <c r="F363" s="1004"/>
      <c r="G363" s="1004"/>
      <c r="H363" s="1004"/>
      <c r="I363" s="1004"/>
      <c r="J363" s="1004"/>
      <c r="K363" s="1004"/>
      <c r="L363" s="1004"/>
      <c r="M363" s="1004"/>
      <c r="N363" s="1004"/>
      <c r="O363" s="1004"/>
      <c r="P363" s="1004"/>
      <c r="Q363" s="340"/>
    </row>
    <row r="364" spans="1:18" ht="150.75" hidden="1" customHeight="1" x14ac:dyDescent="0.65">
      <c r="D364" s="1004" t="s">
        <v>608</v>
      </c>
      <c r="E364" s="1004"/>
      <c r="F364" s="1004"/>
      <c r="G364" s="1004"/>
      <c r="H364" s="1004"/>
      <c r="I364" s="1004"/>
      <c r="J364" s="1004"/>
      <c r="K364" s="1004"/>
      <c r="L364" s="1004"/>
      <c r="M364" s="1004"/>
      <c r="N364" s="1004"/>
      <c r="O364" s="1004"/>
      <c r="P364" s="1004"/>
    </row>
    <row r="365" spans="1:18" ht="95.25" customHeight="1" thickTop="1" x14ac:dyDescent="0.55000000000000004">
      <c r="G365" s="292"/>
      <c r="H365" s="292"/>
      <c r="Q365" s="195"/>
    </row>
    <row r="366" spans="1:18" hidden="1" x14ac:dyDescent="0.2">
      <c r="E366" s="4"/>
      <c r="F366" s="3"/>
      <c r="G366" s="292"/>
      <c r="H366" s="292"/>
      <c r="J366" s="4"/>
      <c r="K366" s="4"/>
    </row>
    <row r="367" spans="1:18" hidden="1" x14ac:dyDescent="0.2">
      <c r="E367" s="4"/>
      <c r="F367" s="3"/>
      <c r="G367" s="292"/>
      <c r="H367" s="292"/>
      <c r="J367" s="4"/>
      <c r="K367" s="4"/>
    </row>
    <row r="368" spans="1:18" ht="60.75" x14ac:dyDescent="0.2">
      <c r="E368" s="38" t="b">
        <f>E358=E356</f>
        <v>1</v>
      </c>
      <c r="F368" s="38" t="b">
        <f>F358=F356</f>
        <v>1</v>
      </c>
      <c r="G368" s="38" t="b">
        <f>G358=G356</f>
        <v>1</v>
      </c>
      <c r="H368" s="38" t="b">
        <f t="shared" ref="H368:O368" si="417">H358=H356</f>
        <v>1</v>
      </c>
      <c r="I368" s="38" t="b">
        <f>I358=I356</f>
        <v>1</v>
      </c>
      <c r="J368" s="38" t="b">
        <f>J356=J358</f>
        <v>1</v>
      </c>
      <c r="K368" s="38" t="b">
        <f>K358=K356</f>
        <v>1</v>
      </c>
      <c r="L368" s="38" t="b">
        <f t="shared" si="417"/>
        <v>1</v>
      </c>
      <c r="M368" s="38" t="b">
        <f t="shared" si="417"/>
        <v>1</v>
      </c>
      <c r="N368" s="38" t="b">
        <f t="shared" si="417"/>
        <v>1</v>
      </c>
      <c r="O368" s="38" t="b">
        <f t="shared" si="417"/>
        <v>1</v>
      </c>
      <c r="P368" s="38" t="b">
        <f>P358=P356</f>
        <v>1</v>
      </c>
    </row>
    <row r="369" spans="1:18" ht="61.5" x14ac:dyDescent="0.2">
      <c r="E369" s="38" t="b">
        <f>E356=F356</f>
        <v>1</v>
      </c>
      <c r="F369" s="886">
        <f>F352/E356*100</f>
        <v>3.0595137452464036E-2</v>
      </c>
      <c r="G369" s="887" t="s">
        <v>343</v>
      </c>
      <c r="H369" s="296"/>
      <c r="I369" s="126"/>
      <c r="J369" s="38" t="b">
        <f>J358=L358+O358</f>
        <v>1</v>
      </c>
      <c r="K369" s="127"/>
      <c r="L369" s="38"/>
      <c r="M369" s="126"/>
      <c r="N369" s="126"/>
      <c r="O369" s="38"/>
      <c r="P369" s="38" t="b">
        <f>E356+J356=P356</f>
        <v>1</v>
      </c>
    </row>
    <row r="370" spans="1:18" ht="60.75" x14ac:dyDescent="0.2">
      <c r="E370" s="128"/>
      <c r="F370" s="129"/>
      <c r="G370" s="128"/>
      <c r="H370" s="297"/>
      <c r="I370" s="128"/>
      <c r="J370" s="4"/>
      <c r="K370" s="4"/>
    </row>
    <row r="371" spans="1:18" ht="61.5" x14ac:dyDescent="0.2">
      <c r="A371" s="132"/>
      <c r="B371" s="132"/>
      <c r="C371" s="132"/>
      <c r="D371" s="6"/>
      <c r="E371" s="132"/>
      <c r="F371" s="45">
        <f>F352/P356*100</f>
        <v>2.406152393837575E-2</v>
      </c>
      <c r="G371" s="45" t="s">
        <v>343</v>
      </c>
      <c r="H371" s="296"/>
      <c r="I371" s="6"/>
      <c r="J371" s="48">
        <f>J356-J358</f>
        <v>0</v>
      </c>
      <c r="K371" s="48">
        <f>K356-K358</f>
        <v>0</v>
      </c>
      <c r="L371" s="48"/>
      <c r="M371" s="48"/>
      <c r="N371" s="48"/>
      <c r="O371" s="48">
        <f>O356-O358</f>
        <v>0</v>
      </c>
      <c r="P371" s="48"/>
    </row>
    <row r="372" spans="1:18" ht="61.5" x14ac:dyDescent="0.2">
      <c r="D372" s="6"/>
      <c r="E372" s="48"/>
      <c r="F372" s="130"/>
      <c r="G372" s="38"/>
      <c r="H372" s="296"/>
      <c r="I372" s="6"/>
      <c r="J372" s="48"/>
      <c r="K372" s="48"/>
      <c r="L372" s="102"/>
      <c r="P372" s="38"/>
      <c r="Q372" s="199"/>
      <c r="R372" s="202"/>
    </row>
    <row r="373" spans="1:18" ht="60.75" x14ac:dyDescent="0.2">
      <c r="A373" s="132"/>
      <c r="B373" s="132"/>
      <c r="C373" s="132"/>
      <c r="D373" s="6"/>
      <c r="E373" s="124"/>
      <c r="F373" s="124">
        <f>F358-F356</f>
        <v>0</v>
      </c>
      <c r="G373" s="124"/>
      <c r="H373" s="124">
        <f>H358-H356</f>
        <v>0</v>
      </c>
      <c r="I373" s="131"/>
      <c r="J373" s="124"/>
      <c r="K373" s="124"/>
      <c r="L373" s="124"/>
      <c r="M373" s="124"/>
      <c r="N373" s="124"/>
      <c r="O373" s="124"/>
      <c r="P373" s="124"/>
      <c r="Q373" s="199"/>
      <c r="R373" s="202"/>
    </row>
    <row r="374" spans="1:18" ht="60.75" x14ac:dyDescent="0.2">
      <c r="D374" s="6"/>
      <c r="E374" s="48"/>
      <c r="F374" s="68"/>
      <c r="G374" s="264"/>
      <c r="O374" s="38"/>
      <c r="P374" s="38"/>
    </row>
    <row r="375" spans="1:18" ht="60.75" x14ac:dyDescent="0.2">
      <c r="A375" s="132"/>
      <c r="B375" s="132"/>
      <c r="C375" s="132"/>
      <c r="D375" s="6"/>
      <c r="E375" s="48"/>
      <c r="F375" s="45"/>
      <c r="G375" s="102"/>
      <c r="I375" s="138"/>
      <c r="J375" s="4"/>
      <c r="K375" s="4"/>
      <c r="L375" s="132"/>
      <c r="M375" s="132"/>
      <c r="N375" s="132"/>
      <c r="O375" s="132"/>
      <c r="P375" s="38"/>
    </row>
    <row r="376" spans="1:18" ht="62.25" x14ac:dyDescent="0.8">
      <c r="A376" s="132"/>
      <c r="B376" s="132"/>
      <c r="C376" s="132"/>
      <c r="D376" s="132"/>
      <c r="E376" s="9"/>
      <c r="F376" s="45"/>
      <c r="J376" s="4"/>
      <c r="K376" s="4"/>
      <c r="L376" s="132"/>
      <c r="M376" s="132"/>
      <c r="N376" s="132"/>
      <c r="O376" s="132"/>
      <c r="P376" s="50"/>
    </row>
    <row r="377" spans="1:18" ht="45.75" x14ac:dyDescent="0.2">
      <c r="E377" s="103">
        <f>E352/E356</f>
        <v>3.0595137452464036E-4</v>
      </c>
      <c r="F377" s="68"/>
    </row>
    <row r="378" spans="1:18" ht="45.75" x14ac:dyDescent="0.2">
      <c r="A378" s="132"/>
      <c r="B378" s="132"/>
      <c r="C378" s="132"/>
      <c r="D378" s="132"/>
      <c r="E378" s="9"/>
      <c r="F378" s="45"/>
      <c r="L378" s="132"/>
      <c r="M378" s="132"/>
      <c r="N378" s="132"/>
      <c r="O378" s="132"/>
      <c r="P378" s="132"/>
    </row>
    <row r="379" spans="1:18" ht="45.75" x14ac:dyDescent="0.2">
      <c r="E379" s="10"/>
      <c r="F379" s="68"/>
    </row>
    <row r="380" spans="1:18" ht="45.75" x14ac:dyDescent="0.2">
      <c r="E380" s="10"/>
      <c r="F380" s="68"/>
    </row>
    <row r="381" spans="1:18" ht="45.75" x14ac:dyDescent="0.2">
      <c r="E381" s="10"/>
      <c r="F381" s="68"/>
    </row>
    <row r="382" spans="1:18" ht="45.75" x14ac:dyDescent="0.2">
      <c r="A382" s="132"/>
      <c r="B382" s="132"/>
      <c r="C382" s="132"/>
      <c r="D382" s="132"/>
      <c r="E382" s="10"/>
      <c r="F382" s="68"/>
      <c r="G382" s="132"/>
      <c r="H382" s="132"/>
      <c r="I382" s="132"/>
      <c r="J382" s="132"/>
      <c r="K382" s="132"/>
      <c r="L382" s="132"/>
      <c r="M382" s="132"/>
      <c r="N382" s="132"/>
      <c r="O382" s="132"/>
      <c r="P382" s="132"/>
    </row>
    <row r="383" spans="1:18" ht="45.75" x14ac:dyDescent="0.2">
      <c r="A383" s="132"/>
      <c r="B383" s="132"/>
      <c r="C383" s="132"/>
      <c r="D383" s="132"/>
      <c r="E383" s="10"/>
      <c r="F383" s="68"/>
      <c r="G383" s="132"/>
      <c r="H383" s="132"/>
      <c r="I383" s="132"/>
      <c r="J383" s="132"/>
      <c r="K383" s="132"/>
      <c r="L383" s="132"/>
      <c r="M383" s="132"/>
      <c r="N383" s="132"/>
      <c r="O383" s="132"/>
      <c r="P383" s="132"/>
    </row>
    <row r="384" spans="1:18" ht="45.75" x14ac:dyDescent="0.2">
      <c r="A384" s="132"/>
      <c r="B384" s="132"/>
      <c r="C384" s="132"/>
      <c r="D384" s="132"/>
      <c r="E384" s="10"/>
      <c r="F384" s="68"/>
      <c r="G384" s="132"/>
      <c r="H384" s="132"/>
      <c r="I384" s="132"/>
      <c r="J384" s="132"/>
      <c r="K384" s="132"/>
      <c r="L384" s="132"/>
      <c r="M384" s="132"/>
      <c r="N384" s="132"/>
      <c r="O384" s="132"/>
      <c r="P384" s="132"/>
    </row>
    <row r="385" spans="1:16" ht="45.75" x14ac:dyDescent="0.2">
      <c r="A385" s="132"/>
      <c r="B385" s="132"/>
      <c r="C385" s="132"/>
      <c r="D385" s="132"/>
      <c r="E385" s="10"/>
      <c r="F385" s="68"/>
      <c r="G385" s="132"/>
      <c r="H385" s="132"/>
      <c r="I385" s="132"/>
      <c r="J385" s="132"/>
      <c r="K385" s="132"/>
      <c r="L385" s="132"/>
      <c r="M385" s="132"/>
      <c r="N385" s="132"/>
      <c r="O385" s="132"/>
      <c r="P385" s="132"/>
    </row>
  </sheetData>
  <mergeCells count="198">
    <mergeCell ref="D364:P364"/>
    <mergeCell ref="A357:P357"/>
    <mergeCell ref="D363:P363"/>
    <mergeCell ref="K30:K31"/>
    <mergeCell ref="L30:L31"/>
    <mergeCell ref="M30:M31"/>
    <mergeCell ref="N30:N31"/>
    <mergeCell ref="O30:O31"/>
    <mergeCell ref="P30:P31"/>
    <mergeCell ref="E236:E237"/>
    <mergeCell ref="F236:F237"/>
    <mergeCell ref="G236:G237"/>
    <mergeCell ref="H236:H237"/>
    <mergeCell ref="I236:I237"/>
    <mergeCell ref="J236:J237"/>
    <mergeCell ref="A30:A31"/>
    <mergeCell ref="E30:E31"/>
    <mergeCell ref="F30:F31"/>
    <mergeCell ref="G30:G31"/>
    <mergeCell ref="H30:H31"/>
    <mergeCell ref="J30:J31"/>
    <mergeCell ref="A260:A261"/>
    <mergeCell ref="A51:A52"/>
    <mergeCell ref="B51:B52"/>
    <mergeCell ref="N2:Q2"/>
    <mergeCell ref="N3:Q3"/>
    <mergeCell ref="O4:P4"/>
    <mergeCell ref="A6:P6"/>
    <mergeCell ref="A7:P7"/>
    <mergeCell ref="A9:B9"/>
    <mergeCell ref="J12:O12"/>
    <mergeCell ref="P12:P14"/>
    <mergeCell ref="E13:E14"/>
    <mergeCell ref="F13:F14"/>
    <mergeCell ref="G13:H13"/>
    <mergeCell ref="I13:I14"/>
    <mergeCell ref="J13:J14"/>
    <mergeCell ref="K13:K14"/>
    <mergeCell ref="L13:L14"/>
    <mergeCell ref="M13:N13"/>
    <mergeCell ref="O13:O14"/>
    <mergeCell ref="A10:B10"/>
    <mergeCell ref="A12:A14"/>
    <mergeCell ref="B12:B14"/>
    <mergeCell ref="C12:C14"/>
    <mergeCell ref="D12:D14"/>
    <mergeCell ref="E12:I12"/>
    <mergeCell ref="L51:L52"/>
    <mergeCell ref="M51:M52"/>
    <mergeCell ref="N51:N52"/>
    <mergeCell ref="G167:G168"/>
    <mergeCell ref="C51:C52"/>
    <mergeCell ref="E51:E52"/>
    <mergeCell ref="F51:F52"/>
    <mergeCell ref="H167:H168"/>
    <mergeCell ref="I167:I168"/>
    <mergeCell ref="C167:C168"/>
    <mergeCell ref="E167:E168"/>
    <mergeCell ref="F167:F168"/>
    <mergeCell ref="C70:C71"/>
    <mergeCell ref="D70:D71"/>
    <mergeCell ref="E70:E71"/>
    <mergeCell ref="C141:C143"/>
    <mergeCell ref="E141:E143"/>
    <mergeCell ref="F141:F143"/>
    <mergeCell ref="G141:G143"/>
    <mergeCell ref="H141:H143"/>
    <mergeCell ref="I141:I143"/>
    <mergeCell ref="K144:K147"/>
    <mergeCell ref="L144:L147"/>
    <mergeCell ref="M144:M147"/>
    <mergeCell ref="P236:P237"/>
    <mergeCell ref="K167:K168"/>
    <mergeCell ref="L167:L168"/>
    <mergeCell ref="M167:M168"/>
    <mergeCell ref="N167:N168"/>
    <mergeCell ref="O167:O168"/>
    <mergeCell ref="P167:P168"/>
    <mergeCell ref="K236:K237"/>
    <mergeCell ref="L236:L237"/>
    <mergeCell ref="M236:M237"/>
    <mergeCell ref="N236:N237"/>
    <mergeCell ref="O236:O237"/>
    <mergeCell ref="H260:H261"/>
    <mergeCell ref="I260:I261"/>
    <mergeCell ref="I30:I31"/>
    <mergeCell ref="B30:B31"/>
    <mergeCell ref="C30:C31"/>
    <mergeCell ref="J260:J261"/>
    <mergeCell ref="A236:A237"/>
    <mergeCell ref="B236:B237"/>
    <mergeCell ref="C236:C237"/>
    <mergeCell ref="J167:J168"/>
    <mergeCell ref="A167:A168"/>
    <mergeCell ref="B167:B168"/>
    <mergeCell ref="A70:A71"/>
    <mergeCell ref="B70:B71"/>
    <mergeCell ref="B141:B143"/>
    <mergeCell ref="A151:A153"/>
    <mergeCell ref="B151:B153"/>
    <mergeCell ref="I144:I147"/>
    <mergeCell ref="J144:J147"/>
    <mergeCell ref="P70:P71"/>
    <mergeCell ref="A141:A143"/>
    <mergeCell ref="D361:P361"/>
    <mergeCell ref="O51:O52"/>
    <mergeCell ref="P51:P52"/>
    <mergeCell ref="G51:G52"/>
    <mergeCell ref="H51:H52"/>
    <mergeCell ref="I51:I52"/>
    <mergeCell ref="J51:J52"/>
    <mergeCell ref="K51:K52"/>
    <mergeCell ref="O260:O261"/>
    <mergeCell ref="P260:P261"/>
    <mergeCell ref="K260:K261"/>
    <mergeCell ref="L260:L261"/>
    <mergeCell ref="M260:M261"/>
    <mergeCell ref="N260:N261"/>
    <mergeCell ref="K287:K288"/>
    <mergeCell ref="L287:L288"/>
    <mergeCell ref="M287:M288"/>
    <mergeCell ref="N287:N288"/>
    <mergeCell ref="O287:O288"/>
    <mergeCell ref="E260:E261"/>
    <mergeCell ref="F260:F261"/>
    <mergeCell ref="G260:G261"/>
    <mergeCell ref="Q141:Q143"/>
    <mergeCell ref="A144:A147"/>
    <mergeCell ref="P287:P288"/>
    <mergeCell ref="I70:I71"/>
    <mergeCell ref="J70:J71"/>
    <mergeCell ref="K70:K71"/>
    <mergeCell ref="L70:L71"/>
    <mergeCell ref="A287:A288"/>
    <mergeCell ref="B287:B288"/>
    <mergeCell ref="C287:C288"/>
    <mergeCell ref="E287:E288"/>
    <mergeCell ref="F287:F288"/>
    <mergeCell ref="G287:G288"/>
    <mergeCell ref="H287:H288"/>
    <mergeCell ref="I287:I288"/>
    <mergeCell ref="J287:J288"/>
    <mergeCell ref="F70:F71"/>
    <mergeCell ref="G70:G71"/>
    <mergeCell ref="H70:H71"/>
    <mergeCell ref="M70:M71"/>
    <mergeCell ref="N70:N71"/>
    <mergeCell ref="B260:B261"/>
    <mergeCell ref="C260:C261"/>
    <mergeCell ref="O70:O71"/>
    <mergeCell ref="N144:N147"/>
    <mergeCell ref="O144:O147"/>
    <mergeCell ref="P144:P147"/>
    <mergeCell ref="J141:J143"/>
    <mergeCell ref="K141:K143"/>
    <mergeCell ref="L141:L143"/>
    <mergeCell ref="M141:M143"/>
    <mergeCell ref="N141:N143"/>
    <mergeCell ref="O141:O143"/>
    <mergeCell ref="P141:P143"/>
    <mergeCell ref="R141:R143"/>
    <mergeCell ref="R148:R150"/>
    <mergeCell ref="A148:A150"/>
    <mergeCell ref="B148:B150"/>
    <mergeCell ref="C148:C150"/>
    <mergeCell ref="E148:E150"/>
    <mergeCell ref="F148:F150"/>
    <mergeCell ref="G148:G150"/>
    <mergeCell ref="H148:H150"/>
    <mergeCell ref="I148:I150"/>
    <mergeCell ref="J148:J150"/>
    <mergeCell ref="K148:K150"/>
    <mergeCell ref="L148:L150"/>
    <mergeCell ref="M148:M150"/>
    <mergeCell ref="N148:N150"/>
    <mergeCell ref="O148:O150"/>
    <mergeCell ref="P148:P150"/>
    <mergeCell ref="R144:R147"/>
    <mergeCell ref="B144:B147"/>
    <mergeCell ref="C144:C147"/>
    <mergeCell ref="E144:E147"/>
    <mergeCell ref="F144:F147"/>
    <mergeCell ref="G144:G147"/>
    <mergeCell ref="H144:H147"/>
    <mergeCell ref="M151:M153"/>
    <mergeCell ref="N151:N153"/>
    <mergeCell ref="O151:O153"/>
    <mergeCell ref="P151:P153"/>
    <mergeCell ref="R151:R153"/>
    <mergeCell ref="C151:C153"/>
    <mergeCell ref="E151:E153"/>
    <mergeCell ref="F151:F153"/>
    <mergeCell ref="G151:G153"/>
    <mergeCell ref="H151:H153"/>
    <mergeCell ref="I151:I153"/>
    <mergeCell ref="J151:J153"/>
    <mergeCell ref="K151:K153"/>
    <mergeCell ref="L151:L153"/>
  </mergeCells>
  <conditionalFormatting sqref="Q345:Q346 Q348:R349 R347:S347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R338:R340 Q336:R337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R346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Q311:R315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Q300:Q309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R300:R309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Q298:Q299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R298:R299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290:R291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Q290:Q296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R292:R296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24:R325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R326:R330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Q324:Q330">
    <cfRule type="iconSet" priority="29">
      <iconSet iconSet="3Arrows">
        <cfvo type="percent" val="0"/>
        <cfvo type="percent" val="33"/>
        <cfvo type="percent" val="67"/>
      </iconSet>
    </cfRule>
  </conditionalFormatting>
  <conditionalFormatting sqref="R316:R322">
    <cfRule type="iconSet" priority="38">
      <iconSet iconSet="3Arrows">
        <cfvo type="percent" val="0"/>
        <cfvo type="percent" val="33"/>
        <cfvo type="percent" val="67"/>
      </iconSet>
    </cfRule>
  </conditionalFormatting>
  <conditionalFormatting sqref="Q331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Q333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Q334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Q332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Q347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45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41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43">
    <cfRule type="iconSet" priority="1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horizontalDpi="4294967295" verticalDpi="4294967295" r:id="rId1"/>
  <headerFooter alignWithMargins="0">
    <oddFooter>&amp;C&amp;"Times New Roman Cyr,курсив"Сторінка &amp;P з &amp;N</oddFooter>
  </headerFooter>
  <rowBreaks count="3" manualBreakCount="3">
    <brk id="36" max="15" man="1"/>
    <brk id="54" max="15" man="1"/>
    <brk id="280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4"/>
  <dimension ref="A2:R167"/>
  <sheetViews>
    <sheetView showGridLines="0" view="pageBreakPreview" topLeftCell="B1" zoomScale="85" zoomScaleNormal="85" zoomScaleSheetLayoutView="85" workbookViewId="0">
      <selection activeCell="M2" sqref="M2:Q2"/>
    </sheetView>
  </sheetViews>
  <sheetFormatPr defaultColWidth="7.85546875" defaultRowHeight="12.75" x14ac:dyDescent="0.2"/>
  <cols>
    <col min="1" max="1" width="0" style="8" hidden="1" customWidth="1"/>
    <col min="2" max="2" width="13" style="20" customWidth="1"/>
    <col min="3" max="3" width="13.5703125" style="20" customWidth="1"/>
    <col min="4" max="4" width="15.28515625" style="20" customWidth="1"/>
    <col min="5" max="5" width="38.85546875" style="20" customWidth="1"/>
    <col min="6" max="6" width="11.85546875" style="20" bestFit="1" customWidth="1"/>
    <col min="7" max="7" width="11.85546875" style="20" customWidth="1"/>
    <col min="8" max="8" width="13.28515625" style="20" customWidth="1"/>
    <col min="9" max="9" width="12.5703125" style="20" customWidth="1"/>
    <col min="10" max="10" width="12.140625" style="20" customWidth="1"/>
    <col min="11" max="11" width="18.140625" style="20" customWidth="1"/>
    <col min="12" max="12" width="13.5703125" style="20" customWidth="1"/>
    <col min="13" max="13" width="13" style="20" customWidth="1"/>
    <col min="14" max="14" width="11.42578125" style="20" customWidth="1"/>
    <col min="15" max="15" width="12.7109375" style="20" customWidth="1"/>
    <col min="16" max="16" width="12.5703125" style="20" customWidth="1"/>
    <col min="17" max="17" width="12.7109375" style="20" customWidth="1"/>
    <col min="18" max="18" width="10" style="206" bestFit="1" customWidth="1"/>
    <col min="19" max="16384" width="7.85546875" style="20"/>
  </cols>
  <sheetData>
    <row r="2" spans="1:18" ht="64.5" customHeight="1" x14ac:dyDescent="0.2">
      <c r="B2" s="8"/>
      <c r="C2" s="8"/>
      <c r="D2" s="8"/>
      <c r="M2" s="1083" t="s">
        <v>1517</v>
      </c>
      <c r="N2" s="1083"/>
      <c r="O2" s="1083"/>
      <c r="P2" s="1083"/>
      <c r="Q2" s="1083"/>
    </row>
    <row r="3" spans="1:18" ht="18.75" x14ac:dyDescent="0.2">
      <c r="B3" s="1087"/>
      <c r="C3" s="1087"/>
      <c r="D3" s="8"/>
      <c r="E3" s="1084" t="s">
        <v>688</v>
      </c>
      <c r="F3" s="1084"/>
      <c r="G3" s="1084"/>
      <c r="H3" s="1084"/>
      <c r="I3" s="1084"/>
      <c r="J3" s="1084"/>
      <c r="K3" s="1084"/>
      <c r="L3" s="1084"/>
      <c r="M3" s="1084"/>
      <c r="N3" s="22"/>
      <c r="O3" s="22"/>
      <c r="P3" s="22"/>
      <c r="Q3" s="22"/>
    </row>
    <row r="4" spans="1:18" s="163" customFormat="1" ht="21" customHeight="1" x14ac:dyDescent="0.2">
      <c r="A4" s="8"/>
      <c r="B4" s="161"/>
      <c r="C4" s="162"/>
      <c r="D4" s="24"/>
      <c r="E4" s="1084" t="s">
        <v>687</v>
      </c>
      <c r="F4" s="1095"/>
      <c r="G4" s="1095"/>
      <c r="H4" s="1095"/>
      <c r="I4" s="1095"/>
      <c r="J4" s="1095"/>
      <c r="K4" s="1095"/>
      <c r="L4" s="1095"/>
      <c r="M4" s="1095"/>
      <c r="N4" s="8"/>
      <c r="O4" s="8"/>
      <c r="P4" s="8"/>
      <c r="Q4" s="25"/>
      <c r="R4" s="206"/>
    </row>
    <row r="5" spans="1:18" s="82" customFormat="1" ht="12" customHeight="1" x14ac:dyDescent="0.2">
      <c r="A5" s="8"/>
      <c r="B5" s="1088">
        <v>22564000000</v>
      </c>
      <c r="C5" s="1089"/>
      <c r="D5" s="24"/>
      <c r="E5" s="83"/>
      <c r="F5" s="83"/>
      <c r="G5" s="83"/>
      <c r="H5" s="83"/>
      <c r="I5" s="83"/>
      <c r="J5" s="83"/>
      <c r="K5" s="83"/>
      <c r="L5" s="83"/>
      <c r="M5" s="83"/>
      <c r="N5" s="8"/>
      <c r="O5" s="8"/>
      <c r="P5" s="8"/>
      <c r="Q5" s="25"/>
      <c r="R5" s="206"/>
    </row>
    <row r="6" spans="1:18" s="82" customFormat="1" ht="12" customHeight="1" x14ac:dyDescent="0.2">
      <c r="A6" s="8"/>
      <c r="B6" s="1090" t="s">
        <v>535</v>
      </c>
      <c r="C6" s="1091"/>
      <c r="D6" s="24"/>
      <c r="E6" s="83"/>
      <c r="F6" s="83"/>
      <c r="G6" s="83"/>
      <c r="H6" s="83"/>
      <c r="I6" s="83"/>
      <c r="J6" s="83"/>
      <c r="K6" s="83"/>
      <c r="L6" s="83"/>
      <c r="M6" s="83"/>
      <c r="N6" s="8"/>
      <c r="O6" s="8"/>
      <c r="P6" s="8"/>
      <c r="Q6" s="25"/>
      <c r="R6" s="206"/>
    </row>
    <row r="7" spans="1:18" ht="21" customHeight="1" thickBot="1" x14ac:dyDescent="0.35">
      <c r="B7" s="23"/>
      <c r="C7" s="23"/>
      <c r="D7" s="24"/>
      <c r="E7" s="21"/>
      <c r="F7" s="21"/>
      <c r="G7" s="21"/>
      <c r="H7" s="21"/>
      <c r="I7" s="21"/>
      <c r="J7" s="21"/>
      <c r="K7" s="21"/>
      <c r="L7" s="21"/>
      <c r="M7" s="21"/>
      <c r="N7" s="8"/>
      <c r="O7" s="8"/>
      <c r="P7" s="8"/>
      <c r="Q7" s="89" t="s">
        <v>431</v>
      </c>
    </row>
    <row r="8" spans="1:18" ht="17.45" customHeight="1" thickTop="1" thickBot="1" x14ac:dyDescent="0.25">
      <c r="A8" s="26"/>
      <c r="B8" s="1085" t="s">
        <v>536</v>
      </c>
      <c r="C8" s="1093" t="s">
        <v>537</v>
      </c>
      <c r="D8" s="1093" t="s">
        <v>417</v>
      </c>
      <c r="E8" s="1093" t="s">
        <v>691</v>
      </c>
      <c r="F8" s="1085" t="s">
        <v>136</v>
      </c>
      <c r="G8" s="1085"/>
      <c r="H8" s="1085"/>
      <c r="I8" s="1085"/>
      <c r="J8" s="1085" t="s">
        <v>137</v>
      </c>
      <c r="K8" s="1085"/>
      <c r="L8" s="1085"/>
      <c r="M8" s="1085"/>
      <c r="N8" s="1085" t="s">
        <v>416</v>
      </c>
      <c r="O8" s="1085"/>
      <c r="P8" s="1085"/>
      <c r="Q8" s="1085"/>
    </row>
    <row r="9" spans="1:18" ht="28.5" customHeight="1" thickTop="1" thickBot="1" x14ac:dyDescent="0.25">
      <c r="A9" s="27"/>
      <c r="B9" s="1085"/>
      <c r="C9" s="1070"/>
      <c r="D9" s="1070"/>
      <c r="E9" s="1094"/>
      <c r="F9" s="1080" t="s">
        <v>413</v>
      </c>
      <c r="G9" s="1080" t="s">
        <v>414</v>
      </c>
      <c r="H9" s="1081"/>
      <c r="I9" s="1080" t="s">
        <v>415</v>
      </c>
      <c r="J9" s="1080" t="s">
        <v>413</v>
      </c>
      <c r="K9" s="1080" t="s">
        <v>414</v>
      </c>
      <c r="L9" s="1081"/>
      <c r="M9" s="1080" t="s">
        <v>415</v>
      </c>
      <c r="N9" s="1080" t="s">
        <v>413</v>
      </c>
      <c r="O9" s="1080" t="s">
        <v>414</v>
      </c>
      <c r="P9" s="1081"/>
      <c r="Q9" s="1080" t="s">
        <v>415</v>
      </c>
    </row>
    <row r="10" spans="1:18" ht="65.25" customHeight="1" thickTop="1" thickBot="1" x14ac:dyDescent="0.25">
      <c r="A10" s="20"/>
      <c r="B10" s="1085"/>
      <c r="C10" s="1070"/>
      <c r="D10" s="1070"/>
      <c r="E10" s="1070"/>
      <c r="F10" s="1080"/>
      <c r="G10" s="178" t="s">
        <v>411</v>
      </c>
      <c r="H10" s="178" t="s">
        <v>412</v>
      </c>
      <c r="I10" s="1080"/>
      <c r="J10" s="1080"/>
      <c r="K10" s="178" t="s">
        <v>411</v>
      </c>
      <c r="L10" s="178" t="s">
        <v>412</v>
      </c>
      <c r="M10" s="1080"/>
      <c r="N10" s="1080"/>
      <c r="O10" s="178" t="s">
        <v>411</v>
      </c>
      <c r="P10" s="178" t="s">
        <v>412</v>
      </c>
      <c r="Q10" s="1080"/>
    </row>
    <row r="11" spans="1:18" ht="15" customHeight="1" thickTop="1" thickBot="1" x14ac:dyDescent="0.25">
      <c r="A11" s="20"/>
      <c r="B11" s="179">
        <v>1</v>
      </c>
      <c r="C11" s="180">
        <v>2</v>
      </c>
      <c r="D11" s="179">
        <v>3</v>
      </c>
      <c r="E11" s="180">
        <v>4</v>
      </c>
      <c r="F11" s="179">
        <v>5</v>
      </c>
      <c r="G11" s="180">
        <v>6</v>
      </c>
      <c r="H11" s="179">
        <v>7</v>
      </c>
      <c r="I11" s="180">
        <v>8</v>
      </c>
      <c r="J11" s="179">
        <v>9</v>
      </c>
      <c r="K11" s="180">
        <v>10</v>
      </c>
      <c r="L11" s="179">
        <v>11</v>
      </c>
      <c r="M11" s="180">
        <v>12</v>
      </c>
      <c r="N11" s="179">
        <v>13</v>
      </c>
      <c r="O11" s="180">
        <v>14</v>
      </c>
      <c r="P11" s="179">
        <v>15</v>
      </c>
      <c r="Q11" s="180">
        <v>16</v>
      </c>
    </row>
    <row r="12" spans="1:18" s="29" customFormat="1" ht="46.5" thickTop="1" thickBot="1" x14ac:dyDescent="0.25">
      <c r="A12" s="28"/>
      <c r="B12" s="867" t="s">
        <v>22</v>
      </c>
      <c r="C12" s="867"/>
      <c r="D12" s="867"/>
      <c r="E12" s="868" t="s">
        <v>23</v>
      </c>
      <c r="F12" s="869">
        <f>F13</f>
        <v>200000</v>
      </c>
      <c r="G12" s="869">
        <f t="shared" ref="G12:Q12" si="0">G13</f>
        <v>223742.2</v>
      </c>
      <c r="H12" s="869">
        <f t="shared" si="0"/>
        <v>0</v>
      </c>
      <c r="I12" s="869">
        <f>I13</f>
        <v>423742.2</v>
      </c>
      <c r="J12" s="869">
        <f t="shared" si="0"/>
        <v>0</v>
      </c>
      <c r="K12" s="869">
        <f t="shared" si="0"/>
        <v>-100000</v>
      </c>
      <c r="L12" s="869">
        <f t="shared" si="0"/>
        <v>0</v>
      </c>
      <c r="M12" s="869">
        <f>M13</f>
        <v>-100000</v>
      </c>
      <c r="N12" s="869">
        <f t="shared" si="0"/>
        <v>200000</v>
      </c>
      <c r="O12" s="869">
        <f t="shared" si="0"/>
        <v>123742.20000000001</v>
      </c>
      <c r="P12" s="869">
        <f t="shared" si="0"/>
        <v>0</v>
      </c>
      <c r="Q12" s="869">
        <f t="shared" si="0"/>
        <v>323742.2</v>
      </c>
      <c r="R12" s="207"/>
    </row>
    <row r="13" spans="1:18" ht="44.25" thickTop="1" thickBot="1" x14ac:dyDescent="0.25">
      <c r="B13" s="870" t="s">
        <v>21</v>
      </c>
      <c r="C13" s="870"/>
      <c r="D13" s="870"/>
      <c r="E13" s="871" t="s">
        <v>37</v>
      </c>
      <c r="F13" s="872">
        <f>F17</f>
        <v>200000</v>
      </c>
      <c r="G13" s="872">
        <f t="shared" ref="G13:H13" si="1">G17</f>
        <v>223742.2</v>
      </c>
      <c r="H13" s="872">
        <f t="shared" si="1"/>
        <v>0</v>
      </c>
      <c r="I13" s="872">
        <f>I17</f>
        <v>423742.2</v>
      </c>
      <c r="J13" s="872">
        <f>J18</f>
        <v>0</v>
      </c>
      <c r="K13" s="872">
        <f>K18+K17+K19</f>
        <v>-100000</v>
      </c>
      <c r="L13" s="872">
        <f t="shared" ref="L13" si="2">L18</f>
        <v>0</v>
      </c>
      <c r="M13" s="872">
        <f>M18+M17+M19</f>
        <v>-100000</v>
      </c>
      <c r="N13" s="872">
        <f>N18+N17+N19</f>
        <v>200000</v>
      </c>
      <c r="O13" s="872">
        <f>O18+O17+O19</f>
        <v>123742.20000000001</v>
      </c>
      <c r="P13" s="872">
        <f>P18+P17+P19</f>
        <v>0</v>
      </c>
      <c r="Q13" s="872">
        <f>Q18+Q17+Q19</f>
        <v>323742.2</v>
      </c>
    </row>
    <row r="14" spans="1:18" s="441" customFormat="1" ht="15.75" thickTop="1" thickBot="1" x14ac:dyDescent="0.25">
      <c r="A14" s="8"/>
      <c r="B14" s="478" t="s">
        <v>1016</v>
      </c>
      <c r="C14" s="478" t="s">
        <v>855</v>
      </c>
      <c r="D14" s="478"/>
      <c r="E14" s="479" t="s">
        <v>1017</v>
      </c>
      <c r="F14" s="476">
        <f>F15</f>
        <v>200000</v>
      </c>
      <c r="G14" s="476">
        <f t="shared" ref="G14:Q15" si="3">G15</f>
        <v>223742.2</v>
      </c>
      <c r="H14" s="476">
        <f t="shared" si="3"/>
        <v>0</v>
      </c>
      <c r="I14" s="476">
        <f t="shared" si="3"/>
        <v>423742.2</v>
      </c>
      <c r="J14" s="476">
        <f t="shared" si="3"/>
        <v>0</v>
      </c>
      <c r="K14" s="476">
        <f t="shared" si="3"/>
        <v>-100000</v>
      </c>
      <c r="L14" s="476">
        <f t="shared" si="3"/>
        <v>0</v>
      </c>
      <c r="M14" s="476">
        <f t="shared" si="3"/>
        <v>-100000</v>
      </c>
      <c r="N14" s="476">
        <f t="shared" si="3"/>
        <v>200000</v>
      </c>
      <c r="O14" s="476">
        <f t="shared" si="3"/>
        <v>123742.20000000001</v>
      </c>
      <c r="P14" s="476">
        <f t="shared" si="3"/>
        <v>0</v>
      </c>
      <c r="Q14" s="476">
        <f t="shared" si="3"/>
        <v>323742.2</v>
      </c>
      <c r="R14" s="206"/>
    </row>
    <row r="15" spans="1:18" s="441" customFormat="1" ht="16.5" thickTop="1" thickBot="1" x14ac:dyDescent="0.25">
      <c r="A15" s="8"/>
      <c r="B15" s="480" t="s">
        <v>1018</v>
      </c>
      <c r="C15" s="480" t="s">
        <v>1019</v>
      </c>
      <c r="D15" s="480"/>
      <c r="E15" s="473" t="s">
        <v>1020</v>
      </c>
      <c r="F15" s="481">
        <f>F16</f>
        <v>200000</v>
      </c>
      <c r="G15" s="481">
        <f t="shared" si="3"/>
        <v>223742.2</v>
      </c>
      <c r="H15" s="481">
        <f t="shared" si="3"/>
        <v>0</v>
      </c>
      <c r="I15" s="481">
        <f t="shared" si="3"/>
        <v>423742.2</v>
      </c>
      <c r="J15" s="481">
        <f t="shared" si="3"/>
        <v>0</v>
      </c>
      <c r="K15" s="481">
        <f t="shared" si="3"/>
        <v>-100000</v>
      </c>
      <c r="L15" s="481">
        <f t="shared" si="3"/>
        <v>0</v>
      </c>
      <c r="M15" s="481">
        <f t="shared" si="3"/>
        <v>-100000</v>
      </c>
      <c r="N15" s="481">
        <f t="shared" si="3"/>
        <v>200000</v>
      </c>
      <c r="O15" s="481">
        <f t="shared" si="3"/>
        <v>123742.20000000001</v>
      </c>
      <c r="P15" s="481">
        <f t="shared" si="3"/>
        <v>0</v>
      </c>
      <c r="Q15" s="481">
        <f t="shared" si="3"/>
        <v>323742.2</v>
      </c>
      <c r="R15" s="206"/>
    </row>
    <row r="16" spans="1:18" s="441" customFormat="1" ht="76.5" thickTop="1" thickBot="1" x14ac:dyDescent="0.25">
      <c r="A16" s="8"/>
      <c r="B16" s="250" t="s">
        <v>1021</v>
      </c>
      <c r="C16" s="475" t="s">
        <v>1022</v>
      </c>
      <c r="D16" s="475"/>
      <c r="E16" s="474" t="s">
        <v>1051</v>
      </c>
      <c r="F16" s="477">
        <f>SUM(F17:F18)</f>
        <v>200000</v>
      </c>
      <c r="G16" s="477">
        <f t="shared" ref="G16:Q16" si="4">SUM(G17:G18)</f>
        <v>223742.2</v>
      </c>
      <c r="H16" s="477">
        <f t="shared" si="4"/>
        <v>0</v>
      </c>
      <c r="I16" s="477">
        <f t="shared" si="4"/>
        <v>423742.2</v>
      </c>
      <c r="J16" s="477">
        <f t="shared" si="4"/>
        <v>0</v>
      </c>
      <c r="K16" s="477">
        <f t="shared" si="4"/>
        <v>-100000</v>
      </c>
      <c r="L16" s="477">
        <f t="shared" si="4"/>
        <v>0</v>
      </c>
      <c r="M16" s="477">
        <f t="shared" si="4"/>
        <v>-100000</v>
      </c>
      <c r="N16" s="477">
        <f t="shared" si="4"/>
        <v>200000</v>
      </c>
      <c r="O16" s="477">
        <f t="shared" si="4"/>
        <v>123742.20000000001</v>
      </c>
      <c r="P16" s="477">
        <f t="shared" si="4"/>
        <v>0</v>
      </c>
      <c r="Q16" s="477">
        <f t="shared" si="4"/>
        <v>323742.2</v>
      </c>
      <c r="R16" s="206"/>
    </row>
    <row r="17" spans="1:18" ht="76.5" thickTop="1" thickBot="1" x14ac:dyDescent="0.25">
      <c r="B17" s="250" t="s">
        <v>493</v>
      </c>
      <c r="C17" s="250" t="s">
        <v>495</v>
      </c>
      <c r="D17" s="250" t="s">
        <v>52</v>
      </c>
      <c r="E17" s="251" t="s">
        <v>1053</v>
      </c>
      <c r="F17" s="252">
        <v>200000</v>
      </c>
      <c r="G17" s="252">
        <f>(100000)+123742.2</f>
        <v>223742.2</v>
      </c>
      <c r="H17" s="252">
        <v>0</v>
      </c>
      <c r="I17" s="252">
        <f>F17+G17</f>
        <v>423742.2</v>
      </c>
      <c r="J17" s="252">
        <v>0</v>
      </c>
      <c r="K17" s="252">
        <v>0</v>
      </c>
      <c r="L17" s="252"/>
      <c r="M17" s="252">
        <f>J17+K17</f>
        <v>0</v>
      </c>
      <c r="N17" s="252">
        <f>F17+J17</f>
        <v>200000</v>
      </c>
      <c r="O17" s="252">
        <f>G17+K17</f>
        <v>223742.2</v>
      </c>
      <c r="P17" s="252"/>
      <c r="Q17" s="252">
        <f>I17+M17</f>
        <v>423742.2</v>
      </c>
    </row>
    <row r="18" spans="1:18" ht="76.5" thickTop="1" thickBot="1" x14ac:dyDescent="0.25">
      <c r="B18" s="250" t="s">
        <v>494</v>
      </c>
      <c r="C18" s="250" t="s">
        <v>496</v>
      </c>
      <c r="D18" s="250" t="s">
        <v>52</v>
      </c>
      <c r="E18" s="251" t="s">
        <v>1052</v>
      </c>
      <c r="F18" s="252"/>
      <c r="G18" s="252">
        <f>H18+I18</f>
        <v>0</v>
      </c>
      <c r="H18" s="252"/>
      <c r="I18" s="252"/>
      <c r="J18" s="252"/>
      <c r="K18" s="252">
        <v>-100000</v>
      </c>
      <c r="L18" s="252"/>
      <c r="M18" s="252">
        <f>J18+K18</f>
        <v>-100000</v>
      </c>
      <c r="N18" s="252">
        <f>F18+J18</f>
        <v>0</v>
      </c>
      <c r="O18" s="252">
        <v>-100000</v>
      </c>
      <c r="P18" s="252"/>
      <c r="Q18" s="252">
        <f>I18+M18</f>
        <v>-100000</v>
      </c>
    </row>
    <row r="19" spans="1:18" s="100" customFormat="1" ht="61.5" hidden="1" thickTop="1" thickBot="1" x14ac:dyDescent="0.25">
      <c r="A19" s="8"/>
      <c r="B19" s="250" t="s">
        <v>550</v>
      </c>
      <c r="C19" s="250" t="s">
        <v>551</v>
      </c>
      <c r="D19" s="250" t="s">
        <v>52</v>
      </c>
      <c r="E19" s="251" t="s">
        <v>549</v>
      </c>
      <c r="F19" s="252"/>
      <c r="G19" s="252"/>
      <c r="H19" s="252"/>
      <c r="I19" s="252"/>
      <c r="J19" s="252"/>
      <c r="K19" s="252"/>
      <c r="L19" s="252"/>
      <c r="M19" s="252">
        <f>J19+K19</f>
        <v>0</v>
      </c>
      <c r="N19" s="252"/>
      <c r="O19" s="252">
        <f>G19+K19</f>
        <v>0</v>
      </c>
      <c r="P19" s="252"/>
      <c r="Q19" s="252">
        <f>I19+M19</f>
        <v>0</v>
      </c>
      <c r="R19" s="206"/>
    </row>
    <row r="20" spans="1:18" ht="27.75" customHeight="1" thickTop="1" thickBot="1" x14ac:dyDescent="0.25">
      <c r="B20" s="253" t="s">
        <v>408</v>
      </c>
      <c r="C20" s="253" t="s">
        <v>408</v>
      </c>
      <c r="D20" s="253" t="s">
        <v>408</v>
      </c>
      <c r="E20" s="254" t="s">
        <v>418</v>
      </c>
      <c r="F20" s="249">
        <f t="shared" ref="F20:M20" si="5">F12</f>
        <v>200000</v>
      </c>
      <c r="G20" s="249">
        <f t="shared" si="5"/>
        <v>223742.2</v>
      </c>
      <c r="H20" s="249">
        <f t="shared" si="5"/>
        <v>0</v>
      </c>
      <c r="I20" s="249">
        <f>I12</f>
        <v>423742.2</v>
      </c>
      <c r="J20" s="249">
        <f t="shared" si="5"/>
        <v>0</v>
      </c>
      <c r="K20" s="249">
        <f t="shared" si="5"/>
        <v>-100000</v>
      </c>
      <c r="L20" s="249">
        <f t="shared" si="5"/>
        <v>0</v>
      </c>
      <c r="M20" s="249">
        <f t="shared" si="5"/>
        <v>-100000</v>
      </c>
      <c r="N20" s="249">
        <f>N17+N18</f>
        <v>200000</v>
      </c>
      <c r="O20" s="249">
        <f>O17+O18</f>
        <v>123742.20000000001</v>
      </c>
      <c r="P20" s="249">
        <f>P17+P18</f>
        <v>0</v>
      </c>
      <c r="Q20" s="249">
        <f>Q17+Q18</f>
        <v>323742.2</v>
      </c>
    </row>
    <row r="21" spans="1:18" s="114" customFormat="1" ht="27.75" customHeight="1" thickTop="1" x14ac:dyDescent="0.2">
      <c r="A21" s="107"/>
      <c r="B21" s="112"/>
      <c r="C21" s="112"/>
      <c r="D21" s="112"/>
      <c r="E21" s="701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208"/>
    </row>
    <row r="22" spans="1:18" s="114" customFormat="1" ht="27.75" customHeight="1" x14ac:dyDescent="0.25">
      <c r="A22" s="107"/>
      <c r="B22" s="112"/>
      <c r="C22" s="112"/>
      <c r="D22" s="1086" t="s">
        <v>1508</v>
      </c>
      <c r="E22" s="1060"/>
      <c r="F22" s="759"/>
      <c r="G22" s="700"/>
      <c r="H22" s="700"/>
      <c r="I22" s="139"/>
      <c r="J22" s="139"/>
      <c r="K22" s="700" t="s">
        <v>1509</v>
      </c>
      <c r="L22" s="140"/>
      <c r="M22" s="140"/>
      <c r="N22" s="113"/>
      <c r="O22" s="113"/>
      <c r="P22" s="113"/>
      <c r="Q22" s="113"/>
      <c r="R22" s="208"/>
    </row>
    <row r="23" spans="1:18" s="114" customFormat="1" ht="27.75" customHeight="1" x14ac:dyDescent="0.25">
      <c r="A23" s="107"/>
      <c r="B23" s="112"/>
      <c r="C23" s="121"/>
      <c r="D23" s="145" t="s">
        <v>606</v>
      </c>
      <c r="E23" s="146"/>
      <c r="F23" s="146"/>
      <c r="G23" s="146"/>
      <c r="H23" s="145"/>
      <c r="I23" s="139"/>
      <c r="J23" s="139"/>
      <c r="K23" s="145" t="s">
        <v>607</v>
      </c>
      <c r="L23" s="140"/>
      <c r="M23" s="140"/>
      <c r="N23" s="122"/>
      <c r="O23" s="122"/>
      <c r="P23" s="122"/>
      <c r="Q23" s="113"/>
      <c r="R23" s="208"/>
    </row>
    <row r="24" spans="1:18" ht="39.75" hidden="1" customHeight="1" x14ac:dyDescent="0.25">
      <c r="B24" s="52"/>
      <c r="C24" s="120"/>
      <c r="D24" s="1082" t="s">
        <v>609</v>
      </c>
      <c r="E24" s="1082"/>
      <c r="F24" s="1082"/>
      <c r="G24" s="1082"/>
      <c r="H24" s="1082"/>
      <c r="I24" s="1082"/>
      <c r="J24" s="1082"/>
      <c r="K24" s="1082"/>
      <c r="L24" s="1082"/>
      <c r="M24" s="1082"/>
      <c r="N24" s="1082"/>
      <c r="O24" s="1082"/>
      <c r="P24" s="1082"/>
      <c r="Q24" s="53"/>
    </row>
    <row r="25" spans="1:18" ht="15.75" customHeight="1" x14ac:dyDescent="0.25">
      <c r="B25" s="52"/>
      <c r="C25" s="52"/>
      <c r="D25" s="1082"/>
      <c r="E25" s="1082"/>
      <c r="F25" s="1082"/>
      <c r="G25" s="1082"/>
      <c r="H25" s="1082"/>
      <c r="I25" s="1082"/>
      <c r="J25" s="1082"/>
      <c r="K25" s="1082"/>
      <c r="L25" s="1082"/>
      <c r="M25" s="1082"/>
      <c r="N25" s="1082"/>
      <c r="O25" s="1082"/>
      <c r="P25" s="1082"/>
      <c r="Q25" s="53"/>
    </row>
    <row r="26" spans="1:18" ht="15" x14ac:dyDescent="0.25">
      <c r="D26" s="1082"/>
      <c r="E26" s="1082"/>
      <c r="F26" s="1082"/>
      <c r="G26" s="1082"/>
      <c r="H26" s="1082"/>
      <c r="I26" s="1082"/>
      <c r="J26" s="1082"/>
      <c r="K26" s="1082"/>
      <c r="L26" s="1082"/>
      <c r="M26" s="1082"/>
      <c r="N26" s="1082"/>
      <c r="O26" s="1082"/>
      <c r="P26" s="1082"/>
    </row>
    <row r="27" spans="1:18" ht="15" x14ac:dyDescent="0.25">
      <c r="D27" s="1082"/>
      <c r="E27" s="1082"/>
      <c r="F27" s="1082"/>
      <c r="G27" s="1082"/>
      <c r="H27" s="1082"/>
      <c r="I27" s="1082"/>
      <c r="J27" s="1082"/>
      <c r="K27" s="1082"/>
      <c r="L27" s="1082"/>
      <c r="M27" s="1082"/>
      <c r="N27" s="1082"/>
      <c r="O27" s="1082"/>
      <c r="P27" s="1082"/>
    </row>
    <row r="28" spans="1:18" ht="15" x14ac:dyDescent="0.2">
      <c r="D28" s="54"/>
      <c r="E28" s="55"/>
      <c r="F28" s="56"/>
      <c r="G28" s="54">
        <f>H28+I28</f>
        <v>0</v>
      </c>
      <c r="H28" s="54"/>
      <c r="I28" s="57"/>
      <c r="J28" s="55"/>
      <c r="K28" s="57"/>
      <c r="L28" s="54"/>
      <c r="M28" s="54"/>
      <c r="N28" s="57"/>
      <c r="O28" s="58"/>
      <c r="P28" s="59"/>
    </row>
    <row r="29" spans="1:18" ht="15" x14ac:dyDescent="0.25">
      <c r="D29" s="60"/>
      <c r="E29" s="60"/>
      <c r="F29" s="60"/>
      <c r="G29" s="60">
        <f>H29+I29</f>
        <v>0</v>
      </c>
      <c r="H29" s="60"/>
      <c r="I29" s="60"/>
      <c r="J29" s="60"/>
      <c r="K29" s="60"/>
      <c r="L29" s="60"/>
      <c r="M29" s="60"/>
      <c r="N29" s="60"/>
      <c r="O29" s="60"/>
      <c r="P29" s="60"/>
    </row>
    <row r="30" spans="1:18" x14ac:dyDescent="0.2">
      <c r="G30" s="20">
        <f>H30+I30</f>
        <v>0</v>
      </c>
    </row>
    <row r="31" spans="1:18" x14ac:dyDescent="0.2">
      <c r="G31" s="20">
        <f>H31+I31</f>
        <v>0</v>
      </c>
    </row>
    <row r="32" spans="1:18" x14ac:dyDescent="0.2">
      <c r="G32" s="20">
        <f>H32+I32</f>
        <v>0</v>
      </c>
    </row>
    <row r="54" spans="7:7" x14ac:dyDescent="0.2">
      <c r="G54" s="20">
        <f>H54+I54</f>
        <v>0</v>
      </c>
    </row>
    <row r="56" spans="7:7" x14ac:dyDescent="0.2">
      <c r="G56" s="20">
        <f t="shared" ref="G56:G74" si="6">H56+I56</f>
        <v>0</v>
      </c>
    </row>
    <row r="57" spans="7:7" x14ac:dyDescent="0.2">
      <c r="G57" s="20">
        <f t="shared" si="6"/>
        <v>0</v>
      </c>
    </row>
    <row r="58" spans="7:7" x14ac:dyDescent="0.2">
      <c r="G58" s="20">
        <f t="shared" si="6"/>
        <v>0</v>
      </c>
    </row>
    <row r="59" spans="7:7" x14ac:dyDescent="0.2">
      <c r="G59" s="20">
        <f t="shared" si="6"/>
        <v>0</v>
      </c>
    </row>
    <row r="60" spans="7:7" x14ac:dyDescent="0.2">
      <c r="G60" s="20">
        <f t="shared" si="6"/>
        <v>0</v>
      </c>
    </row>
    <row r="61" spans="7:7" x14ac:dyDescent="0.2">
      <c r="G61" s="20">
        <f t="shared" si="6"/>
        <v>0</v>
      </c>
    </row>
    <row r="62" spans="7:7" x14ac:dyDescent="0.2">
      <c r="G62" s="20">
        <f t="shared" si="6"/>
        <v>0</v>
      </c>
    </row>
    <row r="63" spans="7:7" x14ac:dyDescent="0.2">
      <c r="G63" s="20">
        <f t="shared" si="6"/>
        <v>0</v>
      </c>
    </row>
    <row r="64" spans="7:7" x14ac:dyDescent="0.2">
      <c r="G64" s="20">
        <f t="shared" si="6"/>
        <v>0</v>
      </c>
    </row>
    <row r="65" spans="7:7" x14ac:dyDescent="0.2">
      <c r="G65" s="20">
        <f t="shared" si="6"/>
        <v>0</v>
      </c>
    </row>
    <row r="66" spans="7:7" x14ac:dyDescent="0.2">
      <c r="G66" s="20">
        <f t="shared" si="6"/>
        <v>0</v>
      </c>
    </row>
    <row r="67" spans="7:7" x14ac:dyDescent="0.2">
      <c r="G67" s="20">
        <f t="shared" si="6"/>
        <v>0</v>
      </c>
    </row>
    <row r="68" spans="7:7" x14ac:dyDescent="0.2">
      <c r="G68" s="20">
        <f t="shared" si="6"/>
        <v>0</v>
      </c>
    </row>
    <row r="69" spans="7:7" x14ac:dyDescent="0.2">
      <c r="G69" s="20">
        <f t="shared" si="6"/>
        <v>0</v>
      </c>
    </row>
    <row r="70" spans="7:7" x14ac:dyDescent="0.2">
      <c r="G70" s="20">
        <f t="shared" si="6"/>
        <v>0</v>
      </c>
    </row>
    <row r="71" spans="7:7" x14ac:dyDescent="0.2">
      <c r="G71" s="20">
        <f t="shared" si="6"/>
        <v>0</v>
      </c>
    </row>
    <row r="72" spans="7:7" x14ac:dyDescent="0.2">
      <c r="G72" s="20">
        <f t="shared" si="6"/>
        <v>0</v>
      </c>
    </row>
    <row r="73" spans="7:7" x14ac:dyDescent="0.2">
      <c r="G73" s="20">
        <f t="shared" si="6"/>
        <v>0</v>
      </c>
    </row>
    <row r="74" spans="7:7" x14ac:dyDescent="0.2">
      <c r="G74" s="20">
        <f t="shared" si="6"/>
        <v>0</v>
      </c>
    </row>
    <row r="76" spans="7:7" x14ac:dyDescent="0.2">
      <c r="G76" s="20">
        <f>H76+I76</f>
        <v>0</v>
      </c>
    </row>
    <row r="77" spans="7:7" x14ac:dyDescent="0.2">
      <c r="G77" s="20">
        <f>H77+I77</f>
        <v>0</v>
      </c>
    </row>
    <row r="78" spans="7:7" x14ac:dyDescent="0.2">
      <c r="G78" s="20">
        <f>H78+I78</f>
        <v>0</v>
      </c>
    </row>
    <row r="79" spans="7:7" x14ac:dyDescent="0.2">
      <c r="G79" s="20">
        <f>H79+I79</f>
        <v>0</v>
      </c>
    </row>
    <row r="81" spans="7:7" x14ac:dyDescent="0.2">
      <c r="G81" s="20">
        <f>H81+I81</f>
        <v>0</v>
      </c>
    </row>
    <row r="84" spans="7:7" x14ac:dyDescent="0.2">
      <c r="G84" s="1092"/>
    </row>
    <row r="85" spans="7:7" x14ac:dyDescent="0.2">
      <c r="G85" s="1000"/>
    </row>
    <row r="121" spans="7:7" x14ac:dyDescent="0.2">
      <c r="G121" s="20">
        <f>H121+I121</f>
        <v>0</v>
      </c>
    </row>
    <row r="123" spans="7:7" x14ac:dyDescent="0.2">
      <c r="G123" s="20">
        <f t="shared" ref="G123:G133" si="7">H123+I123</f>
        <v>0</v>
      </c>
    </row>
    <row r="124" spans="7:7" x14ac:dyDescent="0.2">
      <c r="G124" s="20">
        <f t="shared" si="7"/>
        <v>0</v>
      </c>
    </row>
    <row r="125" spans="7:7" x14ac:dyDescent="0.2">
      <c r="G125" s="20">
        <f t="shared" si="7"/>
        <v>0</v>
      </c>
    </row>
    <row r="126" spans="7:7" x14ac:dyDescent="0.2">
      <c r="G126" s="20">
        <f t="shared" si="7"/>
        <v>0</v>
      </c>
    </row>
    <row r="127" spans="7:7" x14ac:dyDescent="0.2">
      <c r="G127" s="20">
        <f t="shared" si="7"/>
        <v>0</v>
      </c>
    </row>
    <row r="128" spans="7:7" x14ac:dyDescent="0.2">
      <c r="G128" s="20">
        <f t="shared" si="7"/>
        <v>0</v>
      </c>
    </row>
    <row r="129" spans="7:7" x14ac:dyDescent="0.2">
      <c r="G129" s="20">
        <f t="shared" si="7"/>
        <v>0</v>
      </c>
    </row>
    <row r="130" spans="7:7" x14ac:dyDescent="0.2">
      <c r="G130" s="20">
        <f t="shared" si="7"/>
        <v>0</v>
      </c>
    </row>
    <row r="131" spans="7:7" x14ac:dyDescent="0.2">
      <c r="G131" s="20">
        <f t="shared" si="7"/>
        <v>0</v>
      </c>
    </row>
    <row r="132" spans="7:7" x14ac:dyDescent="0.2">
      <c r="G132" s="20">
        <f t="shared" si="7"/>
        <v>0</v>
      </c>
    </row>
    <row r="133" spans="7:7" x14ac:dyDescent="0.2">
      <c r="G133" s="20">
        <f t="shared" si="7"/>
        <v>0</v>
      </c>
    </row>
    <row r="135" spans="7:7" x14ac:dyDescent="0.2">
      <c r="G135" s="20">
        <f>H136+I136</f>
        <v>0</v>
      </c>
    </row>
    <row r="136" spans="7:7" x14ac:dyDescent="0.2">
      <c r="G136" s="20">
        <f t="shared" ref="G136" si="8">H136+I136</f>
        <v>0</v>
      </c>
    </row>
    <row r="137" spans="7:7" x14ac:dyDescent="0.2">
      <c r="G137" s="20">
        <f>H137+I137</f>
        <v>0</v>
      </c>
    </row>
    <row r="138" spans="7:7" x14ac:dyDescent="0.2">
      <c r="G138" s="20">
        <f>H138+I138</f>
        <v>0</v>
      </c>
    </row>
    <row r="139" spans="7:7" x14ac:dyDescent="0.2">
      <c r="G139" s="20">
        <f>H139+I139</f>
        <v>0</v>
      </c>
    </row>
    <row r="140" spans="7:7" x14ac:dyDescent="0.2">
      <c r="G140" s="20">
        <f>H140+I140</f>
        <v>0</v>
      </c>
    </row>
    <row r="145" spans="7:10" ht="46.5" x14ac:dyDescent="0.65">
      <c r="J145" s="75"/>
    </row>
    <row r="148" spans="7:10" ht="46.5" x14ac:dyDescent="0.65">
      <c r="G148" s="75">
        <f>H148+I148</f>
        <v>0</v>
      </c>
      <c r="J148" s="75"/>
    </row>
    <row r="167" spans="11:11" ht="90" x14ac:dyDescent="1.1499999999999999">
      <c r="K167" s="73" t="b">
        <f>G167=H167+I167</f>
        <v>1</v>
      </c>
    </row>
  </sheetData>
  <mergeCells count="28">
    <mergeCell ref="B3:C3"/>
    <mergeCell ref="B5:C5"/>
    <mergeCell ref="B6:C6"/>
    <mergeCell ref="G84:G85"/>
    <mergeCell ref="B8:B10"/>
    <mergeCell ref="C8:C10"/>
    <mergeCell ref="D8:D10"/>
    <mergeCell ref="E8:E10"/>
    <mergeCell ref="F8:I8"/>
    <mergeCell ref="F9:F10"/>
    <mergeCell ref="I9:I10"/>
    <mergeCell ref="E4:M4"/>
    <mergeCell ref="O9:P9"/>
    <mergeCell ref="D27:P27"/>
    <mergeCell ref="D24:P24"/>
    <mergeCell ref="D26:P26"/>
    <mergeCell ref="M2:Q2"/>
    <mergeCell ref="E3:M3"/>
    <mergeCell ref="J8:M8"/>
    <mergeCell ref="N8:Q8"/>
    <mergeCell ref="Q9:Q10"/>
    <mergeCell ref="M9:M10"/>
    <mergeCell ref="N9:N10"/>
    <mergeCell ref="J9:J10"/>
    <mergeCell ref="D25:P25"/>
    <mergeCell ref="G9:H9"/>
    <mergeCell ref="K9:L9"/>
    <mergeCell ref="D22:E22"/>
  </mergeCells>
  <printOptions horizontalCentered="1"/>
  <pageMargins left="0.19685039370078741" right="0" top="0.59055118110236227" bottom="0.39370078740157483" header="0.31496062992125984" footer="0.31496062992125984"/>
  <pageSetup paperSize="9" scale="55" fitToHeight="0" orientation="landscape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"/>
  <sheetViews>
    <sheetView view="pageBreakPreview" zoomScale="25" zoomScaleNormal="25" zoomScaleSheetLayoutView="25" zoomScalePageLayoutView="10" workbookViewId="0">
      <selection activeCell="D3" sqref="D3"/>
    </sheetView>
  </sheetViews>
  <sheetFormatPr defaultColWidth="9.140625" defaultRowHeight="12.75" x14ac:dyDescent="0.2"/>
  <cols>
    <col min="1" max="1" width="62.28515625" style="1" customWidth="1"/>
    <col min="2" max="2" width="49.140625" style="1" customWidth="1"/>
    <col min="3" max="3" width="131.5703125" style="1" customWidth="1"/>
    <col min="4" max="4" width="69.7109375" style="1" customWidth="1"/>
    <col min="5" max="5" width="32.42578125" style="265" customWidth="1"/>
    <col min="6" max="6" width="29.85546875" style="265" customWidth="1"/>
    <col min="7" max="16384" width="9.140625" style="265"/>
  </cols>
  <sheetData>
    <row r="1" spans="1:15" ht="48.75" customHeight="1" x14ac:dyDescent="0.35">
      <c r="B1" s="281"/>
      <c r="C1" s="281"/>
      <c r="D1" s="288" t="s">
        <v>725</v>
      </c>
      <c r="E1" s="282"/>
      <c r="F1" s="282"/>
      <c r="G1" s="282"/>
      <c r="H1" s="282"/>
    </row>
    <row r="2" spans="1:15" ht="84.75" customHeight="1" x14ac:dyDescent="0.35">
      <c r="A2" s="266"/>
      <c r="B2" s="281"/>
      <c r="C2" s="281"/>
      <c r="D2" s="288" t="s">
        <v>1512</v>
      </c>
      <c r="E2" s="282"/>
      <c r="F2" s="282"/>
      <c r="G2" s="282"/>
      <c r="H2" s="282"/>
    </row>
    <row r="3" spans="1:15" ht="40.700000000000003" customHeight="1" x14ac:dyDescent="0.2">
      <c r="A3" s="266"/>
      <c r="B3" s="266"/>
      <c r="C3" s="274"/>
      <c r="D3" s="267"/>
      <c r="N3" s="1059"/>
      <c r="O3" s="1059"/>
    </row>
    <row r="4" spans="1:15" ht="45.75" hidden="1" x14ac:dyDescent="0.2">
      <c r="A4" s="266"/>
      <c r="B4" s="266"/>
      <c r="C4" s="274"/>
      <c r="D4" s="267"/>
      <c r="N4" s="1059"/>
      <c r="O4" s="1061"/>
    </row>
    <row r="5" spans="1:15" ht="45.75" x14ac:dyDescent="0.2">
      <c r="A5" s="1062" t="s">
        <v>694</v>
      </c>
      <c r="B5" s="1062"/>
      <c r="C5" s="1062"/>
      <c r="D5" s="1062"/>
      <c r="N5" s="1059"/>
      <c r="O5" s="1061"/>
    </row>
    <row r="6" spans="1:15" ht="45" x14ac:dyDescent="0.2">
      <c r="A6" s="1062" t="s">
        <v>620</v>
      </c>
      <c r="B6" s="1062"/>
      <c r="C6" s="1062"/>
      <c r="D6" s="1062"/>
    </row>
    <row r="7" spans="1:15" ht="45" x14ac:dyDescent="0.2">
      <c r="A7" s="1062"/>
      <c r="B7" s="1062"/>
      <c r="C7" s="1062"/>
      <c r="D7" s="1062"/>
    </row>
    <row r="8" spans="1:15" ht="45.75" x14ac:dyDescent="0.65">
      <c r="A8" s="1063">
        <v>22564000000</v>
      </c>
      <c r="B8" s="1003"/>
      <c r="C8" s="1003"/>
      <c r="D8" s="1003"/>
    </row>
    <row r="9" spans="1:15" ht="45.75" x14ac:dyDescent="0.2">
      <c r="A9" s="1068" t="s">
        <v>535</v>
      </c>
      <c r="B9" s="1003"/>
      <c r="C9" s="1003"/>
      <c r="D9" s="1003"/>
    </row>
    <row r="10" spans="1:15" s="269" customFormat="1" ht="45.75" x14ac:dyDescent="0.2">
      <c r="A10" s="276"/>
      <c r="B10" s="270"/>
      <c r="C10" s="270"/>
      <c r="D10" s="270"/>
    </row>
    <row r="11" spans="1:15" ht="53.45" customHeight="1" x14ac:dyDescent="0.2">
      <c r="A11" s="1062" t="s">
        <v>729</v>
      </c>
      <c r="B11" s="1060"/>
      <c r="C11" s="1060"/>
      <c r="D11" s="1060"/>
    </row>
    <row r="12" spans="1:15" s="269" customFormat="1" ht="45" x14ac:dyDescent="0.2">
      <c r="A12" s="275"/>
      <c r="B12" s="273"/>
      <c r="C12" s="273"/>
      <c r="D12" s="273"/>
    </row>
    <row r="13" spans="1:15" s="269" customFormat="1" ht="53.45" customHeight="1" thickBot="1" x14ac:dyDescent="0.25">
      <c r="A13" s="275"/>
      <c r="B13" s="275"/>
      <c r="C13" s="275"/>
      <c r="D13" s="6" t="s">
        <v>431</v>
      </c>
    </row>
    <row r="14" spans="1:15" ht="140.25" customHeight="1" thickTop="1" thickBot="1" x14ac:dyDescent="0.25">
      <c r="A14" s="245" t="s">
        <v>731</v>
      </c>
      <c r="B14" s="1112" t="s">
        <v>730</v>
      </c>
      <c r="C14" s="1113"/>
      <c r="D14" s="245" t="s">
        <v>410</v>
      </c>
    </row>
    <row r="15" spans="1:15" s="2" customFormat="1" ht="47.25" thickTop="1" thickBot="1" x14ac:dyDescent="0.25">
      <c r="A15" s="279" t="s">
        <v>2</v>
      </c>
      <c r="B15" s="1114" t="s">
        <v>3</v>
      </c>
      <c r="C15" s="1113"/>
      <c r="D15" s="279" t="s">
        <v>14</v>
      </c>
    </row>
    <row r="16" spans="1:15" s="2" customFormat="1" ht="66.75" customHeight="1" thickTop="1" thickBot="1" x14ac:dyDescent="0.25">
      <c r="A16" s="1096" t="s">
        <v>732</v>
      </c>
      <c r="B16" s="1097"/>
      <c r="C16" s="1097"/>
      <c r="D16" s="1098"/>
    </row>
    <row r="17" spans="1:5" s="2" customFormat="1" ht="46.5" thickTop="1" thickBot="1" x14ac:dyDescent="0.25">
      <c r="A17" s="754" t="s">
        <v>743</v>
      </c>
      <c r="B17" s="1099" t="s">
        <v>470</v>
      </c>
      <c r="C17" s="1115"/>
      <c r="D17" s="755">
        <f>SUM(D18:D24)</f>
        <v>725273995</v>
      </c>
    </row>
    <row r="18" spans="1:5" s="2" customFormat="1" ht="158.25" customHeight="1" thickTop="1" thickBot="1" x14ac:dyDescent="0.25">
      <c r="A18" s="285" t="s">
        <v>1295</v>
      </c>
      <c r="B18" s="1105" t="s">
        <v>1294</v>
      </c>
      <c r="C18" s="1106"/>
      <c r="D18" s="293">
        <v>25000000</v>
      </c>
    </row>
    <row r="19" spans="1:5" s="2" customFormat="1" ht="158.25" customHeight="1" thickTop="1" thickBot="1" x14ac:dyDescent="0.25">
      <c r="A19" s="285" t="s">
        <v>1448</v>
      </c>
      <c r="B19" s="1105" t="s">
        <v>1394</v>
      </c>
      <c r="C19" s="1106"/>
      <c r="D19" s="941">
        <v>2520000</v>
      </c>
    </row>
    <row r="20" spans="1:5" s="2" customFormat="1" ht="47.25" thickTop="1" thickBot="1" x14ac:dyDescent="0.25">
      <c r="A20" s="285" t="s">
        <v>742</v>
      </c>
      <c r="B20" s="1105" t="s">
        <v>762</v>
      </c>
      <c r="C20" s="1106"/>
      <c r="D20" s="532">
        <v>623112400</v>
      </c>
    </row>
    <row r="21" spans="1:5" s="2" customFormat="1" ht="149.25" customHeight="1" thickTop="1" thickBot="1" x14ac:dyDescent="0.25">
      <c r="A21" s="285" t="s">
        <v>1442</v>
      </c>
      <c r="B21" s="1105" t="s">
        <v>1395</v>
      </c>
      <c r="C21" s="1116"/>
      <c r="D21" s="532">
        <v>1820000</v>
      </c>
    </row>
    <row r="22" spans="1:5" s="2" customFormat="1" ht="194.25" customHeight="1" thickTop="1" thickBot="1" x14ac:dyDescent="0.25">
      <c r="A22" s="285" t="s">
        <v>1297</v>
      </c>
      <c r="B22" s="1105" t="s">
        <v>1296</v>
      </c>
      <c r="C22" s="1106"/>
      <c r="D22" s="287">
        <v>250000</v>
      </c>
    </row>
    <row r="23" spans="1:5" s="2" customFormat="1" ht="194.25" customHeight="1" thickTop="1" thickBot="1" x14ac:dyDescent="0.25">
      <c r="A23" s="285" t="s">
        <v>1316</v>
      </c>
      <c r="B23" s="1105" t="s">
        <v>1317</v>
      </c>
      <c r="C23" s="1106"/>
      <c r="D23" s="287">
        <v>2571595</v>
      </c>
    </row>
    <row r="24" spans="1:5" s="2" customFormat="1" ht="104.25" customHeight="1" thickTop="1" thickBot="1" x14ac:dyDescent="0.25">
      <c r="A24" s="285" t="s">
        <v>1282</v>
      </c>
      <c r="B24" s="1105" t="s">
        <v>1281</v>
      </c>
      <c r="C24" s="1106"/>
      <c r="D24" s="287">
        <v>70000000</v>
      </c>
    </row>
    <row r="25" spans="1:5" s="2" customFormat="1" ht="47.25" thickTop="1" thickBot="1" x14ac:dyDescent="0.25">
      <c r="A25" s="643" t="s">
        <v>1054</v>
      </c>
      <c r="B25" s="1101" t="s">
        <v>693</v>
      </c>
      <c r="C25" s="1102"/>
      <c r="D25" s="229">
        <f>D17</f>
        <v>725273995</v>
      </c>
    </row>
    <row r="26" spans="1:5" s="2" customFormat="1" ht="85.5" customHeight="1" thickTop="1" thickBot="1" x14ac:dyDescent="0.25">
      <c r="A26" s="754" t="s">
        <v>754</v>
      </c>
      <c r="B26" s="1099" t="s">
        <v>370</v>
      </c>
      <c r="C26" s="1100"/>
      <c r="D26" s="755">
        <f>D27</f>
        <v>12117934</v>
      </c>
    </row>
    <row r="27" spans="1:5" s="2" customFormat="1" ht="193.5" customHeight="1" thickTop="1" thickBot="1" x14ac:dyDescent="0.25">
      <c r="A27" s="285" t="s">
        <v>755</v>
      </c>
      <c r="B27" s="1105" t="s">
        <v>763</v>
      </c>
      <c r="C27" s="1106"/>
      <c r="D27" s="293">
        <v>12117934</v>
      </c>
    </row>
    <row r="28" spans="1:5" s="2" customFormat="1" ht="47.25" thickTop="1" thickBot="1" x14ac:dyDescent="0.25">
      <c r="A28" s="932" t="s">
        <v>752</v>
      </c>
      <c r="B28" s="1101" t="s">
        <v>753</v>
      </c>
      <c r="C28" s="1102"/>
      <c r="D28" s="926">
        <f>D27</f>
        <v>12117934</v>
      </c>
    </row>
    <row r="29" spans="1:5" s="2" customFormat="1" ht="123.75" customHeight="1" thickTop="1" thickBot="1" x14ac:dyDescent="0.25">
      <c r="A29" s="754" t="s">
        <v>756</v>
      </c>
      <c r="B29" s="1099" t="s">
        <v>757</v>
      </c>
      <c r="C29" s="1100"/>
      <c r="D29" s="755">
        <f>D46+D48</f>
        <v>58554999.310000002</v>
      </c>
      <c r="E29" s="769" t="b">
        <f>D29=D46+D48</f>
        <v>1</v>
      </c>
    </row>
    <row r="30" spans="1:5" s="2" customFormat="1" ht="312.75" customHeight="1" thickTop="1" x14ac:dyDescent="0.65">
      <c r="A30" s="1117" t="s">
        <v>1451</v>
      </c>
      <c r="B30" s="1108" t="s">
        <v>1449</v>
      </c>
      <c r="C30" s="1109"/>
      <c r="D30" s="1118">
        <v>11298891.529999999</v>
      </c>
    </row>
    <row r="31" spans="1:5" s="2" customFormat="1" ht="376.5" customHeight="1" thickBot="1" x14ac:dyDescent="0.25">
      <c r="A31" s="1028"/>
      <c r="B31" s="1110" t="s">
        <v>1450</v>
      </c>
      <c r="C31" s="1111"/>
      <c r="D31" s="1021"/>
    </row>
    <row r="32" spans="1:5" s="2" customFormat="1" ht="408.75" customHeight="1" thickTop="1" x14ac:dyDescent="0.65">
      <c r="A32" s="1117" t="s">
        <v>1443</v>
      </c>
      <c r="B32" s="1108" t="s">
        <v>1444</v>
      </c>
      <c r="C32" s="1109"/>
      <c r="D32" s="1118">
        <v>1093438.78</v>
      </c>
    </row>
    <row r="33" spans="1:5" s="2" customFormat="1" ht="197.25" customHeight="1" thickBot="1" x14ac:dyDescent="0.25">
      <c r="A33" s="1028"/>
      <c r="B33" s="1110" t="s">
        <v>1445</v>
      </c>
      <c r="C33" s="1111"/>
      <c r="D33" s="1021"/>
    </row>
    <row r="34" spans="1:5" s="2" customFormat="1" ht="408" customHeight="1" thickTop="1" x14ac:dyDescent="0.65">
      <c r="A34" s="1117">
        <v>41050600</v>
      </c>
      <c r="B34" s="1108" t="s">
        <v>1446</v>
      </c>
      <c r="C34" s="1109"/>
      <c r="D34" s="1118">
        <v>1751965</v>
      </c>
    </row>
    <row r="35" spans="1:5" s="2" customFormat="1" ht="409.5" customHeight="1" thickBot="1" x14ac:dyDescent="0.25">
      <c r="A35" s="1028"/>
      <c r="B35" s="1110" t="s">
        <v>1447</v>
      </c>
      <c r="C35" s="1111"/>
      <c r="D35" s="1021"/>
    </row>
    <row r="36" spans="1:5" s="2" customFormat="1" ht="347.25" customHeight="1" thickTop="1" thickBot="1" x14ac:dyDescent="0.25">
      <c r="A36" s="285">
        <v>41050900</v>
      </c>
      <c r="B36" s="1105" t="s">
        <v>1452</v>
      </c>
      <c r="C36" s="1106"/>
      <c r="D36" s="532">
        <v>3577034</v>
      </c>
    </row>
    <row r="37" spans="1:5" s="2" customFormat="1" ht="142.5" customHeight="1" thickTop="1" thickBot="1" x14ac:dyDescent="0.25">
      <c r="A37" s="285" t="s">
        <v>758</v>
      </c>
      <c r="B37" s="1105" t="s">
        <v>759</v>
      </c>
      <c r="C37" s="1106"/>
      <c r="D37" s="287">
        <v>7340558</v>
      </c>
    </row>
    <row r="38" spans="1:5" s="2" customFormat="1" ht="136.5" customHeight="1" thickTop="1" thickBot="1" x14ac:dyDescent="0.25">
      <c r="A38" s="285" t="s">
        <v>760</v>
      </c>
      <c r="B38" s="1105" t="s">
        <v>759</v>
      </c>
      <c r="C38" s="1106"/>
      <c r="D38" s="293">
        <v>7118182</v>
      </c>
    </row>
    <row r="39" spans="1:5" s="2" customFormat="1" ht="202.5" customHeight="1" thickTop="1" thickBot="1" x14ac:dyDescent="0.25">
      <c r="A39" s="285" t="s">
        <v>1298</v>
      </c>
      <c r="B39" s="1105" t="s">
        <v>1299</v>
      </c>
      <c r="C39" s="1106"/>
      <c r="D39" s="293">
        <v>6063695</v>
      </c>
    </row>
    <row r="40" spans="1:5" s="2" customFormat="1" ht="196.5" customHeight="1" thickTop="1" thickBot="1" x14ac:dyDescent="0.25">
      <c r="A40" s="285" t="s">
        <v>1218</v>
      </c>
      <c r="B40" s="1105" t="s">
        <v>1219</v>
      </c>
      <c r="C40" s="1106"/>
      <c r="D40" s="293">
        <f>(1648625)+299264+172700</f>
        <v>2120589</v>
      </c>
    </row>
    <row r="41" spans="1:5" s="2" customFormat="1" ht="47.25" thickTop="1" thickBot="1" x14ac:dyDescent="0.25">
      <c r="A41" s="285">
        <v>41053900</v>
      </c>
      <c r="B41" s="1105" t="s">
        <v>390</v>
      </c>
      <c r="C41" s="1106"/>
      <c r="D41" s="293">
        <v>707334</v>
      </c>
    </row>
    <row r="42" spans="1:5" s="2" customFormat="1" ht="409.5" customHeight="1" thickTop="1" x14ac:dyDescent="0.65">
      <c r="A42" s="1117" t="s">
        <v>1453</v>
      </c>
      <c r="B42" s="1108" t="s">
        <v>1454</v>
      </c>
      <c r="C42" s="1109"/>
      <c r="D42" s="1118">
        <v>2429312</v>
      </c>
    </row>
    <row r="43" spans="1:5" s="2" customFormat="1" ht="150.75" customHeight="1" thickBot="1" x14ac:dyDescent="0.25">
      <c r="A43" s="1028"/>
      <c r="B43" s="1110" t="s">
        <v>1455</v>
      </c>
      <c r="C43" s="1111"/>
      <c r="D43" s="1021"/>
    </row>
    <row r="44" spans="1:5" s="2" customFormat="1" ht="149.25" customHeight="1" thickTop="1" thickBot="1" x14ac:dyDescent="0.25">
      <c r="A44" s="285" t="s">
        <v>761</v>
      </c>
      <c r="B44" s="1105" t="s">
        <v>764</v>
      </c>
      <c r="C44" s="1106"/>
      <c r="D44" s="293">
        <f>9137200+334400+4782400</f>
        <v>14254000</v>
      </c>
    </row>
    <row r="45" spans="1:5" s="2" customFormat="1" ht="296.25" hidden="1" customHeight="1" thickTop="1" thickBot="1" x14ac:dyDescent="0.25">
      <c r="A45" s="285" t="s">
        <v>1360</v>
      </c>
      <c r="B45" s="1105" t="s">
        <v>1361</v>
      </c>
      <c r="C45" s="1106"/>
      <c r="D45" s="724">
        <f>10623233.82-10623233.82</f>
        <v>0</v>
      </c>
    </row>
    <row r="46" spans="1:5" s="2" customFormat="1" ht="66.75" customHeight="1" thickTop="1" thickBot="1" x14ac:dyDescent="0.55000000000000004">
      <c r="A46" s="228" t="s">
        <v>752</v>
      </c>
      <c r="B46" s="1101" t="s">
        <v>753</v>
      </c>
      <c r="C46" s="1102"/>
      <c r="D46" s="289">
        <f>SUM(D30:D44)</f>
        <v>57754999.310000002</v>
      </c>
      <c r="E46" s="940"/>
    </row>
    <row r="47" spans="1:5" s="2" customFormat="1" ht="253.5" customHeight="1" thickTop="1" thickBot="1" x14ac:dyDescent="0.25">
      <c r="A47" s="285">
        <v>41053900</v>
      </c>
      <c r="B47" s="1105" t="s">
        <v>1511</v>
      </c>
      <c r="C47" s="1106"/>
      <c r="D47" s="293">
        <v>800000</v>
      </c>
    </row>
    <row r="48" spans="1:5" s="2" customFormat="1" ht="66.75" customHeight="1" thickTop="1" thickBot="1" x14ac:dyDescent="0.25">
      <c r="A48" s="932" t="s">
        <v>696</v>
      </c>
      <c r="B48" s="1101" t="s">
        <v>697</v>
      </c>
      <c r="C48" s="1102"/>
      <c r="D48" s="926">
        <f>D47</f>
        <v>800000</v>
      </c>
    </row>
    <row r="49" spans="1:5" ht="61.5" customHeight="1" thickTop="1" thickBot="1" x14ac:dyDescent="0.25">
      <c r="A49" s="1096" t="s">
        <v>733</v>
      </c>
      <c r="B49" s="1097"/>
      <c r="C49" s="1097"/>
      <c r="D49" s="1098"/>
    </row>
    <row r="50" spans="1:5" s="843" customFormat="1" ht="61.5" customHeight="1" thickTop="1" thickBot="1" x14ac:dyDescent="0.25">
      <c r="A50" s="754" t="s">
        <v>743</v>
      </c>
      <c r="B50" s="1099" t="s">
        <v>470</v>
      </c>
      <c r="C50" s="1115"/>
      <c r="D50" s="755">
        <f>D51</f>
        <v>1170000</v>
      </c>
    </row>
    <row r="51" spans="1:5" s="843" customFormat="1" ht="153.75" customHeight="1" thickTop="1" thickBot="1" x14ac:dyDescent="0.25">
      <c r="A51" s="285" t="s">
        <v>1442</v>
      </c>
      <c r="B51" s="1105" t="s">
        <v>1395</v>
      </c>
      <c r="C51" s="1106"/>
      <c r="D51" s="293">
        <v>1170000</v>
      </c>
    </row>
    <row r="52" spans="1:5" s="843" customFormat="1" ht="47.25" thickTop="1" thickBot="1" x14ac:dyDescent="0.25">
      <c r="A52" s="846" t="s">
        <v>1054</v>
      </c>
      <c r="B52" s="1101" t="s">
        <v>693</v>
      </c>
      <c r="C52" s="1102"/>
      <c r="D52" s="229">
        <f>D50</f>
        <v>1170000</v>
      </c>
    </row>
    <row r="53" spans="1:5" ht="121.5" customHeight="1" thickTop="1" thickBot="1" x14ac:dyDescent="0.25">
      <c r="A53" s="754" t="s">
        <v>756</v>
      </c>
      <c r="B53" s="1099" t="s">
        <v>757</v>
      </c>
      <c r="C53" s="1100"/>
      <c r="D53" s="755">
        <f>D56+D58</f>
        <v>25200000</v>
      </c>
      <c r="E53" s="769" t="b">
        <f>D53=D54+D55+D57</f>
        <v>1</v>
      </c>
    </row>
    <row r="54" spans="1:5" s="634" customFormat="1" ht="165.75" customHeight="1" thickTop="1" thickBot="1" x14ac:dyDescent="0.25">
      <c r="A54" s="285" t="s">
        <v>1220</v>
      </c>
      <c r="B54" s="1105" t="s">
        <v>1223</v>
      </c>
      <c r="C54" s="1106"/>
      <c r="D54" s="293">
        <v>1700000</v>
      </c>
    </row>
    <row r="55" spans="1:5" s="634" customFormat="1" ht="147.75" customHeight="1" thickTop="1" thickBot="1" x14ac:dyDescent="0.25">
      <c r="A55" s="285">
        <v>41053900</v>
      </c>
      <c r="B55" s="1105" t="s">
        <v>1224</v>
      </c>
      <c r="C55" s="1106"/>
      <c r="D55" s="293">
        <f>20000000+3000000</f>
        <v>23000000</v>
      </c>
    </row>
    <row r="56" spans="1:5" s="634" customFormat="1" ht="47.25" thickTop="1" thickBot="1" x14ac:dyDescent="0.25">
      <c r="A56" s="639" t="s">
        <v>752</v>
      </c>
      <c r="B56" s="1101" t="s">
        <v>753</v>
      </c>
      <c r="C56" s="1102"/>
      <c r="D56" s="635">
        <f>D55+D54</f>
        <v>24700000</v>
      </c>
    </row>
    <row r="57" spans="1:5" s="912" customFormat="1" ht="131.25" customHeight="1" thickTop="1" thickBot="1" x14ac:dyDescent="0.25">
      <c r="A57" s="285">
        <v>41053900</v>
      </c>
      <c r="B57" s="1105" t="s">
        <v>1499</v>
      </c>
      <c r="C57" s="1106"/>
      <c r="D57" s="293">
        <v>500000</v>
      </c>
    </row>
    <row r="58" spans="1:5" s="912" customFormat="1" ht="47.25" thickTop="1" thickBot="1" x14ac:dyDescent="0.25">
      <c r="A58" s="932" t="s">
        <v>696</v>
      </c>
      <c r="B58" s="1101" t="s">
        <v>697</v>
      </c>
      <c r="C58" s="1102"/>
      <c r="D58" s="926">
        <f>D57</f>
        <v>500000</v>
      </c>
    </row>
    <row r="59" spans="1:5" ht="81" customHeight="1" thickTop="1" thickBot="1" x14ac:dyDescent="0.25">
      <c r="A59" s="873" t="s">
        <v>408</v>
      </c>
      <c r="B59" s="1103" t="s">
        <v>734</v>
      </c>
      <c r="C59" s="1104"/>
      <c r="D59" s="874">
        <f>D60+D61</f>
        <v>822316928.30999994</v>
      </c>
      <c r="E59" s="637" t="b">
        <f>D59='d1'!C97</f>
        <v>1</v>
      </c>
    </row>
    <row r="60" spans="1:5" s="269" customFormat="1" ht="47.25" thickTop="1" thickBot="1" x14ac:dyDescent="0.25">
      <c r="A60" s="279" t="s">
        <v>408</v>
      </c>
      <c r="B60" s="1101" t="s">
        <v>413</v>
      </c>
      <c r="C60" s="1102"/>
      <c r="D60" s="277">
        <f>D46+D25+D28+D48</f>
        <v>795946928.30999994</v>
      </c>
      <c r="E60" s="637" t="b">
        <f>D60='d1'!D97</f>
        <v>1</v>
      </c>
    </row>
    <row r="61" spans="1:5" s="269" customFormat="1" ht="47.25" thickTop="1" thickBot="1" x14ac:dyDescent="0.25">
      <c r="A61" s="279" t="s">
        <v>408</v>
      </c>
      <c r="B61" s="1101" t="s">
        <v>414</v>
      </c>
      <c r="C61" s="1102"/>
      <c r="D61" s="277">
        <f>D56+D52+D58</f>
        <v>26370000</v>
      </c>
      <c r="E61" s="637" t="b">
        <f>D61='d1'!E97</f>
        <v>1</v>
      </c>
    </row>
    <row r="62" spans="1:5" s="269" customFormat="1" ht="31.7" customHeight="1" thickTop="1" x14ac:dyDescent="0.2">
      <c r="A62" s="271"/>
      <c r="B62" s="272"/>
      <c r="C62" s="272"/>
      <c r="D62" s="272"/>
    </row>
    <row r="63" spans="1:5" s="269" customFormat="1" ht="31.7" customHeight="1" x14ac:dyDescent="0.2">
      <c r="A63" s="271"/>
      <c r="B63" s="272"/>
      <c r="C63" s="272"/>
      <c r="D63" s="272"/>
    </row>
    <row r="64" spans="1:5" s="269" customFormat="1" ht="60" customHeight="1" x14ac:dyDescent="0.2">
      <c r="A64" s="1062" t="s">
        <v>735</v>
      </c>
      <c r="B64" s="1060"/>
      <c r="C64" s="1060"/>
      <c r="D64" s="1060"/>
    </row>
    <row r="65" spans="1:6" s="269" customFormat="1" ht="45" x14ac:dyDescent="0.2">
      <c r="A65" s="275"/>
      <c r="B65" s="273"/>
      <c r="C65" s="273"/>
      <c r="D65" s="273"/>
    </row>
    <row r="66" spans="1:6" s="269" customFormat="1" ht="54" customHeight="1" thickBot="1" x14ac:dyDescent="0.25">
      <c r="A66" s="271"/>
      <c r="B66" s="272"/>
      <c r="C66" s="272"/>
      <c r="D66" s="6" t="s">
        <v>431</v>
      </c>
    </row>
    <row r="67" spans="1:6" s="269" customFormat="1" ht="325.5" customHeight="1" thickTop="1" thickBot="1" x14ac:dyDescent="0.25">
      <c r="A67" s="245" t="s">
        <v>736</v>
      </c>
      <c r="B67" s="280" t="s">
        <v>537</v>
      </c>
      <c r="C67" s="245" t="s">
        <v>737</v>
      </c>
      <c r="D67" s="245" t="s">
        <v>410</v>
      </c>
    </row>
    <row r="68" spans="1:6" s="269" customFormat="1" ht="50.25" customHeight="1" thickTop="1" thickBot="1" x14ac:dyDescent="0.25">
      <c r="A68" s="279" t="s">
        <v>2</v>
      </c>
      <c r="B68" s="279" t="s">
        <v>3</v>
      </c>
      <c r="C68" s="279"/>
      <c r="D68" s="279" t="s">
        <v>14</v>
      </c>
    </row>
    <row r="69" spans="1:6" s="269" customFormat="1" ht="65.25" customHeight="1" thickTop="1" thickBot="1" x14ac:dyDescent="0.25">
      <c r="A69" s="1096" t="s">
        <v>738</v>
      </c>
      <c r="B69" s="1097"/>
      <c r="C69" s="1097"/>
      <c r="D69" s="1098"/>
    </row>
    <row r="70" spans="1:6" s="269" customFormat="1" ht="230.25" thickTop="1" thickBot="1" x14ac:dyDescent="0.25">
      <c r="A70" s="285" t="s">
        <v>263</v>
      </c>
      <c r="B70" s="285" t="s">
        <v>264</v>
      </c>
      <c r="C70" s="286" t="s">
        <v>476</v>
      </c>
      <c r="D70" s="287">
        <f>SUM(D71:D72)</f>
        <v>300000</v>
      </c>
      <c r="E70" s="278" t="b">
        <f>D70='d3'!E38</f>
        <v>1</v>
      </c>
      <c r="F70" s="2"/>
    </row>
    <row r="71" spans="1:6" s="269" customFormat="1" ht="93" thickTop="1" thickBot="1" x14ac:dyDescent="0.25">
      <c r="A71" s="228" t="s">
        <v>692</v>
      </c>
      <c r="B71" s="228"/>
      <c r="C71" s="283" t="s">
        <v>698</v>
      </c>
      <c r="D71" s="229">
        <v>150000</v>
      </c>
      <c r="E71" s="2"/>
      <c r="F71" s="2"/>
    </row>
    <row r="72" spans="1:6" s="269" customFormat="1" ht="93" thickTop="1" thickBot="1" x14ac:dyDescent="0.25">
      <c r="A72" s="228" t="s">
        <v>699</v>
      </c>
      <c r="B72" s="228"/>
      <c r="C72" s="283" t="s">
        <v>700</v>
      </c>
      <c r="D72" s="229">
        <v>150000</v>
      </c>
      <c r="E72" s="2"/>
      <c r="F72" s="2"/>
    </row>
    <row r="73" spans="1:6" s="269" customFormat="1" ht="47.25" thickTop="1" thickBot="1" x14ac:dyDescent="0.25">
      <c r="A73" s="285" t="s">
        <v>695</v>
      </c>
      <c r="B73" s="285" t="s">
        <v>389</v>
      </c>
      <c r="C73" s="286" t="s">
        <v>390</v>
      </c>
      <c r="D73" s="287">
        <f>SUM(D74)</f>
        <v>120100</v>
      </c>
      <c r="E73" s="278" t="b">
        <f>D73='d3'!E39</f>
        <v>1</v>
      </c>
      <c r="F73" s="2"/>
    </row>
    <row r="74" spans="1:6" s="269" customFormat="1" ht="47.25" thickTop="1" thickBot="1" x14ac:dyDescent="0.25">
      <c r="A74" s="228" t="s">
        <v>696</v>
      </c>
      <c r="B74" s="228"/>
      <c r="C74" s="283" t="s">
        <v>697</v>
      </c>
      <c r="D74" s="229">
        <v>120100</v>
      </c>
      <c r="E74" s="2"/>
      <c r="F74" s="2"/>
    </row>
    <row r="75" spans="1:6" s="598" customFormat="1" ht="184.5" thickTop="1" thickBot="1" x14ac:dyDescent="0.25">
      <c r="A75" s="285" t="s">
        <v>560</v>
      </c>
      <c r="B75" s="285" t="s">
        <v>561</v>
      </c>
      <c r="C75" s="286" t="s">
        <v>562</v>
      </c>
      <c r="D75" s="287">
        <f>D76</f>
        <v>3750000</v>
      </c>
      <c r="E75" s="601" t="b">
        <f>D75='d3'!E40</f>
        <v>1</v>
      </c>
      <c r="F75" s="2"/>
    </row>
    <row r="76" spans="1:6" s="598" customFormat="1" ht="47.25" thickTop="1" thickBot="1" x14ac:dyDescent="0.25">
      <c r="A76" s="606" t="s">
        <v>1054</v>
      </c>
      <c r="B76" s="606"/>
      <c r="C76" s="283" t="s">
        <v>693</v>
      </c>
      <c r="D76" s="229">
        <f>120000+(500000+300000+80000+50000+(500000+400000+80000+400000+80000+60000+200000+80000+300000+500000+100000))</f>
        <v>3750000</v>
      </c>
      <c r="E76" s="2"/>
      <c r="F76" s="2"/>
    </row>
    <row r="77" spans="1:6" s="269" customFormat="1" ht="47.25" thickTop="1" thickBot="1" x14ac:dyDescent="0.25">
      <c r="A77" s="285" t="s">
        <v>715</v>
      </c>
      <c r="B77" s="285" t="s">
        <v>389</v>
      </c>
      <c r="C77" s="286" t="s">
        <v>390</v>
      </c>
      <c r="D77" s="287">
        <f>SUM(D78)</f>
        <v>558137</v>
      </c>
      <c r="E77" s="278" t="b">
        <f>D77='d3'!E188</f>
        <v>1</v>
      </c>
      <c r="F77" s="2"/>
    </row>
    <row r="78" spans="1:6" s="269" customFormat="1" ht="93" thickTop="1" thickBot="1" x14ac:dyDescent="0.25">
      <c r="A78" s="228" t="s">
        <v>701</v>
      </c>
      <c r="B78" s="228"/>
      <c r="C78" s="283" t="s">
        <v>702</v>
      </c>
      <c r="D78" s="229">
        <v>558137</v>
      </c>
      <c r="E78" s="2"/>
      <c r="F78" s="2"/>
    </row>
    <row r="79" spans="1:6" s="525" customFormat="1" ht="47.25" thickTop="1" thickBot="1" x14ac:dyDescent="0.25">
      <c r="A79" s="530" t="s">
        <v>1104</v>
      </c>
      <c r="B79" s="530" t="s">
        <v>389</v>
      </c>
      <c r="C79" s="531" t="s">
        <v>390</v>
      </c>
      <c r="D79" s="532">
        <f>SUM(D80)</f>
        <v>1700000</v>
      </c>
      <c r="E79" s="601" t="b">
        <f>D79='d3'!E322</f>
        <v>1</v>
      </c>
      <c r="F79" s="2"/>
    </row>
    <row r="80" spans="1:6" s="525" customFormat="1" ht="47.25" thickTop="1" thickBot="1" x14ac:dyDescent="0.25">
      <c r="A80" s="528" t="s">
        <v>752</v>
      </c>
      <c r="B80" s="528"/>
      <c r="C80" s="533" t="s">
        <v>753</v>
      </c>
      <c r="D80" s="534">
        <f>(700000)+1000000</f>
        <v>1700000</v>
      </c>
      <c r="E80" s="2"/>
      <c r="F80" s="2"/>
    </row>
    <row r="81" spans="1:9" s="269" customFormat="1" ht="47.25" thickTop="1" thickBot="1" x14ac:dyDescent="0.25">
      <c r="A81" s="285" t="s">
        <v>740</v>
      </c>
      <c r="B81" s="285" t="s">
        <v>741</v>
      </c>
      <c r="C81" s="286" t="s">
        <v>487</v>
      </c>
      <c r="D81" s="287">
        <f>SUM(D82)</f>
        <v>73303900</v>
      </c>
      <c r="E81" s="601" t="b">
        <f>D81='d3'!E355</f>
        <v>1</v>
      </c>
      <c r="F81" s="2"/>
    </row>
    <row r="82" spans="1:9" s="269" customFormat="1" ht="47.25" thickTop="1" thickBot="1" x14ac:dyDescent="0.25">
      <c r="A82" s="228" t="s">
        <v>1054</v>
      </c>
      <c r="B82" s="228"/>
      <c r="C82" s="283" t="s">
        <v>693</v>
      </c>
      <c r="D82" s="229">
        <v>73303900</v>
      </c>
      <c r="E82" s="2"/>
      <c r="F82" s="2"/>
    </row>
    <row r="83" spans="1:9" s="269" customFormat="1" ht="77.25" customHeight="1" thickTop="1" thickBot="1" x14ac:dyDescent="0.25">
      <c r="A83" s="1096" t="s">
        <v>739</v>
      </c>
      <c r="B83" s="1097"/>
      <c r="C83" s="1097"/>
      <c r="D83" s="1098"/>
      <c r="E83" s="2"/>
      <c r="F83" s="2"/>
    </row>
    <row r="84" spans="1:9" s="598" customFormat="1" ht="205.5" customHeight="1" thickTop="1" thickBot="1" x14ac:dyDescent="0.25">
      <c r="A84" s="285" t="s">
        <v>560</v>
      </c>
      <c r="B84" s="285" t="s">
        <v>561</v>
      </c>
      <c r="C84" s="286" t="s">
        <v>562</v>
      </c>
      <c r="D84" s="532">
        <v>1340000</v>
      </c>
      <c r="E84" s="601" t="b">
        <f>D84='d3'!J40</f>
        <v>1</v>
      </c>
      <c r="F84" s="2"/>
    </row>
    <row r="85" spans="1:9" s="598" customFormat="1" ht="77.25" customHeight="1" thickTop="1" thickBot="1" x14ac:dyDescent="0.25">
      <c r="A85" s="606" t="s">
        <v>1054</v>
      </c>
      <c r="B85" s="606"/>
      <c r="C85" s="283" t="s">
        <v>693</v>
      </c>
      <c r="D85" s="229">
        <f>D84</f>
        <v>1340000</v>
      </c>
      <c r="E85" s="2"/>
      <c r="F85" s="2"/>
    </row>
    <row r="86" spans="1:9" s="764" customFormat="1" ht="77.25" customHeight="1" thickTop="1" thickBot="1" x14ac:dyDescent="0.25">
      <c r="A86" s="530" t="s">
        <v>1375</v>
      </c>
      <c r="B86" s="530" t="s">
        <v>389</v>
      </c>
      <c r="C86" s="531" t="s">
        <v>390</v>
      </c>
      <c r="D86" s="532">
        <f>(4547046.18)+155941.82</f>
        <v>4702988</v>
      </c>
      <c r="E86" s="769" t="b">
        <f>D86='d3'!J87</f>
        <v>1</v>
      </c>
      <c r="F86" s="2"/>
    </row>
    <row r="87" spans="1:9" s="269" customFormat="1" ht="47.25" thickTop="1" thickBot="1" x14ac:dyDescent="0.25">
      <c r="A87" s="530" t="s">
        <v>1104</v>
      </c>
      <c r="B87" s="530" t="s">
        <v>389</v>
      </c>
      <c r="C87" s="531" t="s">
        <v>390</v>
      </c>
      <c r="D87" s="532">
        <f>1000000+700000</f>
        <v>1700000</v>
      </c>
      <c r="E87" s="601" t="b">
        <f>D87='d3'!J322</f>
        <v>1</v>
      </c>
      <c r="F87" s="2"/>
    </row>
    <row r="88" spans="1:9" s="525" customFormat="1" ht="47.25" thickTop="1" thickBot="1" x14ac:dyDescent="0.25">
      <c r="A88" s="528" t="s">
        <v>752</v>
      </c>
      <c r="B88" s="528"/>
      <c r="C88" s="533" t="s">
        <v>753</v>
      </c>
      <c r="D88" s="534">
        <f>SUM(D86:D87)</f>
        <v>6402988</v>
      </c>
      <c r="E88" s="2"/>
      <c r="F88" s="2"/>
    </row>
    <row r="89" spans="1:9" s="269" customFormat="1" ht="84.75" customHeight="1" thickTop="1" thickBot="1" x14ac:dyDescent="0.25">
      <c r="A89" s="873" t="s">
        <v>408</v>
      </c>
      <c r="B89" s="873" t="s">
        <v>408</v>
      </c>
      <c r="C89" s="875" t="s">
        <v>734</v>
      </c>
      <c r="D89" s="874">
        <f>D71+D72+D74+D76+D78+D80+D82+D85+D88</f>
        <v>87475125</v>
      </c>
      <c r="E89" s="601" t="b">
        <f>D89=D90+D91</f>
        <v>1</v>
      </c>
      <c r="F89" s="598"/>
    </row>
    <row r="90" spans="1:9" ht="47.25" thickTop="1" thickBot="1" x14ac:dyDescent="0.25">
      <c r="A90" s="279" t="s">
        <v>408</v>
      </c>
      <c r="B90" s="279" t="s">
        <v>408</v>
      </c>
      <c r="C90" s="284" t="s">
        <v>413</v>
      </c>
      <c r="D90" s="277">
        <f>'d3'!E353+'d3'!E320+'d3'!E186+'d3'!E36+'d3'!E87</f>
        <v>79732137</v>
      </c>
      <c r="E90" s="527" t="b">
        <f>D90=D70+D73+D77+D79+D81+D75</f>
        <v>1</v>
      </c>
      <c r="F90" s="2"/>
    </row>
    <row r="91" spans="1:9" s="269" customFormat="1" ht="47.25" thickTop="1" thickBot="1" x14ac:dyDescent="0.25">
      <c r="A91" s="279" t="s">
        <v>408</v>
      </c>
      <c r="B91" s="279" t="s">
        <v>408</v>
      </c>
      <c r="C91" s="284" t="s">
        <v>414</v>
      </c>
      <c r="D91" s="277">
        <f>'d3'!J36+'d3'!J186+'d3'!J320+'d3'!J353+'d3'!J87</f>
        <v>7742988</v>
      </c>
      <c r="E91" s="527" t="b">
        <f>D91=D88+D85</f>
        <v>1</v>
      </c>
      <c r="F91" s="2"/>
    </row>
    <row r="92" spans="1:9" s="269" customFormat="1" ht="31.7" customHeight="1" thickTop="1" x14ac:dyDescent="0.2">
      <c r="A92" s="271"/>
      <c r="B92" s="272"/>
      <c r="C92" s="272"/>
      <c r="D92" s="272"/>
    </row>
    <row r="93" spans="1:9" s="269" customFormat="1" ht="31.7" customHeight="1" x14ac:dyDescent="0.2">
      <c r="A93" s="271"/>
      <c r="B93" s="272"/>
      <c r="C93" s="272"/>
      <c r="D93" s="272"/>
    </row>
    <row r="94" spans="1:9" s="269" customFormat="1" ht="31.7" customHeight="1" x14ac:dyDescent="0.2">
      <c r="A94" s="271"/>
      <c r="B94" s="272"/>
      <c r="C94" s="272"/>
      <c r="D94" s="272"/>
    </row>
    <row r="95" spans="1:9" ht="45" customHeight="1" x14ac:dyDescent="0.65">
      <c r="A95" s="268"/>
      <c r="B95" s="1107" t="s">
        <v>1508</v>
      </c>
      <c r="C95" s="1060"/>
      <c r="D95" s="1004" t="s">
        <v>1509</v>
      </c>
      <c r="E95" s="1004"/>
      <c r="F95" s="1004"/>
      <c r="G95" s="123"/>
      <c r="H95" s="123"/>
      <c r="I95" s="658"/>
    </row>
    <row r="96" spans="1:9" ht="61.5" customHeight="1" x14ac:dyDescent="0.65">
      <c r="A96" s="266"/>
      <c r="B96" s="1004"/>
      <c r="C96" s="1004"/>
      <c r="D96" s="1004"/>
    </row>
    <row r="97" spans="1:4" ht="45.75" x14ac:dyDescent="0.65">
      <c r="B97" s="144" t="s">
        <v>606</v>
      </c>
      <c r="C97" s="144"/>
      <c r="D97" s="144" t="s">
        <v>607</v>
      </c>
    </row>
    <row r="98" spans="1:4" ht="45.75" x14ac:dyDescent="0.65">
      <c r="B98" s="1004"/>
      <c r="C98" s="1004"/>
      <c r="D98" s="1004"/>
    </row>
    <row r="101" spans="1:4" x14ac:dyDescent="0.2">
      <c r="A101" s="265"/>
      <c r="B101" s="265"/>
      <c r="C101" s="269"/>
    </row>
    <row r="103" spans="1:4" x14ac:dyDescent="0.2">
      <c r="A103" s="265"/>
      <c r="B103" s="265"/>
      <c r="C103" s="269"/>
    </row>
    <row r="107" spans="1:4" x14ac:dyDescent="0.2">
      <c r="A107" s="265"/>
      <c r="B107" s="265"/>
      <c r="C107" s="269"/>
      <c r="D107" s="265"/>
    </row>
    <row r="108" spans="1:4" x14ac:dyDescent="0.2">
      <c r="A108" s="265"/>
      <c r="B108" s="265"/>
      <c r="C108" s="269"/>
      <c r="D108" s="265"/>
    </row>
    <row r="109" spans="1:4" x14ac:dyDescent="0.2">
      <c r="A109" s="265"/>
      <c r="B109" s="265"/>
      <c r="C109" s="269"/>
      <c r="D109" s="265"/>
    </row>
    <row r="110" spans="1:4" x14ac:dyDescent="0.2">
      <c r="A110" s="265"/>
      <c r="B110" s="265"/>
      <c r="C110" s="269"/>
      <c r="D110" s="265"/>
    </row>
  </sheetData>
  <mergeCells count="72">
    <mergeCell ref="B52:C52"/>
    <mergeCell ref="B44:C44"/>
    <mergeCell ref="B55:C55"/>
    <mergeCell ref="A49:D49"/>
    <mergeCell ref="B46:C46"/>
    <mergeCell ref="B47:C47"/>
    <mergeCell ref="B48:C48"/>
    <mergeCell ref="B50:C50"/>
    <mergeCell ref="B51:C51"/>
    <mergeCell ref="A30:A31"/>
    <mergeCell ref="D30:D31"/>
    <mergeCell ref="B36:C36"/>
    <mergeCell ref="B42:C42"/>
    <mergeCell ref="A42:A43"/>
    <mergeCell ref="D42:D43"/>
    <mergeCell ref="B43:C43"/>
    <mergeCell ref="A32:A33"/>
    <mergeCell ref="D32:D33"/>
    <mergeCell ref="A34:A35"/>
    <mergeCell ref="D34:D35"/>
    <mergeCell ref="B38:C38"/>
    <mergeCell ref="B40:C40"/>
    <mergeCell ref="A11:D11"/>
    <mergeCell ref="A16:D16"/>
    <mergeCell ref="B14:C14"/>
    <mergeCell ref="B15:C15"/>
    <mergeCell ref="B29:C29"/>
    <mergeCell ref="B19:C19"/>
    <mergeCell ref="B17:C17"/>
    <mergeCell ref="B26:C26"/>
    <mergeCell ref="B27:C27"/>
    <mergeCell ref="B20:C20"/>
    <mergeCell ref="B24:C24"/>
    <mergeCell ref="B28:C28"/>
    <mergeCell ref="B18:C18"/>
    <mergeCell ref="B22:C22"/>
    <mergeCell ref="B23:C23"/>
    <mergeCell ref="B21:C21"/>
    <mergeCell ref="N3:O3"/>
    <mergeCell ref="N4:O4"/>
    <mergeCell ref="N5:O5"/>
    <mergeCell ref="A8:D8"/>
    <mergeCell ref="A9:D9"/>
    <mergeCell ref="A5:D5"/>
    <mergeCell ref="A6:D6"/>
    <mergeCell ref="A7:D7"/>
    <mergeCell ref="B25:C25"/>
    <mergeCell ref="B32:C32"/>
    <mergeCell ref="B33:C33"/>
    <mergeCell ref="B45:C45"/>
    <mergeCell ref="B37:C37"/>
    <mergeCell ref="B39:C39"/>
    <mergeCell ref="B41:C41"/>
    <mergeCell ref="B30:C30"/>
    <mergeCell ref="B31:C31"/>
    <mergeCell ref="B34:C34"/>
    <mergeCell ref="B35:C35"/>
    <mergeCell ref="B98:D98"/>
    <mergeCell ref="A69:D69"/>
    <mergeCell ref="A83:D83"/>
    <mergeCell ref="B53:C53"/>
    <mergeCell ref="B60:C60"/>
    <mergeCell ref="B61:C61"/>
    <mergeCell ref="B59:C59"/>
    <mergeCell ref="B54:C54"/>
    <mergeCell ref="B56:C56"/>
    <mergeCell ref="B95:C95"/>
    <mergeCell ref="A64:D64"/>
    <mergeCell ref="D95:F95"/>
    <mergeCell ref="B57:C57"/>
    <mergeCell ref="B58:C58"/>
    <mergeCell ref="B96:D96"/>
  </mergeCells>
  <pageMargins left="0.23622047244094491" right="0.27559055118110237" top="0.27559055118110237" bottom="0.15748031496062992" header="0.23622047244094491" footer="0.27559055118110237"/>
  <pageSetup paperSize="9" scale="30" fitToHeight="0" orientation="portrait" horizontalDpi="4294967295" verticalDpi="4294967295" r:id="rId1"/>
  <headerFooter alignWithMargins="0">
    <oddFooter>&amp;C&amp;"Times New Roman Cyr,курсив"Сторінка &amp;P з &amp;N</oddFooter>
  </headerFooter>
  <rowBreaks count="3" manualBreakCount="3">
    <brk id="39" max="3" man="1"/>
    <brk id="63" max="3" man="1"/>
    <brk id="97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0"/>
  <sheetViews>
    <sheetView view="pageBreakPreview" topLeftCell="B1" zoomScale="40" zoomScaleNormal="40" zoomScaleSheetLayoutView="40" workbookViewId="0">
      <pane ySplit="11" topLeftCell="A284" activePane="bottomLeft" state="frozen"/>
      <selection activeCell="F175" sqref="F175"/>
      <selection pane="bottomLeft" activeCell="G2" sqref="G2:K2"/>
    </sheetView>
  </sheetViews>
  <sheetFormatPr defaultColWidth="7.85546875" defaultRowHeight="12.75" x14ac:dyDescent="0.2"/>
  <cols>
    <col min="1" max="1" width="3.28515625" style="235" hidden="1" customWidth="1"/>
    <col min="2" max="3" width="15.42578125" style="614" customWidth="1"/>
    <col min="4" max="4" width="16.85546875" style="614" customWidth="1"/>
    <col min="5" max="5" width="41.5703125" style="614" customWidth="1"/>
    <col min="6" max="6" width="38.5703125" style="614" customWidth="1"/>
    <col min="7" max="11" width="18.140625" style="627" customWidth="1"/>
    <col min="12" max="12" width="30.7109375" style="235" customWidth="1"/>
    <col min="13" max="13" width="16.5703125" style="235" customWidth="1"/>
    <col min="14" max="14" width="13.7109375" style="235" customWidth="1"/>
    <col min="15" max="15" width="12.7109375" style="235" customWidth="1"/>
    <col min="16" max="16384" width="7.85546875" style="235"/>
  </cols>
  <sheetData>
    <row r="1" spans="2:11" s="7" customFormat="1" ht="22.7" customHeight="1" x14ac:dyDescent="0.25">
      <c r="B1" s="1130"/>
      <c r="C1" s="1130"/>
      <c r="D1" s="1130"/>
      <c r="E1" s="1130"/>
      <c r="F1" s="1130"/>
      <c r="G1" s="1130"/>
      <c r="H1" s="1130"/>
      <c r="I1" s="1130"/>
      <c r="J1" s="1130"/>
      <c r="K1" s="1130"/>
    </row>
    <row r="2" spans="2:11" ht="41.25" customHeight="1" x14ac:dyDescent="0.2">
      <c r="G2" s="1083" t="s">
        <v>1518</v>
      </c>
      <c r="H2" s="1083"/>
      <c r="I2" s="1083"/>
      <c r="J2" s="1083"/>
      <c r="K2" s="1083"/>
    </row>
    <row r="3" spans="2:11" ht="29.25" customHeight="1" x14ac:dyDescent="0.2">
      <c r="G3" s="676"/>
      <c r="H3" s="676"/>
      <c r="I3" s="676"/>
      <c r="J3" s="676"/>
      <c r="K3" s="676"/>
    </row>
    <row r="4" spans="2:11" ht="31.5" customHeight="1" x14ac:dyDescent="0.2">
      <c r="B4" s="1131" t="s">
        <v>680</v>
      </c>
      <c r="C4" s="1084"/>
      <c r="D4" s="1084"/>
      <c r="E4" s="1084"/>
      <c r="F4" s="1084"/>
      <c r="G4" s="1084"/>
      <c r="H4" s="1084"/>
      <c r="I4" s="1084"/>
      <c r="J4" s="1084"/>
      <c r="K4" s="1084"/>
    </row>
    <row r="5" spans="2:11" ht="57" customHeight="1" x14ac:dyDescent="0.2">
      <c r="B5" s="1131" t="s">
        <v>724</v>
      </c>
      <c r="C5" s="1084"/>
      <c r="D5" s="1084"/>
      <c r="E5" s="1084"/>
      <c r="F5" s="1084"/>
      <c r="G5" s="1084"/>
      <c r="H5" s="1084"/>
      <c r="I5" s="1084"/>
      <c r="J5" s="1084"/>
      <c r="K5" s="1084"/>
    </row>
    <row r="6" spans="2:11" ht="22.5" x14ac:dyDescent="0.2">
      <c r="B6" s="678"/>
      <c r="C6" s="675"/>
      <c r="D6" s="675"/>
      <c r="E6" s="675"/>
      <c r="F6" s="675"/>
      <c r="G6" s="675"/>
      <c r="H6" s="675"/>
      <c r="I6" s="675"/>
      <c r="J6" s="675"/>
      <c r="K6" s="675"/>
    </row>
    <row r="7" spans="2:11" ht="18.75" x14ac:dyDescent="0.2">
      <c r="B7" s="1132">
        <v>22564000000</v>
      </c>
      <c r="C7" s="1133"/>
      <c r="D7" s="675"/>
      <c r="E7" s="675"/>
      <c r="F7" s="675"/>
      <c r="G7" s="675"/>
      <c r="H7" s="675"/>
      <c r="I7" s="675"/>
      <c r="J7" s="675"/>
      <c r="K7" s="675"/>
    </row>
    <row r="8" spans="2:11" ht="18.75" x14ac:dyDescent="0.2">
      <c r="B8" s="1127" t="s">
        <v>535</v>
      </c>
      <c r="C8" s="1128"/>
      <c r="D8" s="675"/>
      <c r="E8" s="675"/>
      <c r="F8" s="675"/>
      <c r="G8" s="675"/>
      <c r="H8" s="675"/>
      <c r="I8" s="675"/>
      <c r="J8" s="675"/>
      <c r="K8" s="675"/>
    </row>
    <row r="9" spans="2:11" ht="6" customHeight="1" thickBot="1" x14ac:dyDescent="0.25">
      <c r="B9" s="615"/>
      <c r="C9" s="616"/>
      <c r="D9" s="675"/>
      <c r="E9" s="675"/>
      <c r="F9" s="675"/>
      <c r="G9" s="675"/>
      <c r="H9" s="675"/>
      <c r="I9" s="675"/>
      <c r="J9" s="675"/>
      <c r="K9" s="675"/>
    </row>
    <row r="10" spans="2:11" ht="120" customHeight="1" thickTop="1" thickBot="1" x14ac:dyDescent="0.25">
      <c r="B10" s="104" t="s">
        <v>536</v>
      </c>
      <c r="C10" s="104" t="s">
        <v>537</v>
      </c>
      <c r="D10" s="104" t="s">
        <v>417</v>
      </c>
      <c r="E10" s="104" t="s">
        <v>691</v>
      </c>
      <c r="F10" s="105" t="s">
        <v>572</v>
      </c>
      <c r="G10" s="105" t="s">
        <v>573</v>
      </c>
      <c r="H10" s="105" t="s">
        <v>574</v>
      </c>
      <c r="I10" s="105" t="s">
        <v>575</v>
      </c>
      <c r="J10" s="105" t="s">
        <v>576</v>
      </c>
      <c r="K10" s="105" t="s">
        <v>577</v>
      </c>
    </row>
    <row r="11" spans="2:11" ht="20.25" customHeight="1" thickTop="1" thickBot="1" x14ac:dyDescent="0.25">
      <c r="B11" s="101">
        <v>1</v>
      </c>
      <c r="C11" s="101">
        <v>2</v>
      </c>
      <c r="D11" s="101">
        <v>3</v>
      </c>
      <c r="E11" s="101">
        <v>4</v>
      </c>
      <c r="F11" s="101">
        <v>5</v>
      </c>
      <c r="G11" s="101">
        <v>6</v>
      </c>
      <c r="H11" s="101">
        <v>7</v>
      </c>
      <c r="I11" s="101">
        <v>8</v>
      </c>
      <c r="J11" s="101">
        <v>9</v>
      </c>
      <c r="K11" s="101">
        <v>10</v>
      </c>
    </row>
    <row r="12" spans="2:11" ht="39.75" customHeight="1" thickTop="1" thickBot="1" x14ac:dyDescent="0.25">
      <c r="B12" s="867" t="s">
        <v>162</v>
      </c>
      <c r="C12" s="867"/>
      <c r="D12" s="867"/>
      <c r="E12" s="868" t="s">
        <v>164</v>
      </c>
      <c r="F12" s="876"/>
      <c r="G12" s="869"/>
      <c r="H12" s="869"/>
      <c r="I12" s="869"/>
      <c r="J12" s="876">
        <f>J13</f>
        <v>6046500</v>
      </c>
      <c r="K12" s="876"/>
    </row>
    <row r="13" spans="2:11" ht="47.25" customHeight="1" thickTop="1" thickBot="1" x14ac:dyDescent="0.25">
      <c r="B13" s="870" t="s">
        <v>163</v>
      </c>
      <c r="C13" s="870"/>
      <c r="D13" s="870"/>
      <c r="E13" s="871" t="s">
        <v>165</v>
      </c>
      <c r="F13" s="877"/>
      <c r="G13" s="877"/>
      <c r="H13" s="877"/>
      <c r="I13" s="877"/>
      <c r="J13" s="877">
        <f>SUM(J14:J18)</f>
        <v>6046500</v>
      </c>
      <c r="K13" s="877"/>
    </row>
    <row r="14" spans="2:11" ht="76.5" thickTop="1" thickBot="1" x14ac:dyDescent="0.25">
      <c r="B14" s="355" t="s">
        <v>250</v>
      </c>
      <c r="C14" s="355" t="s">
        <v>251</v>
      </c>
      <c r="D14" s="355" t="s">
        <v>252</v>
      </c>
      <c r="E14" s="355" t="s">
        <v>249</v>
      </c>
      <c r="F14" s="353" t="s">
        <v>578</v>
      </c>
      <c r="G14" s="434"/>
      <c r="H14" s="435"/>
      <c r="I14" s="434"/>
      <c r="J14" s="354">
        <f>(977200+330000+15000+241300)+336000+900000+55000</f>
        <v>2854500</v>
      </c>
      <c r="K14" s="354"/>
    </row>
    <row r="15" spans="2:11" ht="91.5" thickTop="1" thickBot="1" x14ac:dyDescent="0.25">
      <c r="B15" s="355" t="s">
        <v>250</v>
      </c>
      <c r="C15" s="355" t="s">
        <v>251</v>
      </c>
      <c r="D15" s="355" t="s">
        <v>252</v>
      </c>
      <c r="E15" s="355" t="s">
        <v>249</v>
      </c>
      <c r="F15" s="353" t="s">
        <v>1474</v>
      </c>
      <c r="G15" s="359" t="s">
        <v>667</v>
      </c>
      <c r="H15" s="360">
        <v>352000</v>
      </c>
      <c r="I15" s="364">
        <v>0</v>
      </c>
      <c r="J15" s="362">
        <v>352000</v>
      </c>
      <c r="K15" s="364">
        <v>1</v>
      </c>
    </row>
    <row r="16" spans="2:11" ht="31.5" thickTop="1" thickBot="1" x14ac:dyDescent="0.25">
      <c r="B16" s="352" t="s">
        <v>256</v>
      </c>
      <c r="C16" s="352" t="s">
        <v>257</v>
      </c>
      <c r="D16" s="352" t="s">
        <v>258</v>
      </c>
      <c r="E16" s="352" t="s">
        <v>255</v>
      </c>
      <c r="F16" s="353" t="s">
        <v>578</v>
      </c>
      <c r="G16" s="434"/>
      <c r="H16" s="435"/>
      <c r="I16" s="434"/>
      <c r="J16" s="354">
        <v>1500000</v>
      </c>
      <c r="K16" s="354"/>
    </row>
    <row r="17" spans="1:13" ht="61.5" thickTop="1" thickBot="1" x14ac:dyDescent="0.25">
      <c r="B17" s="352" t="s">
        <v>560</v>
      </c>
      <c r="C17" s="352" t="s">
        <v>561</v>
      </c>
      <c r="D17" s="352" t="s">
        <v>45</v>
      </c>
      <c r="E17" s="352" t="s">
        <v>562</v>
      </c>
      <c r="F17" s="353" t="s">
        <v>578</v>
      </c>
      <c r="G17" s="434"/>
      <c r="H17" s="435"/>
      <c r="I17" s="434"/>
      <c r="J17" s="354">
        <f>380000+(80000+500000+80000)</f>
        <v>1040000</v>
      </c>
      <c r="K17" s="354"/>
    </row>
    <row r="18" spans="1:13" ht="61.5" thickTop="1" thickBot="1" x14ac:dyDescent="0.25">
      <c r="B18" s="352" t="s">
        <v>560</v>
      </c>
      <c r="C18" s="352" t="s">
        <v>561</v>
      </c>
      <c r="D18" s="352" t="s">
        <v>45</v>
      </c>
      <c r="E18" s="352" t="s">
        <v>562</v>
      </c>
      <c r="F18" s="353" t="s">
        <v>1186</v>
      </c>
      <c r="G18" s="434"/>
      <c r="H18" s="435"/>
      <c r="I18" s="434"/>
      <c r="J18" s="354">
        <v>300000</v>
      </c>
      <c r="K18" s="354"/>
    </row>
    <row r="19" spans="1:13" ht="46.5" thickTop="1" thickBot="1" x14ac:dyDescent="0.25">
      <c r="A19" s="617"/>
      <c r="B19" s="867" t="s">
        <v>166</v>
      </c>
      <c r="C19" s="867"/>
      <c r="D19" s="867"/>
      <c r="E19" s="868" t="s">
        <v>0</v>
      </c>
      <c r="F19" s="876"/>
      <c r="G19" s="869"/>
      <c r="H19" s="869"/>
      <c r="I19" s="869"/>
      <c r="J19" s="876">
        <f>J20</f>
        <v>58955496.250000007</v>
      </c>
      <c r="K19" s="876"/>
    </row>
    <row r="20" spans="1:13" ht="44.25" thickTop="1" thickBot="1" x14ac:dyDescent="0.25">
      <c r="A20" s="617"/>
      <c r="B20" s="870" t="s">
        <v>167</v>
      </c>
      <c r="C20" s="870"/>
      <c r="D20" s="870"/>
      <c r="E20" s="871" t="s">
        <v>1</v>
      </c>
      <c r="F20" s="877"/>
      <c r="G20" s="877"/>
      <c r="H20" s="877"/>
      <c r="I20" s="877"/>
      <c r="J20" s="877">
        <f>SUM(J21:J92)</f>
        <v>58955496.250000007</v>
      </c>
      <c r="K20" s="877"/>
    </row>
    <row r="21" spans="1:13" ht="31.5" thickTop="1" thickBot="1" x14ac:dyDescent="0.25">
      <c r="B21" s="355" t="s">
        <v>216</v>
      </c>
      <c r="C21" s="355" t="s">
        <v>217</v>
      </c>
      <c r="D21" s="355" t="s">
        <v>219</v>
      </c>
      <c r="E21" s="355" t="s">
        <v>220</v>
      </c>
      <c r="F21" s="358" t="s">
        <v>578</v>
      </c>
      <c r="G21" s="356"/>
      <c r="H21" s="357"/>
      <c r="I21" s="357"/>
      <c r="J21" s="354">
        <f>((30333+15000)+48000)-45333</f>
        <v>48000</v>
      </c>
      <c r="K21" s="354"/>
    </row>
    <row r="22" spans="1:13" ht="91.5" thickTop="1" thickBot="1" x14ac:dyDescent="0.25">
      <c r="B22" s="352" t="s">
        <v>216</v>
      </c>
      <c r="C22" s="352" t="s">
        <v>217</v>
      </c>
      <c r="D22" s="352" t="s">
        <v>219</v>
      </c>
      <c r="E22" s="352" t="s">
        <v>220</v>
      </c>
      <c r="F22" s="358" t="s">
        <v>1270</v>
      </c>
      <c r="G22" s="359" t="s">
        <v>594</v>
      </c>
      <c r="H22" s="360">
        <v>2301987</v>
      </c>
      <c r="I22" s="361">
        <f>(984339.94+460000)/H22</f>
        <v>0.62743184040570166</v>
      </c>
      <c r="J22" s="362">
        <f>(800000)+59561.14</f>
        <v>859561.14</v>
      </c>
      <c r="K22" s="361">
        <v>1</v>
      </c>
      <c r="L22" s="362">
        <f>(984339.94+460000)+J22</f>
        <v>2303901.08</v>
      </c>
      <c r="M22" s="362">
        <f>H22-L22</f>
        <v>-1914.0800000000745</v>
      </c>
    </row>
    <row r="23" spans="1:13" ht="106.5" thickTop="1" thickBot="1" x14ac:dyDescent="0.25">
      <c r="B23" s="352" t="s">
        <v>216</v>
      </c>
      <c r="C23" s="352" t="s">
        <v>217</v>
      </c>
      <c r="D23" s="352" t="s">
        <v>219</v>
      </c>
      <c r="E23" s="352" t="s">
        <v>220</v>
      </c>
      <c r="F23" s="363" t="s">
        <v>1158</v>
      </c>
      <c r="G23" s="359" t="s">
        <v>667</v>
      </c>
      <c r="H23" s="360"/>
      <c r="I23" s="364">
        <v>0</v>
      </c>
      <c r="J23" s="362">
        <v>160000</v>
      </c>
      <c r="K23" s="364">
        <v>1</v>
      </c>
    </row>
    <row r="24" spans="1:13" ht="76.5" thickTop="1" thickBot="1" x14ac:dyDescent="0.25">
      <c r="B24" s="355" t="s">
        <v>216</v>
      </c>
      <c r="C24" s="355" t="s">
        <v>217</v>
      </c>
      <c r="D24" s="355" t="s">
        <v>219</v>
      </c>
      <c r="E24" s="355" t="s">
        <v>220</v>
      </c>
      <c r="F24" s="358" t="s">
        <v>579</v>
      </c>
      <c r="G24" s="356" t="s">
        <v>594</v>
      </c>
      <c r="H24" s="357">
        <v>8835199</v>
      </c>
      <c r="I24" s="364">
        <f>((999840+3536574)/H24)</f>
        <v>0.51344785782414182</v>
      </c>
      <c r="J24" s="354">
        <f>(3100000)+500000+542134.23</f>
        <v>4142134.23</v>
      </c>
      <c r="K24" s="364">
        <v>1</v>
      </c>
      <c r="L24" s="672" t="s">
        <v>1261</v>
      </c>
    </row>
    <row r="25" spans="1:13" ht="76.5" thickTop="1" thickBot="1" x14ac:dyDescent="0.25">
      <c r="B25" s="355" t="s">
        <v>216</v>
      </c>
      <c r="C25" s="355" t="s">
        <v>217</v>
      </c>
      <c r="D25" s="355" t="s">
        <v>219</v>
      </c>
      <c r="E25" s="355" t="s">
        <v>220</v>
      </c>
      <c r="F25" s="358" t="s">
        <v>580</v>
      </c>
      <c r="G25" s="356" t="s">
        <v>531</v>
      </c>
      <c r="H25" s="357">
        <v>742721</v>
      </c>
      <c r="I25" s="364">
        <f>((300000)/H25)</f>
        <v>0.40392017998683222</v>
      </c>
      <c r="J25" s="354">
        <v>440000</v>
      </c>
      <c r="K25" s="364">
        <f>(300000+J25)/H25</f>
        <v>0.99633644396751941</v>
      </c>
    </row>
    <row r="26" spans="1:13" ht="136.5" thickTop="1" thickBot="1" x14ac:dyDescent="0.25">
      <c r="B26" s="355" t="s">
        <v>216</v>
      </c>
      <c r="C26" s="355" t="s">
        <v>217</v>
      </c>
      <c r="D26" s="355" t="s">
        <v>219</v>
      </c>
      <c r="E26" s="355" t="s">
        <v>220</v>
      </c>
      <c r="F26" s="358" t="s">
        <v>1376</v>
      </c>
      <c r="G26" s="359" t="s">
        <v>667</v>
      </c>
      <c r="H26" s="360"/>
      <c r="I26" s="364">
        <f>0</f>
        <v>0</v>
      </c>
      <c r="J26" s="354">
        <f>(500000)+1000000</f>
        <v>1500000</v>
      </c>
      <c r="K26" s="364"/>
    </row>
    <row r="27" spans="1:13" ht="16.5" hidden="1" thickTop="1" thickBot="1" x14ac:dyDescent="0.25">
      <c r="B27" s="355"/>
      <c r="C27" s="355"/>
      <c r="D27" s="355"/>
      <c r="E27" s="355"/>
      <c r="F27" s="358"/>
      <c r="G27" s="356"/>
      <c r="H27" s="357"/>
      <c r="I27" s="364"/>
      <c r="J27" s="354"/>
      <c r="K27" s="364"/>
    </row>
    <row r="28" spans="1:13" ht="46.5" thickTop="1" thickBot="1" x14ac:dyDescent="0.25">
      <c r="B28" s="355" t="s">
        <v>216</v>
      </c>
      <c r="C28" s="355" t="s">
        <v>217</v>
      </c>
      <c r="D28" s="355" t="s">
        <v>219</v>
      </c>
      <c r="E28" s="355" t="s">
        <v>220</v>
      </c>
      <c r="F28" s="358" t="s">
        <v>746</v>
      </c>
      <c r="G28" s="359" t="s">
        <v>667</v>
      </c>
      <c r="H28" s="360"/>
      <c r="I28" s="361">
        <v>0</v>
      </c>
      <c r="J28" s="362">
        <v>130000</v>
      </c>
      <c r="K28" s="364">
        <v>1</v>
      </c>
    </row>
    <row r="29" spans="1:13" ht="91.5" thickTop="1" thickBot="1" x14ac:dyDescent="0.25">
      <c r="B29" s="355" t="s">
        <v>216</v>
      </c>
      <c r="C29" s="355" t="s">
        <v>217</v>
      </c>
      <c r="D29" s="355" t="s">
        <v>219</v>
      </c>
      <c r="E29" s="355" t="s">
        <v>220</v>
      </c>
      <c r="F29" s="358" t="s">
        <v>1178</v>
      </c>
      <c r="G29" s="359" t="s">
        <v>667</v>
      </c>
      <c r="H29" s="360"/>
      <c r="I29" s="361">
        <v>0</v>
      </c>
      <c r="J29" s="362">
        <v>700000</v>
      </c>
      <c r="K29" s="364">
        <v>1</v>
      </c>
    </row>
    <row r="30" spans="1:13" ht="91.5" thickTop="1" thickBot="1" x14ac:dyDescent="0.25">
      <c r="B30" s="355" t="s">
        <v>216</v>
      </c>
      <c r="C30" s="355" t="s">
        <v>217</v>
      </c>
      <c r="D30" s="355" t="s">
        <v>219</v>
      </c>
      <c r="E30" s="355" t="s">
        <v>220</v>
      </c>
      <c r="F30" s="358" t="s">
        <v>1179</v>
      </c>
      <c r="G30" s="359" t="s">
        <v>667</v>
      </c>
      <c r="H30" s="360">
        <v>551412</v>
      </c>
      <c r="I30" s="361">
        <v>0</v>
      </c>
      <c r="J30" s="362">
        <v>300000</v>
      </c>
      <c r="K30" s="364">
        <f>(J30)/H30</f>
        <v>0.5440578007007465</v>
      </c>
    </row>
    <row r="31" spans="1:13" ht="106.5" thickTop="1" thickBot="1" x14ac:dyDescent="0.25">
      <c r="B31" s="355" t="s">
        <v>216</v>
      </c>
      <c r="C31" s="355" t="s">
        <v>217</v>
      </c>
      <c r="D31" s="355" t="s">
        <v>219</v>
      </c>
      <c r="E31" s="355" t="s">
        <v>220</v>
      </c>
      <c r="F31" s="353" t="s">
        <v>1371</v>
      </c>
      <c r="G31" s="359" t="s">
        <v>667</v>
      </c>
      <c r="H31" s="360"/>
      <c r="I31" s="361">
        <v>0</v>
      </c>
      <c r="J31" s="362">
        <v>49000</v>
      </c>
      <c r="K31" s="364">
        <v>1</v>
      </c>
    </row>
    <row r="32" spans="1:13" ht="31.5" thickTop="1" thickBot="1" x14ac:dyDescent="0.25">
      <c r="B32" s="352" t="s">
        <v>799</v>
      </c>
      <c r="C32" s="352" t="s">
        <v>800</v>
      </c>
      <c r="D32" s="352" t="s">
        <v>222</v>
      </c>
      <c r="E32" s="352" t="s">
        <v>801</v>
      </c>
      <c r="F32" s="358" t="s">
        <v>578</v>
      </c>
      <c r="G32" s="356"/>
      <c r="H32" s="357"/>
      <c r="I32" s="364"/>
      <c r="J32" s="354">
        <f>37800-160000-33000-176100+40000+(10500+12600+86900-73565+((2000000+3000000+1970000+92450+400000-1970000)+400000+17500+75000+42000+48000+1738790+1007090+291970))</f>
        <v>8857935</v>
      </c>
      <c r="K32" s="364"/>
    </row>
    <row r="33" spans="2:13" ht="61.5" thickTop="1" thickBot="1" x14ac:dyDescent="0.25">
      <c r="B33" s="352" t="s">
        <v>799</v>
      </c>
      <c r="C33" s="352" t="s">
        <v>800</v>
      </c>
      <c r="D33" s="352" t="s">
        <v>222</v>
      </c>
      <c r="E33" s="352" t="s">
        <v>801</v>
      </c>
      <c r="F33" s="937" t="s">
        <v>1460</v>
      </c>
      <c r="G33" s="749" t="s">
        <v>1461</v>
      </c>
      <c r="H33" s="750">
        <v>1601935</v>
      </c>
      <c r="I33" s="364">
        <f>(71240+700000+797539)/H33</f>
        <v>0.97930253100156994</v>
      </c>
      <c r="J33" s="354">
        <v>32821</v>
      </c>
      <c r="K33" s="364">
        <f>(71240+700000+797539+J33)/H33</f>
        <v>0.99979087790703114</v>
      </c>
      <c r="L33" s="938" t="s">
        <v>1462</v>
      </c>
    </row>
    <row r="34" spans="2:13" ht="91.5" thickTop="1" thickBot="1" x14ac:dyDescent="0.25">
      <c r="B34" s="352" t="s">
        <v>799</v>
      </c>
      <c r="C34" s="352" t="s">
        <v>800</v>
      </c>
      <c r="D34" s="352" t="s">
        <v>222</v>
      </c>
      <c r="E34" s="352" t="s">
        <v>801</v>
      </c>
      <c r="F34" s="353" t="s">
        <v>1337</v>
      </c>
      <c r="G34" s="749" t="s">
        <v>594</v>
      </c>
      <c r="H34" s="750">
        <v>483885</v>
      </c>
      <c r="I34" s="364">
        <f>(46883+367140)/H34</f>
        <v>0.85562272027444541</v>
      </c>
      <c r="J34" s="354">
        <v>69862</v>
      </c>
      <c r="K34" s="361">
        <f>(46883+367140+J34)/H34</f>
        <v>1</v>
      </c>
      <c r="L34" s="354">
        <f>(46883+367140)</f>
        <v>414023</v>
      </c>
      <c r="M34" s="618">
        <f>H34-L34</f>
        <v>69862</v>
      </c>
    </row>
    <row r="35" spans="2:13" ht="61.5" thickTop="1" thickBot="1" x14ac:dyDescent="0.25">
      <c r="B35" s="352" t="s">
        <v>799</v>
      </c>
      <c r="C35" s="352" t="s">
        <v>800</v>
      </c>
      <c r="D35" s="352" t="s">
        <v>222</v>
      </c>
      <c r="E35" s="352" t="s">
        <v>801</v>
      </c>
      <c r="F35" s="363" t="s">
        <v>1159</v>
      </c>
      <c r="G35" s="356" t="s">
        <v>667</v>
      </c>
      <c r="H35" s="357"/>
      <c r="I35" s="364">
        <v>0</v>
      </c>
      <c r="J35" s="360">
        <v>200000</v>
      </c>
      <c r="K35" s="364">
        <v>1</v>
      </c>
    </row>
    <row r="36" spans="2:13" ht="61.5" thickTop="1" thickBot="1" x14ac:dyDescent="0.25">
      <c r="B36" s="352" t="s">
        <v>799</v>
      </c>
      <c r="C36" s="352" t="s">
        <v>800</v>
      </c>
      <c r="D36" s="352" t="s">
        <v>222</v>
      </c>
      <c r="E36" s="352" t="s">
        <v>801</v>
      </c>
      <c r="F36" s="363" t="s">
        <v>1167</v>
      </c>
      <c r="G36" s="356" t="s">
        <v>667</v>
      </c>
      <c r="H36" s="357"/>
      <c r="I36" s="364">
        <v>0</v>
      </c>
      <c r="J36" s="360">
        <v>92850.01</v>
      </c>
      <c r="K36" s="364">
        <v>1</v>
      </c>
    </row>
    <row r="37" spans="2:13" ht="166.5" thickTop="1" thickBot="1" x14ac:dyDescent="0.25">
      <c r="B37" s="352" t="s">
        <v>799</v>
      </c>
      <c r="C37" s="352" t="s">
        <v>800</v>
      </c>
      <c r="D37" s="352" t="s">
        <v>222</v>
      </c>
      <c r="E37" s="352" t="s">
        <v>801</v>
      </c>
      <c r="F37" s="363" t="s">
        <v>1267</v>
      </c>
      <c r="G37" s="356" t="s">
        <v>667</v>
      </c>
      <c r="H37" s="357">
        <v>500000</v>
      </c>
      <c r="I37" s="364">
        <v>0</v>
      </c>
      <c r="J37" s="360">
        <v>500000</v>
      </c>
      <c r="K37" s="364">
        <v>1</v>
      </c>
      <c r="L37" s="671" t="s">
        <v>1261</v>
      </c>
    </row>
    <row r="38" spans="2:13" ht="91.5" thickTop="1" thickBot="1" x14ac:dyDescent="0.25">
      <c r="B38" s="352" t="s">
        <v>799</v>
      </c>
      <c r="C38" s="352" t="s">
        <v>800</v>
      </c>
      <c r="D38" s="352" t="s">
        <v>222</v>
      </c>
      <c r="E38" s="352" t="s">
        <v>801</v>
      </c>
      <c r="F38" s="363" t="s">
        <v>1456</v>
      </c>
      <c r="G38" s="359" t="s">
        <v>667</v>
      </c>
      <c r="H38" s="360"/>
      <c r="I38" s="364">
        <v>0</v>
      </c>
      <c r="J38" s="362">
        <v>500000</v>
      </c>
      <c r="K38" s="364">
        <v>1</v>
      </c>
      <c r="L38" s="671"/>
    </row>
    <row r="39" spans="2:13" ht="61.5" thickTop="1" thickBot="1" x14ac:dyDescent="0.25">
      <c r="B39" s="352" t="s">
        <v>799</v>
      </c>
      <c r="C39" s="352" t="s">
        <v>800</v>
      </c>
      <c r="D39" s="352" t="s">
        <v>222</v>
      </c>
      <c r="E39" s="352" t="s">
        <v>801</v>
      </c>
      <c r="F39" s="363" t="s">
        <v>1161</v>
      </c>
      <c r="G39" s="356" t="s">
        <v>667</v>
      </c>
      <c r="H39" s="357"/>
      <c r="I39" s="364">
        <v>0</v>
      </c>
      <c r="J39" s="360">
        <v>220000</v>
      </c>
      <c r="K39" s="364">
        <v>1</v>
      </c>
    </row>
    <row r="40" spans="2:13" ht="61.5" hidden="1" thickTop="1" thickBot="1" x14ac:dyDescent="0.25">
      <c r="B40" s="352" t="s">
        <v>799</v>
      </c>
      <c r="C40" s="352" t="s">
        <v>800</v>
      </c>
      <c r="D40" s="352" t="s">
        <v>222</v>
      </c>
      <c r="E40" s="352" t="s">
        <v>801</v>
      </c>
      <c r="F40" s="363" t="s">
        <v>1162</v>
      </c>
      <c r="G40" s="356" t="s">
        <v>667</v>
      </c>
      <c r="H40" s="357"/>
      <c r="I40" s="364">
        <v>0</v>
      </c>
      <c r="J40" s="360">
        <f>(250000)-250000</f>
        <v>0</v>
      </c>
      <c r="K40" s="364">
        <v>1</v>
      </c>
    </row>
    <row r="41" spans="2:13" ht="61.5" thickTop="1" thickBot="1" x14ac:dyDescent="0.25">
      <c r="B41" s="352" t="s">
        <v>799</v>
      </c>
      <c r="C41" s="352" t="s">
        <v>800</v>
      </c>
      <c r="D41" s="352" t="s">
        <v>222</v>
      </c>
      <c r="E41" s="352" t="s">
        <v>801</v>
      </c>
      <c r="F41" s="363" t="s">
        <v>1192</v>
      </c>
      <c r="G41" s="356" t="s">
        <v>667</v>
      </c>
      <c r="H41" s="357"/>
      <c r="I41" s="364">
        <v>0</v>
      </c>
      <c r="J41" s="360">
        <v>78000</v>
      </c>
      <c r="K41" s="364">
        <v>1</v>
      </c>
    </row>
    <row r="42" spans="2:13" ht="91.5" thickTop="1" thickBot="1" x14ac:dyDescent="0.25">
      <c r="B42" s="352" t="s">
        <v>799</v>
      </c>
      <c r="C42" s="352" t="s">
        <v>800</v>
      </c>
      <c r="D42" s="352" t="s">
        <v>222</v>
      </c>
      <c r="E42" s="352" t="s">
        <v>801</v>
      </c>
      <c r="F42" s="363" t="s">
        <v>1182</v>
      </c>
      <c r="G42" s="356" t="s">
        <v>667</v>
      </c>
      <c r="H42" s="357">
        <v>7201646</v>
      </c>
      <c r="I42" s="364">
        <v>0</v>
      </c>
      <c r="J42" s="360">
        <f>(1000000)+1000000+17667+900000</f>
        <v>2917667</v>
      </c>
      <c r="K42" s="364">
        <f>J42/H42</f>
        <v>0.40513890852174628</v>
      </c>
    </row>
    <row r="43" spans="2:13" ht="121.5" thickTop="1" thickBot="1" x14ac:dyDescent="0.25">
      <c r="B43" s="352" t="s">
        <v>799</v>
      </c>
      <c r="C43" s="352" t="s">
        <v>800</v>
      </c>
      <c r="D43" s="352" t="s">
        <v>222</v>
      </c>
      <c r="E43" s="352" t="s">
        <v>801</v>
      </c>
      <c r="F43" s="363" t="s">
        <v>1184</v>
      </c>
      <c r="G43" s="356" t="s">
        <v>667</v>
      </c>
      <c r="H43" s="357"/>
      <c r="I43" s="364">
        <v>0</v>
      </c>
      <c r="J43" s="360">
        <v>292490.88</v>
      </c>
      <c r="K43" s="364">
        <v>1</v>
      </c>
    </row>
    <row r="44" spans="2:13" ht="61.5" thickTop="1" thickBot="1" x14ac:dyDescent="0.25">
      <c r="B44" s="352" t="s">
        <v>799</v>
      </c>
      <c r="C44" s="352" t="s">
        <v>800</v>
      </c>
      <c r="D44" s="352" t="s">
        <v>222</v>
      </c>
      <c r="E44" s="352" t="s">
        <v>801</v>
      </c>
      <c r="F44" s="363" t="s">
        <v>1163</v>
      </c>
      <c r="G44" s="356" t="s">
        <v>667</v>
      </c>
      <c r="H44" s="357"/>
      <c r="I44" s="364">
        <v>0</v>
      </c>
      <c r="J44" s="360">
        <v>250000</v>
      </c>
      <c r="K44" s="364">
        <v>1</v>
      </c>
    </row>
    <row r="45" spans="2:13" ht="76.5" thickTop="1" thickBot="1" x14ac:dyDescent="0.25">
      <c r="B45" s="352" t="s">
        <v>799</v>
      </c>
      <c r="C45" s="352" t="s">
        <v>800</v>
      </c>
      <c r="D45" s="352" t="s">
        <v>222</v>
      </c>
      <c r="E45" s="352" t="s">
        <v>801</v>
      </c>
      <c r="F45" s="363" t="s">
        <v>1185</v>
      </c>
      <c r="G45" s="359" t="s">
        <v>594</v>
      </c>
      <c r="H45" s="360">
        <f>299957+110000</f>
        <v>409957</v>
      </c>
      <c r="I45" s="361">
        <f>299827.84/H45</f>
        <v>0.73136411867586115</v>
      </c>
      <c r="J45" s="360">
        <v>110000</v>
      </c>
      <c r="K45" s="364">
        <f>(299827.84+J45)/H45</f>
        <v>0.99968494256714735</v>
      </c>
    </row>
    <row r="46" spans="2:13" ht="121.5" thickTop="1" thickBot="1" x14ac:dyDescent="0.25">
      <c r="B46" s="352" t="s">
        <v>799</v>
      </c>
      <c r="C46" s="352" t="s">
        <v>800</v>
      </c>
      <c r="D46" s="352" t="s">
        <v>222</v>
      </c>
      <c r="E46" s="352" t="s">
        <v>801</v>
      </c>
      <c r="F46" s="363" t="s">
        <v>1285</v>
      </c>
      <c r="G46" s="356" t="s">
        <v>667</v>
      </c>
      <c r="H46" s="357">
        <v>1396945</v>
      </c>
      <c r="I46" s="364">
        <v>0</v>
      </c>
      <c r="J46" s="362">
        <f>(50000)+646945</f>
        <v>696945</v>
      </c>
      <c r="K46" s="364">
        <v>1</v>
      </c>
      <c r="L46" s="702" t="s">
        <v>1261</v>
      </c>
    </row>
    <row r="47" spans="2:13" ht="106.5" thickTop="1" thickBot="1" x14ac:dyDescent="0.25">
      <c r="B47" s="352" t="s">
        <v>799</v>
      </c>
      <c r="C47" s="352" t="s">
        <v>800</v>
      </c>
      <c r="D47" s="352" t="s">
        <v>222</v>
      </c>
      <c r="E47" s="352" t="s">
        <v>801</v>
      </c>
      <c r="F47" s="363" t="s">
        <v>703</v>
      </c>
      <c r="G47" s="356" t="s">
        <v>667</v>
      </c>
      <c r="H47" s="357"/>
      <c r="I47" s="364">
        <v>0</v>
      </c>
      <c r="J47" s="362">
        <v>300000</v>
      </c>
      <c r="K47" s="364">
        <v>1</v>
      </c>
    </row>
    <row r="48" spans="2:13" ht="121.5" thickTop="1" thickBot="1" x14ac:dyDescent="0.25">
      <c r="B48" s="352" t="s">
        <v>799</v>
      </c>
      <c r="C48" s="352" t="s">
        <v>800</v>
      </c>
      <c r="D48" s="352" t="s">
        <v>222</v>
      </c>
      <c r="E48" s="352" t="s">
        <v>801</v>
      </c>
      <c r="F48" s="363" t="s">
        <v>1262</v>
      </c>
      <c r="G48" s="356" t="s">
        <v>667</v>
      </c>
      <c r="H48" s="357">
        <v>2288771</v>
      </c>
      <c r="I48" s="364">
        <v>0</v>
      </c>
      <c r="J48" s="362">
        <f>((750000)+1436788)+81373</f>
        <v>2268161</v>
      </c>
      <c r="K48" s="364">
        <v>1</v>
      </c>
      <c r="L48" s="667" t="s">
        <v>1261</v>
      </c>
    </row>
    <row r="49" spans="2:13" ht="91.5" thickTop="1" thickBot="1" x14ac:dyDescent="0.25">
      <c r="B49" s="352" t="s">
        <v>799</v>
      </c>
      <c r="C49" s="352" t="s">
        <v>800</v>
      </c>
      <c r="D49" s="352" t="s">
        <v>222</v>
      </c>
      <c r="E49" s="352" t="s">
        <v>801</v>
      </c>
      <c r="F49" s="363" t="s">
        <v>1265</v>
      </c>
      <c r="G49" s="356" t="s">
        <v>531</v>
      </c>
      <c r="H49" s="357">
        <v>2263021</v>
      </c>
      <c r="I49" s="364">
        <f>(50000/H49)</f>
        <v>2.2094359707665108E-2</v>
      </c>
      <c r="J49" s="362">
        <f>(500000)+830000</f>
        <v>1330000</v>
      </c>
      <c r="K49" s="364">
        <f>(J49+50000)/H49*100%</f>
        <v>0.60980432793155692</v>
      </c>
      <c r="L49" s="670" t="s">
        <v>1261</v>
      </c>
    </row>
    <row r="50" spans="2:13" ht="136.5" thickTop="1" thickBot="1" x14ac:dyDescent="0.25">
      <c r="B50" s="352" t="s">
        <v>799</v>
      </c>
      <c r="C50" s="352" t="s">
        <v>800</v>
      </c>
      <c r="D50" s="352" t="s">
        <v>222</v>
      </c>
      <c r="E50" s="352" t="s">
        <v>801</v>
      </c>
      <c r="F50" s="363" t="s">
        <v>1266</v>
      </c>
      <c r="G50" s="359" t="s">
        <v>667</v>
      </c>
      <c r="H50" s="360">
        <v>1574587</v>
      </c>
      <c r="I50" s="361">
        <v>0</v>
      </c>
      <c r="J50" s="362">
        <f>(750000)+809383</f>
        <v>1559383</v>
      </c>
      <c r="K50" s="364">
        <v>1</v>
      </c>
      <c r="L50" s="670" t="s">
        <v>1261</v>
      </c>
    </row>
    <row r="51" spans="2:13" ht="91.5" thickTop="1" thickBot="1" x14ac:dyDescent="0.25">
      <c r="B51" s="352" t="s">
        <v>799</v>
      </c>
      <c r="C51" s="352" t="s">
        <v>800</v>
      </c>
      <c r="D51" s="352" t="s">
        <v>222</v>
      </c>
      <c r="E51" s="352" t="s">
        <v>801</v>
      </c>
      <c r="F51" s="363" t="s">
        <v>1160</v>
      </c>
      <c r="G51" s="356" t="s">
        <v>667</v>
      </c>
      <c r="H51" s="357"/>
      <c r="I51" s="364">
        <v>0</v>
      </c>
      <c r="J51" s="362">
        <v>49000</v>
      </c>
      <c r="K51" s="364">
        <v>1</v>
      </c>
    </row>
    <row r="52" spans="2:13" ht="151.5" thickTop="1" thickBot="1" x14ac:dyDescent="0.25">
      <c r="B52" s="352" t="s">
        <v>799</v>
      </c>
      <c r="C52" s="352" t="s">
        <v>800</v>
      </c>
      <c r="D52" s="352" t="s">
        <v>222</v>
      </c>
      <c r="E52" s="352" t="s">
        <v>801</v>
      </c>
      <c r="F52" s="937" t="s">
        <v>1472</v>
      </c>
      <c r="G52" s="356" t="s">
        <v>1473</v>
      </c>
      <c r="H52" s="750">
        <v>1500000</v>
      </c>
      <c r="I52" s="364">
        <f>((((700000)+800000)-400000)-36062.01-367069)/H52</f>
        <v>0.46457932666666668</v>
      </c>
      <c r="J52" s="354">
        <v>343190</v>
      </c>
      <c r="K52" s="364">
        <v>1</v>
      </c>
    </row>
    <row r="53" spans="2:13" ht="106.5" thickTop="1" thickBot="1" x14ac:dyDescent="0.25">
      <c r="B53" s="352" t="s">
        <v>799</v>
      </c>
      <c r="C53" s="352" t="s">
        <v>800</v>
      </c>
      <c r="D53" s="352" t="s">
        <v>222</v>
      </c>
      <c r="E53" s="352" t="s">
        <v>801</v>
      </c>
      <c r="F53" s="363" t="s">
        <v>1269</v>
      </c>
      <c r="G53" s="356" t="s">
        <v>531</v>
      </c>
      <c r="H53" s="357">
        <v>1489695</v>
      </c>
      <c r="I53" s="364">
        <f>(940877/H53)</f>
        <v>0.63159035910035277</v>
      </c>
      <c r="J53" s="362">
        <v>548818</v>
      </c>
      <c r="K53" s="364">
        <f>(J53+940877)/H53</f>
        <v>1</v>
      </c>
      <c r="L53" s="668" t="s">
        <v>1261</v>
      </c>
      <c r="M53" s="620"/>
    </row>
    <row r="54" spans="2:13" ht="136.5" thickTop="1" thickBot="1" x14ac:dyDescent="0.25">
      <c r="B54" s="352" t="s">
        <v>799</v>
      </c>
      <c r="C54" s="352" t="s">
        <v>800</v>
      </c>
      <c r="D54" s="352" t="s">
        <v>222</v>
      </c>
      <c r="E54" s="352" t="s">
        <v>801</v>
      </c>
      <c r="F54" s="363" t="s">
        <v>1164</v>
      </c>
      <c r="G54" s="356" t="s">
        <v>667</v>
      </c>
      <c r="H54" s="357"/>
      <c r="I54" s="364">
        <v>0</v>
      </c>
      <c r="J54" s="362">
        <f>(49000)+13800</f>
        <v>62800</v>
      </c>
      <c r="K54" s="364">
        <v>1</v>
      </c>
      <c r="L54" s="619"/>
      <c r="M54" s="620"/>
    </row>
    <row r="55" spans="2:13" ht="151.5" thickTop="1" thickBot="1" x14ac:dyDescent="0.25">
      <c r="B55" s="352" t="s">
        <v>799</v>
      </c>
      <c r="C55" s="352" t="s">
        <v>800</v>
      </c>
      <c r="D55" s="352" t="s">
        <v>222</v>
      </c>
      <c r="E55" s="352" t="s">
        <v>801</v>
      </c>
      <c r="F55" s="363" t="s">
        <v>1284</v>
      </c>
      <c r="G55" s="356" t="s">
        <v>667</v>
      </c>
      <c r="H55" s="357">
        <v>1957290</v>
      </c>
      <c r="I55" s="364">
        <v>0</v>
      </c>
      <c r="J55" s="362">
        <f>(50000)+1207290</f>
        <v>1257290</v>
      </c>
      <c r="K55" s="364">
        <v>1</v>
      </c>
      <c r="L55" s="669" t="s">
        <v>1261</v>
      </c>
      <c r="M55" s="620"/>
    </row>
    <row r="56" spans="2:13" ht="136.5" thickTop="1" thickBot="1" x14ac:dyDescent="0.25">
      <c r="B56" s="352" t="s">
        <v>799</v>
      </c>
      <c r="C56" s="352" t="s">
        <v>800</v>
      </c>
      <c r="D56" s="352" t="s">
        <v>222</v>
      </c>
      <c r="E56" s="352" t="s">
        <v>801</v>
      </c>
      <c r="F56" s="363" t="s">
        <v>1165</v>
      </c>
      <c r="G56" s="356" t="s">
        <v>667</v>
      </c>
      <c r="H56" s="357"/>
      <c r="I56" s="364">
        <v>0</v>
      </c>
      <c r="J56" s="362">
        <v>49000</v>
      </c>
      <c r="K56" s="364">
        <v>1</v>
      </c>
      <c r="L56" s="619"/>
      <c r="M56" s="620"/>
    </row>
    <row r="57" spans="2:13" ht="91.5" thickTop="1" thickBot="1" x14ac:dyDescent="0.25">
      <c r="B57" s="352" t="s">
        <v>799</v>
      </c>
      <c r="C57" s="352" t="s">
        <v>800</v>
      </c>
      <c r="D57" s="352" t="s">
        <v>222</v>
      </c>
      <c r="E57" s="352" t="s">
        <v>801</v>
      </c>
      <c r="F57" s="363" t="s">
        <v>1263</v>
      </c>
      <c r="G57" s="359" t="s">
        <v>531</v>
      </c>
      <c r="H57" s="360">
        <v>1498929</v>
      </c>
      <c r="I57" s="364">
        <f>(59000/H57)</f>
        <v>3.9361437399636677E-2</v>
      </c>
      <c r="J57" s="362">
        <v>750000</v>
      </c>
      <c r="K57" s="364">
        <f>(J57+59000+690360)/H57</f>
        <v>1.0002875386359193</v>
      </c>
      <c r="L57" s="669" t="s">
        <v>1261</v>
      </c>
      <c r="M57" s="620"/>
    </row>
    <row r="58" spans="2:13" ht="76.5" thickTop="1" thickBot="1" x14ac:dyDescent="0.25">
      <c r="B58" s="352" t="s">
        <v>799</v>
      </c>
      <c r="C58" s="352" t="s">
        <v>800</v>
      </c>
      <c r="D58" s="352" t="s">
        <v>222</v>
      </c>
      <c r="E58" s="352" t="s">
        <v>801</v>
      </c>
      <c r="F58" s="363" t="s">
        <v>1166</v>
      </c>
      <c r="G58" s="356" t="s">
        <v>594</v>
      </c>
      <c r="H58" s="357">
        <v>3245342</v>
      </c>
      <c r="I58" s="364">
        <f>(1950923.21/H58)</f>
        <v>0.60114564505066026</v>
      </c>
      <c r="J58" s="362">
        <v>1261682</v>
      </c>
      <c r="K58" s="364">
        <v>1</v>
      </c>
      <c r="L58" s="619"/>
      <c r="M58" s="620"/>
    </row>
    <row r="59" spans="2:13" ht="121.5" hidden="1" thickTop="1" thickBot="1" x14ac:dyDescent="0.25">
      <c r="B59" s="352" t="s">
        <v>799</v>
      </c>
      <c r="C59" s="352" t="s">
        <v>800</v>
      </c>
      <c r="D59" s="352" t="s">
        <v>222</v>
      </c>
      <c r="E59" s="352" t="s">
        <v>801</v>
      </c>
      <c r="F59" s="936" t="s">
        <v>1359</v>
      </c>
      <c r="G59" s="356" t="s">
        <v>667</v>
      </c>
      <c r="H59" s="357">
        <v>93500</v>
      </c>
      <c r="I59" s="364">
        <v>0</v>
      </c>
      <c r="J59" s="362">
        <f>(93500)-93500</f>
        <v>0</v>
      </c>
      <c r="K59" s="364">
        <v>1</v>
      </c>
      <c r="L59" s="619"/>
      <c r="M59" s="620"/>
    </row>
    <row r="60" spans="2:13" ht="136.5" thickTop="1" thickBot="1" x14ac:dyDescent="0.25">
      <c r="B60" s="352" t="s">
        <v>799</v>
      </c>
      <c r="C60" s="352" t="s">
        <v>800</v>
      </c>
      <c r="D60" s="352" t="s">
        <v>222</v>
      </c>
      <c r="E60" s="352" t="s">
        <v>801</v>
      </c>
      <c r="F60" s="363" t="s">
        <v>1334</v>
      </c>
      <c r="G60" s="356" t="s">
        <v>667</v>
      </c>
      <c r="H60" s="357">
        <v>87000</v>
      </c>
      <c r="I60" s="364">
        <v>0</v>
      </c>
      <c r="J60" s="362">
        <v>87000</v>
      </c>
      <c r="K60" s="364">
        <v>1</v>
      </c>
      <c r="L60" s="619"/>
      <c r="M60" s="620"/>
    </row>
    <row r="61" spans="2:13" ht="121.5" thickTop="1" thickBot="1" x14ac:dyDescent="0.25">
      <c r="B61" s="352" t="s">
        <v>799</v>
      </c>
      <c r="C61" s="352" t="s">
        <v>800</v>
      </c>
      <c r="D61" s="352" t="s">
        <v>222</v>
      </c>
      <c r="E61" s="352" t="s">
        <v>801</v>
      </c>
      <c r="F61" s="363" t="s">
        <v>1335</v>
      </c>
      <c r="G61" s="356" t="s">
        <v>667</v>
      </c>
      <c r="H61" s="357">
        <v>43500</v>
      </c>
      <c r="I61" s="364">
        <v>0</v>
      </c>
      <c r="J61" s="362">
        <v>43500</v>
      </c>
      <c r="K61" s="364">
        <v>1</v>
      </c>
      <c r="L61" s="619"/>
      <c r="M61" s="620"/>
    </row>
    <row r="62" spans="2:13" ht="121.5" thickTop="1" thickBot="1" x14ac:dyDescent="0.25">
      <c r="B62" s="352" t="s">
        <v>799</v>
      </c>
      <c r="C62" s="352" t="s">
        <v>800</v>
      </c>
      <c r="D62" s="352" t="s">
        <v>222</v>
      </c>
      <c r="E62" s="352" t="s">
        <v>801</v>
      </c>
      <c r="F62" s="363" t="s">
        <v>1336</v>
      </c>
      <c r="G62" s="356" t="s">
        <v>667</v>
      </c>
      <c r="H62" s="357">
        <v>143500</v>
      </c>
      <c r="I62" s="364">
        <v>0</v>
      </c>
      <c r="J62" s="362">
        <v>143500</v>
      </c>
      <c r="K62" s="364">
        <v>1</v>
      </c>
      <c r="L62" s="619"/>
      <c r="M62" s="620"/>
    </row>
    <row r="63" spans="2:13" ht="76.5" thickTop="1" thickBot="1" x14ac:dyDescent="0.25">
      <c r="B63" s="352" t="s">
        <v>809</v>
      </c>
      <c r="C63" s="352" t="s">
        <v>810</v>
      </c>
      <c r="D63" s="352" t="s">
        <v>225</v>
      </c>
      <c r="E63" s="352" t="s">
        <v>543</v>
      </c>
      <c r="F63" s="358" t="s">
        <v>578</v>
      </c>
      <c r="G63" s="356"/>
      <c r="H63" s="357"/>
      <c r="I63" s="357"/>
      <c r="J63" s="354">
        <f>-29400+(-54288+((100000+120000+38430+59425+30000-30000)+16386))</f>
        <v>250553</v>
      </c>
      <c r="K63" s="354"/>
    </row>
    <row r="64" spans="2:13" ht="76.5" thickTop="1" thickBot="1" x14ac:dyDescent="0.25">
      <c r="B64" s="352" t="s">
        <v>809</v>
      </c>
      <c r="C64" s="352" t="s">
        <v>810</v>
      </c>
      <c r="D64" s="352" t="s">
        <v>225</v>
      </c>
      <c r="E64" s="352" t="s">
        <v>543</v>
      </c>
      <c r="F64" s="363" t="s">
        <v>1168</v>
      </c>
      <c r="G64" s="359" t="s">
        <v>667</v>
      </c>
      <c r="H64" s="360"/>
      <c r="I64" s="361">
        <v>0</v>
      </c>
      <c r="J64" s="354">
        <f>(300000)+314900</f>
        <v>614900</v>
      </c>
      <c r="K64" s="354">
        <v>100</v>
      </c>
    </row>
    <row r="65" spans="2:13" ht="61.5" thickTop="1" thickBot="1" x14ac:dyDescent="0.25">
      <c r="B65" s="352" t="s">
        <v>1170</v>
      </c>
      <c r="C65" s="352" t="s">
        <v>1171</v>
      </c>
      <c r="D65" s="352" t="s">
        <v>222</v>
      </c>
      <c r="E65" s="352" t="s">
        <v>1174</v>
      </c>
      <c r="F65" s="363" t="s">
        <v>1167</v>
      </c>
      <c r="G65" s="356" t="s">
        <v>667</v>
      </c>
      <c r="H65" s="357"/>
      <c r="I65" s="364">
        <v>0</v>
      </c>
      <c r="J65" s="360">
        <v>107149.99</v>
      </c>
      <c r="K65" s="364">
        <v>1</v>
      </c>
    </row>
    <row r="66" spans="2:13" ht="166.5" thickTop="1" thickBot="1" x14ac:dyDescent="0.25">
      <c r="B66" s="352" t="s">
        <v>1170</v>
      </c>
      <c r="C66" s="352" t="s">
        <v>1171</v>
      </c>
      <c r="D66" s="352" t="s">
        <v>222</v>
      </c>
      <c r="E66" s="352" t="s">
        <v>1174</v>
      </c>
      <c r="F66" s="363" t="s">
        <v>1268</v>
      </c>
      <c r="G66" s="356" t="s">
        <v>667</v>
      </c>
      <c r="H66" s="357">
        <v>500000</v>
      </c>
      <c r="I66" s="364">
        <v>0</v>
      </c>
      <c r="J66" s="360">
        <v>500000</v>
      </c>
      <c r="K66" s="364">
        <v>1</v>
      </c>
      <c r="L66" s="671" t="s">
        <v>1261</v>
      </c>
    </row>
    <row r="67" spans="2:13" ht="91.5" thickTop="1" thickBot="1" x14ac:dyDescent="0.25">
      <c r="B67" s="352" t="s">
        <v>1170</v>
      </c>
      <c r="C67" s="352" t="s">
        <v>1171</v>
      </c>
      <c r="D67" s="352" t="s">
        <v>222</v>
      </c>
      <c r="E67" s="352" t="s">
        <v>1174</v>
      </c>
      <c r="F67" s="363" t="s">
        <v>1182</v>
      </c>
      <c r="G67" s="356" t="s">
        <v>667</v>
      </c>
      <c r="H67" s="357"/>
      <c r="I67" s="364">
        <v>0</v>
      </c>
      <c r="J67" s="360">
        <v>2000000</v>
      </c>
      <c r="K67" s="364">
        <v>1</v>
      </c>
      <c r="L67" s="619"/>
    </row>
    <row r="68" spans="2:13" ht="76.5" thickTop="1" thickBot="1" x14ac:dyDescent="0.25">
      <c r="B68" s="352" t="s">
        <v>1170</v>
      </c>
      <c r="C68" s="352" t="s">
        <v>1171</v>
      </c>
      <c r="D68" s="352" t="s">
        <v>222</v>
      </c>
      <c r="E68" s="352" t="s">
        <v>1174</v>
      </c>
      <c r="F68" s="363" t="s">
        <v>1176</v>
      </c>
      <c r="G68" s="356" t="s">
        <v>667</v>
      </c>
      <c r="H68" s="357"/>
      <c r="I68" s="364">
        <v>0</v>
      </c>
      <c r="J68" s="360">
        <v>400000</v>
      </c>
      <c r="K68" s="364">
        <v>1</v>
      </c>
      <c r="L68" s="619"/>
    </row>
    <row r="69" spans="2:13" ht="121.5" thickTop="1" thickBot="1" x14ac:dyDescent="0.25">
      <c r="B69" s="352" t="s">
        <v>1170</v>
      </c>
      <c r="C69" s="352" t="s">
        <v>1171</v>
      </c>
      <c r="D69" s="352" t="s">
        <v>222</v>
      </c>
      <c r="E69" s="352" t="s">
        <v>1174</v>
      </c>
      <c r="F69" s="363" t="s">
        <v>1283</v>
      </c>
      <c r="G69" s="356" t="s">
        <v>667</v>
      </c>
      <c r="H69" s="357">
        <v>1396945</v>
      </c>
      <c r="I69" s="364">
        <v>0</v>
      </c>
      <c r="J69" s="362">
        <v>700000</v>
      </c>
      <c r="K69" s="364">
        <v>1</v>
      </c>
      <c r="L69" s="702" t="s">
        <v>1261</v>
      </c>
    </row>
    <row r="70" spans="2:13" ht="61.5" thickTop="1" thickBot="1" x14ac:dyDescent="0.25">
      <c r="B70" s="352" t="s">
        <v>1170</v>
      </c>
      <c r="C70" s="352" t="s">
        <v>1171</v>
      </c>
      <c r="D70" s="352" t="s">
        <v>222</v>
      </c>
      <c r="E70" s="352" t="s">
        <v>1174</v>
      </c>
      <c r="F70" s="363" t="s">
        <v>1177</v>
      </c>
      <c r="G70" s="356" t="s">
        <v>667</v>
      </c>
      <c r="H70" s="357"/>
      <c r="I70" s="364">
        <v>0</v>
      </c>
      <c r="J70" s="360">
        <v>400000</v>
      </c>
      <c r="K70" s="364">
        <v>1</v>
      </c>
      <c r="L70" s="619"/>
    </row>
    <row r="71" spans="2:13" ht="121.5" thickTop="1" thickBot="1" x14ac:dyDescent="0.25">
      <c r="B71" s="352" t="s">
        <v>1170</v>
      </c>
      <c r="C71" s="352" t="s">
        <v>1171</v>
      </c>
      <c r="D71" s="352" t="s">
        <v>222</v>
      </c>
      <c r="E71" s="352" t="s">
        <v>1174</v>
      </c>
      <c r="F71" s="363" t="s">
        <v>1175</v>
      </c>
      <c r="G71" s="356" t="s">
        <v>667</v>
      </c>
      <c r="H71" s="357"/>
      <c r="I71" s="364">
        <v>0</v>
      </c>
      <c r="J71" s="360">
        <v>700000</v>
      </c>
      <c r="K71" s="364">
        <v>1</v>
      </c>
    </row>
    <row r="72" spans="2:13" ht="151.5" thickTop="1" thickBot="1" x14ac:dyDescent="0.25">
      <c r="B72" s="352" t="s">
        <v>1170</v>
      </c>
      <c r="C72" s="352" t="s">
        <v>1171</v>
      </c>
      <c r="D72" s="352" t="s">
        <v>222</v>
      </c>
      <c r="E72" s="352" t="s">
        <v>1174</v>
      </c>
      <c r="F72" s="363" t="s">
        <v>1284</v>
      </c>
      <c r="G72" s="356" t="s">
        <v>667</v>
      </c>
      <c r="H72" s="357">
        <v>1957290</v>
      </c>
      <c r="I72" s="364">
        <v>0</v>
      </c>
      <c r="J72" s="362">
        <v>700000</v>
      </c>
      <c r="K72" s="364">
        <v>1</v>
      </c>
      <c r="L72" s="669" t="s">
        <v>1261</v>
      </c>
    </row>
    <row r="73" spans="2:13" ht="91.5" thickTop="1" thickBot="1" x14ac:dyDescent="0.25">
      <c r="B73" s="352" t="s">
        <v>1170</v>
      </c>
      <c r="C73" s="352" t="s">
        <v>1171</v>
      </c>
      <c r="D73" s="352" t="s">
        <v>222</v>
      </c>
      <c r="E73" s="352" t="s">
        <v>1174</v>
      </c>
      <c r="F73" s="363" t="s">
        <v>1263</v>
      </c>
      <c r="G73" s="359" t="s">
        <v>531</v>
      </c>
      <c r="H73" s="360">
        <v>1498929</v>
      </c>
      <c r="I73" s="361">
        <f>(59000/H73)</f>
        <v>3.9361437399636677E-2</v>
      </c>
      <c r="J73" s="362">
        <v>690360</v>
      </c>
      <c r="K73" s="364">
        <f>(J73+59000+750000)/H73</f>
        <v>1.0002875386359193</v>
      </c>
      <c r="L73" s="669" t="s">
        <v>1261</v>
      </c>
    </row>
    <row r="74" spans="2:13" ht="46.5" thickTop="1" thickBot="1" x14ac:dyDescent="0.25">
      <c r="B74" s="352" t="s">
        <v>820</v>
      </c>
      <c r="C74" s="352" t="s">
        <v>224</v>
      </c>
      <c r="D74" s="352" t="s">
        <v>199</v>
      </c>
      <c r="E74" s="352" t="s">
        <v>545</v>
      </c>
      <c r="F74" s="358" t="s">
        <v>578</v>
      </c>
      <c r="G74" s="356"/>
      <c r="H74" s="357"/>
      <c r="I74" s="364"/>
      <c r="J74" s="362">
        <f>-87345+((177100)+31000)</f>
        <v>120755</v>
      </c>
      <c r="K74" s="364"/>
      <c r="L74" s="618"/>
    </row>
    <row r="75" spans="2:13" ht="76.5" thickTop="1" thickBot="1" x14ac:dyDescent="0.25">
      <c r="B75" s="352" t="s">
        <v>820</v>
      </c>
      <c r="C75" s="352" t="s">
        <v>224</v>
      </c>
      <c r="D75" s="352" t="s">
        <v>199</v>
      </c>
      <c r="E75" s="352" t="s">
        <v>545</v>
      </c>
      <c r="F75" s="358" t="s">
        <v>1260</v>
      </c>
      <c r="G75" s="356" t="s">
        <v>581</v>
      </c>
      <c r="H75" s="360">
        <v>20652516.420000002</v>
      </c>
      <c r="I75" s="364">
        <f>(10870900.41+3614326)/H75</f>
        <v>0.70137827833766708</v>
      </c>
      <c r="J75" s="354">
        <f>-1000000+(((761045)+2000000)-352450)</f>
        <v>1408595</v>
      </c>
      <c r="K75" s="364">
        <f>(10870900.41+3614326+J75)/H75</f>
        <v>0.76958279982812861</v>
      </c>
      <c r="L75" s="669" t="s">
        <v>1261</v>
      </c>
    </row>
    <row r="76" spans="2:13" ht="196.5" thickTop="1" thickBot="1" x14ac:dyDescent="0.25">
      <c r="B76" s="352" t="s">
        <v>821</v>
      </c>
      <c r="C76" s="352" t="s">
        <v>822</v>
      </c>
      <c r="D76" s="352" t="s">
        <v>227</v>
      </c>
      <c r="E76" s="352" t="s">
        <v>823</v>
      </c>
      <c r="F76" s="353" t="s">
        <v>1372</v>
      </c>
      <c r="G76" s="356" t="s">
        <v>667</v>
      </c>
      <c r="H76" s="357">
        <v>709101</v>
      </c>
      <c r="I76" s="364">
        <v>0</v>
      </c>
      <c r="J76" s="354">
        <f>((15000)+300000)+20000</f>
        <v>335000</v>
      </c>
      <c r="K76" s="364">
        <f>J76/H76</f>
        <v>0.4724291744053386</v>
      </c>
    </row>
    <row r="77" spans="2:13" ht="166.5" thickTop="1" thickBot="1" x14ac:dyDescent="0.25">
      <c r="B77" s="352" t="s">
        <v>821</v>
      </c>
      <c r="C77" s="352" t="s">
        <v>822</v>
      </c>
      <c r="D77" s="352" t="s">
        <v>227</v>
      </c>
      <c r="E77" s="352" t="s">
        <v>823</v>
      </c>
      <c r="F77" s="358" t="s">
        <v>1155</v>
      </c>
      <c r="G77" s="356" t="s">
        <v>667</v>
      </c>
      <c r="H77" s="357">
        <v>1170637</v>
      </c>
      <c r="I77" s="364">
        <v>0</v>
      </c>
      <c r="J77" s="354">
        <v>1170637</v>
      </c>
      <c r="K77" s="364">
        <f>J77/H77</f>
        <v>1</v>
      </c>
    </row>
    <row r="78" spans="2:13" ht="76.5" thickTop="1" thickBot="1" x14ac:dyDescent="0.25">
      <c r="B78" s="352" t="s">
        <v>821</v>
      </c>
      <c r="C78" s="352" t="s">
        <v>822</v>
      </c>
      <c r="D78" s="352" t="s">
        <v>227</v>
      </c>
      <c r="E78" s="352" t="s">
        <v>823</v>
      </c>
      <c r="F78" s="358" t="s">
        <v>1156</v>
      </c>
      <c r="G78" s="356" t="s">
        <v>587</v>
      </c>
      <c r="H78" s="357">
        <v>4786834</v>
      </c>
      <c r="I78" s="364">
        <f>(199700+1000000+2898451.2)/H78</f>
        <v>0.85612979267716416</v>
      </c>
      <c r="J78" s="354">
        <v>542580</v>
      </c>
      <c r="K78" s="364">
        <v>1</v>
      </c>
      <c r="L78" s="354"/>
      <c r="M78" s="618"/>
    </row>
    <row r="79" spans="2:13" ht="46.5" thickTop="1" thickBot="1" x14ac:dyDescent="0.25">
      <c r="B79" s="352" t="s">
        <v>836</v>
      </c>
      <c r="C79" s="352" t="s">
        <v>837</v>
      </c>
      <c r="D79" s="352" t="s">
        <v>228</v>
      </c>
      <c r="E79" s="352" t="s">
        <v>838</v>
      </c>
      <c r="F79" s="358" t="s">
        <v>578</v>
      </c>
      <c r="G79" s="356"/>
      <c r="H79" s="357"/>
      <c r="I79" s="364"/>
      <c r="J79" s="354">
        <v>50000</v>
      </c>
      <c r="K79" s="364"/>
      <c r="L79" s="608"/>
      <c r="M79" s="618"/>
    </row>
    <row r="80" spans="2:13" ht="46.5" thickTop="1" thickBot="1" x14ac:dyDescent="0.25">
      <c r="B80" s="352" t="s">
        <v>806</v>
      </c>
      <c r="C80" s="352" t="s">
        <v>807</v>
      </c>
      <c r="D80" s="352" t="s">
        <v>228</v>
      </c>
      <c r="E80" s="352" t="s">
        <v>808</v>
      </c>
      <c r="F80" s="358" t="s">
        <v>578</v>
      </c>
      <c r="G80" s="356"/>
      <c r="H80" s="357"/>
      <c r="I80" s="364"/>
      <c r="J80" s="354">
        <v>50000</v>
      </c>
      <c r="K80" s="364"/>
      <c r="L80" s="608"/>
      <c r="M80" s="618"/>
    </row>
    <row r="81" spans="2:11" ht="91.5" customHeight="1" thickTop="1" thickBot="1" x14ac:dyDescent="0.25">
      <c r="B81" s="352" t="s">
        <v>814</v>
      </c>
      <c r="C81" s="352" t="s">
        <v>815</v>
      </c>
      <c r="D81" s="352" t="s">
        <v>228</v>
      </c>
      <c r="E81" s="352" t="s">
        <v>816</v>
      </c>
      <c r="F81" s="358" t="s">
        <v>578</v>
      </c>
      <c r="G81" s="359"/>
      <c r="H81" s="360"/>
      <c r="I81" s="360"/>
      <c r="J81" s="362">
        <f>'d3'!K66</f>
        <v>2117071</v>
      </c>
      <c r="K81" s="362"/>
    </row>
    <row r="82" spans="2:11" ht="91.5" customHeight="1" thickTop="1" thickBot="1" x14ac:dyDescent="0.25">
      <c r="B82" s="352" t="s">
        <v>1291</v>
      </c>
      <c r="C82" s="352" t="s">
        <v>1292</v>
      </c>
      <c r="D82" s="352" t="s">
        <v>228</v>
      </c>
      <c r="E82" s="352" t="s">
        <v>1293</v>
      </c>
      <c r="F82" s="358" t="s">
        <v>578</v>
      </c>
      <c r="G82" s="359"/>
      <c r="H82" s="360"/>
      <c r="I82" s="360"/>
      <c r="J82" s="362">
        <v>1383129</v>
      </c>
      <c r="K82" s="362"/>
    </row>
    <row r="83" spans="2:11" ht="117" hidden="1" customHeight="1" thickTop="1" thickBot="1" x14ac:dyDescent="0.25">
      <c r="B83" s="352" t="s">
        <v>1322</v>
      </c>
      <c r="C83" s="352" t="s">
        <v>1324</v>
      </c>
      <c r="D83" s="352" t="s">
        <v>228</v>
      </c>
      <c r="E83" s="352" t="s">
        <v>1326</v>
      </c>
      <c r="F83" s="358" t="s">
        <v>578</v>
      </c>
      <c r="G83" s="359"/>
      <c r="H83" s="360"/>
      <c r="I83" s="360"/>
      <c r="J83" s="362">
        <f>4547046.18-4547046.18</f>
        <v>0</v>
      </c>
      <c r="K83" s="362"/>
    </row>
    <row r="84" spans="2:11" ht="72.75" hidden="1" customHeight="1" thickTop="1" x14ac:dyDescent="0.2">
      <c r="B84" s="1129" t="s">
        <v>1350</v>
      </c>
      <c r="C84" s="1129" t="s">
        <v>1351</v>
      </c>
      <c r="D84" s="1129" t="s">
        <v>228</v>
      </c>
      <c r="E84" s="1129" t="s">
        <v>1352</v>
      </c>
      <c r="F84" s="1140" t="s">
        <v>578</v>
      </c>
      <c r="G84" s="1135"/>
      <c r="H84" s="1135"/>
      <c r="I84" s="1135"/>
      <c r="J84" s="1135">
        <f>10623233.82-10623233.82</f>
        <v>0</v>
      </c>
      <c r="K84" s="1135"/>
    </row>
    <row r="85" spans="2:11" ht="58.5" hidden="1" customHeight="1" thickBot="1" x14ac:dyDescent="0.25">
      <c r="B85" s="1122"/>
      <c r="C85" s="1122"/>
      <c r="D85" s="1122"/>
      <c r="E85" s="1122"/>
      <c r="F85" s="1026"/>
      <c r="G85" s="1126"/>
      <c r="H85" s="1126"/>
      <c r="I85" s="1126"/>
      <c r="J85" s="1126"/>
      <c r="K85" s="1126"/>
    </row>
    <row r="86" spans="2:11" ht="76.5" thickTop="1" thickBot="1" x14ac:dyDescent="0.25">
      <c r="B86" s="352" t="s">
        <v>803</v>
      </c>
      <c r="C86" s="352" t="s">
        <v>804</v>
      </c>
      <c r="D86" s="352" t="s">
        <v>228</v>
      </c>
      <c r="E86" s="352" t="s">
        <v>805</v>
      </c>
      <c r="F86" s="358" t="s">
        <v>578</v>
      </c>
      <c r="G86" s="356"/>
      <c r="H86" s="357"/>
      <c r="I86" s="357"/>
      <c r="J86" s="354">
        <f>2396198</f>
        <v>2396198</v>
      </c>
      <c r="K86" s="354"/>
    </row>
    <row r="87" spans="2:11" ht="76.5" thickTop="1" thickBot="1" x14ac:dyDescent="0.25">
      <c r="B87" s="352" t="s">
        <v>1213</v>
      </c>
      <c r="C87" s="352" t="s">
        <v>1214</v>
      </c>
      <c r="D87" s="352" t="s">
        <v>228</v>
      </c>
      <c r="E87" s="352" t="s">
        <v>1215</v>
      </c>
      <c r="F87" s="358" t="s">
        <v>578</v>
      </c>
      <c r="G87" s="356"/>
      <c r="H87" s="357"/>
      <c r="I87" s="357"/>
      <c r="J87" s="354">
        <f>(576190)+172700</f>
        <v>748890</v>
      </c>
      <c r="K87" s="354"/>
    </row>
    <row r="88" spans="2:11" ht="91.5" thickTop="1" thickBot="1" x14ac:dyDescent="0.25">
      <c r="B88" s="352" t="s">
        <v>1328</v>
      </c>
      <c r="C88" s="352" t="s">
        <v>1330</v>
      </c>
      <c r="D88" s="352" t="s">
        <v>228</v>
      </c>
      <c r="E88" s="352" t="s">
        <v>1332</v>
      </c>
      <c r="F88" s="358" t="s">
        <v>578</v>
      </c>
      <c r="G88" s="356"/>
      <c r="H88" s="357"/>
      <c r="I88" s="357"/>
      <c r="J88" s="354">
        <v>100000</v>
      </c>
      <c r="K88" s="354"/>
    </row>
    <row r="89" spans="2:11" ht="91.5" thickTop="1" thickBot="1" x14ac:dyDescent="0.25">
      <c r="B89" s="352" t="s">
        <v>1328</v>
      </c>
      <c r="C89" s="352" t="s">
        <v>1330</v>
      </c>
      <c r="D89" s="352" t="s">
        <v>228</v>
      </c>
      <c r="E89" s="352" t="s">
        <v>1332</v>
      </c>
      <c r="F89" s="358" t="s">
        <v>1333</v>
      </c>
      <c r="G89" s="359" t="s">
        <v>594</v>
      </c>
      <c r="H89" s="360">
        <v>1495500</v>
      </c>
      <c r="I89" s="361">
        <f>(29721.47+18900+13600)/H89</f>
        <v>4.1605797392176527E-2</v>
      </c>
      <c r="J89" s="354">
        <v>1400000</v>
      </c>
      <c r="K89" s="361">
        <f>(29721.47+18900+13600+J89)/H89</f>
        <v>0.97774755600133734</v>
      </c>
    </row>
    <row r="90" spans="2:11" ht="76.5" thickTop="1" thickBot="1" x14ac:dyDescent="0.25">
      <c r="B90" s="352" t="s">
        <v>1403</v>
      </c>
      <c r="C90" s="352" t="s">
        <v>1404</v>
      </c>
      <c r="D90" s="352" t="s">
        <v>228</v>
      </c>
      <c r="E90" s="352" t="s">
        <v>1402</v>
      </c>
      <c r="F90" s="358" t="s">
        <v>578</v>
      </c>
      <c r="G90" s="359"/>
      <c r="H90" s="360"/>
      <c r="I90" s="361"/>
      <c r="J90" s="354">
        <v>1966100</v>
      </c>
      <c r="K90" s="361"/>
    </row>
    <row r="91" spans="2:11" ht="91.5" thickTop="1" thickBot="1" x14ac:dyDescent="0.25">
      <c r="B91" s="352" t="s">
        <v>1485</v>
      </c>
      <c r="C91" s="475" t="s">
        <v>334</v>
      </c>
      <c r="D91" s="352" t="s">
        <v>323</v>
      </c>
      <c r="E91" s="352" t="s">
        <v>1486</v>
      </c>
      <c r="F91" s="358" t="s">
        <v>1469</v>
      </c>
      <c r="G91" s="356" t="s">
        <v>667</v>
      </c>
      <c r="H91" s="360"/>
      <c r="I91" s="361"/>
      <c r="J91" s="354">
        <v>200000</v>
      </c>
      <c r="K91" s="361">
        <v>1</v>
      </c>
    </row>
    <row r="92" spans="2:11" ht="31.5" thickTop="1" thickBot="1" x14ac:dyDescent="0.25">
      <c r="B92" s="352" t="s">
        <v>1375</v>
      </c>
      <c r="C92" s="352" t="s">
        <v>389</v>
      </c>
      <c r="D92" s="352" t="s">
        <v>45</v>
      </c>
      <c r="E92" s="352" t="s">
        <v>390</v>
      </c>
      <c r="F92" s="358" t="s">
        <v>578</v>
      </c>
      <c r="G92" s="359"/>
      <c r="H92" s="360"/>
      <c r="I92" s="361"/>
      <c r="J92" s="354">
        <f>(4547046.18)+155941.82</f>
        <v>4702988</v>
      </c>
      <c r="K92" s="361"/>
    </row>
    <row r="93" spans="2:11" ht="46.5" thickTop="1" thickBot="1" x14ac:dyDescent="0.25">
      <c r="B93" s="867" t="s">
        <v>168</v>
      </c>
      <c r="C93" s="867"/>
      <c r="D93" s="867"/>
      <c r="E93" s="868" t="s">
        <v>18</v>
      </c>
      <c r="F93" s="876"/>
      <c r="G93" s="869"/>
      <c r="H93" s="869"/>
      <c r="I93" s="869"/>
      <c r="J93" s="876">
        <f>J94</f>
        <v>25182420</v>
      </c>
      <c r="K93" s="876"/>
    </row>
    <row r="94" spans="2:11" ht="44.25" thickTop="1" thickBot="1" x14ac:dyDescent="0.25">
      <c r="B94" s="870" t="s">
        <v>169</v>
      </c>
      <c r="C94" s="870"/>
      <c r="D94" s="870"/>
      <c r="E94" s="871" t="s">
        <v>38</v>
      </c>
      <c r="F94" s="877"/>
      <c r="G94" s="877"/>
      <c r="H94" s="877"/>
      <c r="I94" s="877"/>
      <c r="J94" s="877">
        <f>SUM(J95:J115)</f>
        <v>25182420</v>
      </c>
      <c r="K94" s="877"/>
    </row>
    <row r="95" spans="2:11" ht="91.5" thickTop="1" thickBot="1" x14ac:dyDescent="0.25">
      <c r="B95" s="352" t="s">
        <v>444</v>
      </c>
      <c r="C95" s="352" t="s">
        <v>254</v>
      </c>
      <c r="D95" s="352" t="s">
        <v>252</v>
      </c>
      <c r="E95" s="352" t="s">
        <v>253</v>
      </c>
      <c r="F95" s="358" t="s">
        <v>1475</v>
      </c>
      <c r="G95" s="359" t="s">
        <v>1476</v>
      </c>
      <c r="H95" s="360">
        <v>100000</v>
      </c>
      <c r="I95" s="361">
        <v>0</v>
      </c>
      <c r="J95" s="362">
        <v>100000</v>
      </c>
      <c r="K95" s="361">
        <v>1</v>
      </c>
    </row>
    <row r="96" spans="2:11" ht="31.5" thickTop="1" thickBot="1" x14ac:dyDescent="0.25">
      <c r="B96" s="352" t="s">
        <v>346</v>
      </c>
      <c r="C96" s="352" t="s">
        <v>348</v>
      </c>
      <c r="D96" s="352" t="s">
        <v>248</v>
      </c>
      <c r="E96" s="416" t="s">
        <v>344</v>
      </c>
      <c r="F96" s="358" t="s">
        <v>578</v>
      </c>
      <c r="G96" s="356"/>
      <c r="H96" s="357"/>
      <c r="I96" s="364"/>
      <c r="J96" s="354">
        <v>24000</v>
      </c>
      <c r="K96" s="364"/>
    </row>
    <row r="97" spans="2:12" ht="151.5" thickTop="1" thickBot="1" x14ac:dyDescent="0.25">
      <c r="B97" s="352" t="s">
        <v>1409</v>
      </c>
      <c r="C97" s="352" t="s">
        <v>1410</v>
      </c>
      <c r="D97" s="352" t="s">
        <v>184</v>
      </c>
      <c r="E97" s="352" t="s">
        <v>1411</v>
      </c>
      <c r="F97" s="411" t="s">
        <v>1412</v>
      </c>
      <c r="G97" s="356"/>
      <c r="H97" s="357"/>
      <c r="I97" s="364"/>
      <c r="J97" s="354">
        <v>520000</v>
      </c>
      <c r="K97" s="364"/>
    </row>
    <row r="98" spans="2:12" ht="121.5" thickTop="1" thickBot="1" x14ac:dyDescent="0.25">
      <c r="B98" s="352" t="s">
        <v>1409</v>
      </c>
      <c r="C98" s="352" t="s">
        <v>1410</v>
      </c>
      <c r="D98" s="352" t="s">
        <v>184</v>
      </c>
      <c r="E98" s="352" t="s">
        <v>1411</v>
      </c>
      <c r="F98" s="411" t="s">
        <v>1413</v>
      </c>
      <c r="G98" s="356"/>
      <c r="H98" s="357"/>
      <c r="I98" s="364"/>
      <c r="J98" s="354">
        <v>1170000</v>
      </c>
      <c r="K98" s="364"/>
    </row>
    <row r="99" spans="2:12" ht="151.5" thickTop="1" thickBot="1" x14ac:dyDescent="0.25">
      <c r="B99" s="352" t="s">
        <v>1409</v>
      </c>
      <c r="C99" s="352" t="s">
        <v>1410</v>
      </c>
      <c r="D99" s="352" t="s">
        <v>184</v>
      </c>
      <c r="E99" s="352" t="s">
        <v>1411</v>
      </c>
      <c r="F99" s="411" t="s">
        <v>1414</v>
      </c>
      <c r="G99" s="356"/>
      <c r="H99" s="357"/>
      <c r="I99" s="364"/>
      <c r="J99" s="354">
        <v>1300000</v>
      </c>
      <c r="K99" s="364"/>
    </row>
    <row r="100" spans="2:12" ht="91.5" thickTop="1" thickBot="1" x14ac:dyDescent="0.25">
      <c r="B100" s="355" t="s">
        <v>466</v>
      </c>
      <c r="C100" s="355" t="s">
        <v>215</v>
      </c>
      <c r="D100" s="355" t="s">
        <v>184</v>
      </c>
      <c r="E100" s="355" t="s">
        <v>36</v>
      </c>
      <c r="F100" s="411" t="s">
        <v>750</v>
      </c>
      <c r="G100" s="356"/>
      <c r="H100" s="357"/>
      <c r="I100" s="364"/>
      <c r="J100" s="354">
        <f>((437500)+3000000+500000+1500000)-437500</f>
        <v>5000000</v>
      </c>
      <c r="K100" s="364"/>
    </row>
    <row r="101" spans="2:12" ht="151.5" thickTop="1" thickBot="1" x14ac:dyDescent="0.25">
      <c r="B101" s="355" t="s">
        <v>466</v>
      </c>
      <c r="C101" s="355" t="s">
        <v>215</v>
      </c>
      <c r="D101" s="355" t="s">
        <v>184</v>
      </c>
      <c r="E101" s="355" t="s">
        <v>36</v>
      </c>
      <c r="F101" s="411" t="s">
        <v>751</v>
      </c>
      <c r="G101" s="356" t="s">
        <v>531</v>
      </c>
      <c r="H101" s="357">
        <v>725500</v>
      </c>
      <c r="I101" s="364">
        <f>457500/H101</f>
        <v>0.63059958649207448</v>
      </c>
      <c r="J101" s="354">
        <v>268000</v>
      </c>
      <c r="K101" s="364">
        <f>(J101+457500)/H101</f>
        <v>1</v>
      </c>
    </row>
    <row r="102" spans="2:12" ht="181.5" thickTop="1" thickBot="1" x14ac:dyDescent="0.25">
      <c r="B102" s="355" t="s">
        <v>466</v>
      </c>
      <c r="C102" s="355" t="s">
        <v>215</v>
      </c>
      <c r="D102" s="355" t="s">
        <v>184</v>
      </c>
      <c r="E102" s="355" t="s">
        <v>36</v>
      </c>
      <c r="F102" s="363" t="s">
        <v>706</v>
      </c>
      <c r="G102" s="359" t="s">
        <v>531</v>
      </c>
      <c r="H102" s="360">
        <v>1860900</v>
      </c>
      <c r="I102" s="361">
        <f>(49400)/H102</f>
        <v>2.6546294803589662E-2</v>
      </c>
      <c r="J102" s="362">
        <f>(900000)+557681</f>
        <v>1457681</v>
      </c>
      <c r="K102" s="361">
        <v>1</v>
      </c>
    </row>
    <row r="103" spans="2:12" ht="91.5" thickTop="1" thickBot="1" x14ac:dyDescent="0.25">
      <c r="B103" s="355" t="s">
        <v>466</v>
      </c>
      <c r="C103" s="355" t="s">
        <v>215</v>
      </c>
      <c r="D103" s="355" t="s">
        <v>184</v>
      </c>
      <c r="E103" s="352" t="s">
        <v>36</v>
      </c>
      <c r="F103" s="412" t="s">
        <v>582</v>
      </c>
      <c r="G103" s="359"/>
      <c r="H103" s="360"/>
      <c r="I103" s="361"/>
      <c r="J103" s="362">
        <f>((129406)+800000)+4000000</f>
        <v>4929406</v>
      </c>
      <c r="K103" s="361"/>
    </row>
    <row r="104" spans="2:12" ht="166.5" thickTop="1" thickBot="1" x14ac:dyDescent="0.25">
      <c r="B104" s="355" t="s">
        <v>466</v>
      </c>
      <c r="C104" s="355" t="s">
        <v>215</v>
      </c>
      <c r="D104" s="355" t="s">
        <v>184</v>
      </c>
      <c r="E104" s="355" t="s">
        <v>36</v>
      </c>
      <c r="F104" s="411" t="s">
        <v>707</v>
      </c>
      <c r="G104" s="359" t="s">
        <v>594</v>
      </c>
      <c r="H104" s="360">
        <v>2286900</v>
      </c>
      <c r="I104" s="361">
        <f>41107/H104</f>
        <v>1.7974987974987974E-2</v>
      </c>
      <c r="J104" s="362">
        <f>2286900-41107-500000</f>
        <v>1745793</v>
      </c>
      <c r="K104" s="361">
        <v>1</v>
      </c>
    </row>
    <row r="105" spans="2:12" ht="151.5" thickTop="1" thickBot="1" x14ac:dyDescent="0.25">
      <c r="B105" s="355" t="s">
        <v>466</v>
      </c>
      <c r="C105" s="355" t="s">
        <v>215</v>
      </c>
      <c r="D105" s="355" t="s">
        <v>184</v>
      </c>
      <c r="E105" s="355" t="s">
        <v>36</v>
      </c>
      <c r="F105" s="411" t="s">
        <v>747</v>
      </c>
      <c r="G105" s="359" t="s">
        <v>748</v>
      </c>
      <c r="H105" s="360">
        <v>24579593</v>
      </c>
      <c r="I105" s="361">
        <f>600000/H105</f>
        <v>2.4410493696946079E-2</v>
      </c>
      <c r="J105" s="362">
        <f>((500000)+1000000)+1000000</f>
        <v>2500000</v>
      </c>
      <c r="K105" s="361">
        <f>(J105+600000)/H105</f>
        <v>0.12612088410088809</v>
      </c>
    </row>
    <row r="106" spans="2:12" ht="91.5" thickTop="1" thickBot="1" x14ac:dyDescent="0.25">
      <c r="B106" s="355" t="s">
        <v>466</v>
      </c>
      <c r="C106" s="355" t="s">
        <v>215</v>
      </c>
      <c r="D106" s="355" t="s">
        <v>184</v>
      </c>
      <c r="E106" s="355" t="s">
        <v>36</v>
      </c>
      <c r="F106" s="411" t="s">
        <v>598</v>
      </c>
      <c r="G106" s="356"/>
      <c r="H106" s="357"/>
      <c r="I106" s="364"/>
      <c r="J106" s="354">
        <f>((1000000)+952000+1000000+500000)-433000</f>
        <v>3019000</v>
      </c>
      <c r="K106" s="364"/>
    </row>
    <row r="107" spans="2:12" ht="151.5" thickTop="1" thickBot="1" x14ac:dyDescent="0.25">
      <c r="B107" s="355" t="s">
        <v>466</v>
      </c>
      <c r="C107" s="355" t="s">
        <v>215</v>
      </c>
      <c r="D107" s="355" t="s">
        <v>184</v>
      </c>
      <c r="E107" s="355" t="s">
        <v>36</v>
      </c>
      <c r="F107" s="411" t="s">
        <v>1368</v>
      </c>
      <c r="G107" s="359" t="s">
        <v>667</v>
      </c>
      <c r="H107" s="360">
        <v>299806.42</v>
      </c>
      <c r="I107" s="361">
        <v>0</v>
      </c>
      <c r="J107" s="362">
        <v>299806</v>
      </c>
      <c r="K107" s="361">
        <f>(J107)/H107</f>
        <v>0.99999859909604338</v>
      </c>
    </row>
    <row r="108" spans="2:12" ht="151.5" thickTop="1" thickBot="1" x14ac:dyDescent="0.25">
      <c r="B108" s="355" t="s">
        <v>466</v>
      </c>
      <c r="C108" s="355" t="s">
        <v>215</v>
      </c>
      <c r="D108" s="355" t="s">
        <v>184</v>
      </c>
      <c r="E108" s="355" t="s">
        <v>36</v>
      </c>
      <c r="F108" s="412" t="s">
        <v>1300</v>
      </c>
      <c r="G108" s="359" t="s">
        <v>667</v>
      </c>
      <c r="H108" s="360">
        <v>305590</v>
      </c>
      <c r="I108" s="361">
        <v>0</v>
      </c>
      <c r="J108" s="362">
        <v>305590</v>
      </c>
      <c r="K108" s="361">
        <f>(J108)/H108</f>
        <v>1</v>
      </c>
    </row>
    <row r="109" spans="2:12" ht="91.5" thickTop="1" thickBot="1" x14ac:dyDescent="0.25">
      <c r="B109" s="355" t="s">
        <v>466</v>
      </c>
      <c r="C109" s="355" t="s">
        <v>215</v>
      </c>
      <c r="D109" s="355" t="s">
        <v>184</v>
      </c>
      <c r="E109" s="355" t="s">
        <v>36</v>
      </c>
      <c r="F109" s="411" t="s">
        <v>773</v>
      </c>
      <c r="G109" s="359"/>
      <c r="H109" s="360"/>
      <c r="I109" s="361"/>
      <c r="J109" s="362">
        <f>(500000)+300000</f>
        <v>800000</v>
      </c>
      <c r="K109" s="361"/>
    </row>
    <row r="110" spans="2:12" ht="106.5" thickTop="1" thickBot="1" x14ac:dyDescent="0.25">
      <c r="B110" s="355" t="s">
        <v>466</v>
      </c>
      <c r="C110" s="355" t="s">
        <v>215</v>
      </c>
      <c r="D110" s="355" t="s">
        <v>184</v>
      </c>
      <c r="E110" s="355" t="s">
        <v>36</v>
      </c>
      <c r="F110" s="411" t="s">
        <v>583</v>
      </c>
      <c r="G110" s="356"/>
      <c r="H110" s="357"/>
      <c r="I110" s="356"/>
      <c r="J110" s="354">
        <f>-20898+((700000+136258+107000)-100000)</f>
        <v>822360</v>
      </c>
      <c r="K110" s="361"/>
    </row>
    <row r="111" spans="2:12" ht="151.5" thickTop="1" thickBot="1" x14ac:dyDescent="0.25">
      <c r="B111" s="355" t="s">
        <v>466</v>
      </c>
      <c r="C111" s="355" t="s">
        <v>215</v>
      </c>
      <c r="D111" s="355" t="s">
        <v>184</v>
      </c>
      <c r="E111" s="355" t="s">
        <v>36</v>
      </c>
      <c r="F111" s="411" t="s">
        <v>749</v>
      </c>
      <c r="G111" s="359" t="s">
        <v>667</v>
      </c>
      <c r="H111" s="362">
        <v>77072</v>
      </c>
      <c r="I111" s="361">
        <v>0</v>
      </c>
      <c r="J111" s="362">
        <f>(77072)-15799.79</f>
        <v>61272.21</v>
      </c>
      <c r="K111" s="361">
        <v>1</v>
      </c>
      <c r="L111" s="235">
        <v>-15799.79</v>
      </c>
    </row>
    <row r="112" spans="2:12" ht="166.5" thickTop="1" thickBot="1" x14ac:dyDescent="0.25">
      <c r="B112" s="355" t="s">
        <v>466</v>
      </c>
      <c r="C112" s="355" t="s">
        <v>215</v>
      </c>
      <c r="D112" s="355" t="s">
        <v>184</v>
      </c>
      <c r="E112" s="355" t="s">
        <v>36</v>
      </c>
      <c r="F112" s="411" t="s">
        <v>1193</v>
      </c>
      <c r="G112" s="359" t="s">
        <v>667</v>
      </c>
      <c r="H112" s="357">
        <v>123940</v>
      </c>
      <c r="I112" s="361">
        <v>0</v>
      </c>
      <c r="J112" s="354">
        <f>(123940)-35040.21</f>
        <v>88899.790000000008</v>
      </c>
      <c r="K112" s="361">
        <v>1</v>
      </c>
      <c r="L112" s="235">
        <v>-35040.21</v>
      </c>
    </row>
    <row r="113" spans="2:11" ht="151.5" thickTop="1" thickBot="1" x14ac:dyDescent="0.25">
      <c r="B113" s="355" t="s">
        <v>466</v>
      </c>
      <c r="C113" s="355" t="s">
        <v>215</v>
      </c>
      <c r="D113" s="355" t="s">
        <v>184</v>
      </c>
      <c r="E113" s="355" t="s">
        <v>36</v>
      </c>
      <c r="F113" s="411" t="s">
        <v>1306</v>
      </c>
      <c r="G113" s="359" t="s">
        <v>667</v>
      </c>
      <c r="H113" s="357">
        <v>76903</v>
      </c>
      <c r="I113" s="361">
        <v>0</v>
      </c>
      <c r="J113" s="354">
        <v>50840</v>
      </c>
      <c r="K113" s="361">
        <v>1</v>
      </c>
    </row>
    <row r="114" spans="2:11" ht="121.5" thickTop="1" thickBot="1" x14ac:dyDescent="0.25">
      <c r="B114" s="355" t="s">
        <v>466</v>
      </c>
      <c r="C114" s="355" t="s">
        <v>215</v>
      </c>
      <c r="D114" s="355" t="s">
        <v>184</v>
      </c>
      <c r="E114" s="355" t="s">
        <v>36</v>
      </c>
      <c r="F114" s="411" t="s">
        <v>1369</v>
      </c>
      <c r="G114" s="359" t="s">
        <v>667</v>
      </c>
      <c r="H114" s="357">
        <v>403924</v>
      </c>
      <c r="I114" s="361">
        <v>0</v>
      </c>
      <c r="J114" s="354">
        <f>403924-39200</f>
        <v>364724</v>
      </c>
      <c r="K114" s="361">
        <v>1</v>
      </c>
    </row>
    <row r="115" spans="2:11" ht="151.5" thickTop="1" thickBot="1" x14ac:dyDescent="0.25">
      <c r="B115" s="355" t="s">
        <v>466</v>
      </c>
      <c r="C115" s="355" t="s">
        <v>215</v>
      </c>
      <c r="D115" s="355" t="s">
        <v>184</v>
      </c>
      <c r="E115" s="355" t="s">
        <v>36</v>
      </c>
      <c r="F115" s="412" t="s">
        <v>1127</v>
      </c>
      <c r="G115" s="359" t="s">
        <v>531</v>
      </c>
      <c r="H115" s="360">
        <v>355048</v>
      </c>
      <c r="I115" s="361">
        <v>0</v>
      </c>
      <c r="J115" s="362">
        <v>355048</v>
      </c>
      <c r="K115" s="361">
        <f>(J115)/H115</f>
        <v>1</v>
      </c>
    </row>
    <row r="116" spans="2:11" ht="46.5" thickTop="1" thickBot="1" x14ac:dyDescent="0.25">
      <c r="B116" s="867" t="s">
        <v>170</v>
      </c>
      <c r="C116" s="867"/>
      <c r="D116" s="867"/>
      <c r="E116" s="868" t="s">
        <v>39</v>
      </c>
      <c r="F116" s="876"/>
      <c r="G116" s="869"/>
      <c r="H116" s="869"/>
      <c r="I116" s="869"/>
      <c r="J116" s="876">
        <f>J117</f>
        <v>28940636.310000002</v>
      </c>
      <c r="K116" s="876"/>
    </row>
    <row r="117" spans="2:11" ht="58.5" thickTop="1" thickBot="1" x14ac:dyDescent="0.25">
      <c r="B117" s="870" t="s">
        <v>171</v>
      </c>
      <c r="C117" s="870"/>
      <c r="D117" s="870"/>
      <c r="E117" s="871" t="s">
        <v>40</v>
      </c>
      <c r="F117" s="877"/>
      <c r="G117" s="877"/>
      <c r="H117" s="877"/>
      <c r="I117" s="877"/>
      <c r="J117" s="877">
        <f>SUM(J118:J144)</f>
        <v>28940636.310000002</v>
      </c>
      <c r="K117" s="877"/>
    </row>
    <row r="118" spans="2:11" ht="61.5" thickTop="1" thickBot="1" x14ac:dyDescent="0.25">
      <c r="B118" s="355" t="s">
        <v>443</v>
      </c>
      <c r="C118" s="355" t="s">
        <v>254</v>
      </c>
      <c r="D118" s="355" t="s">
        <v>252</v>
      </c>
      <c r="E118" s="355" t="s">
        <v>253</v>
      </c>
      <c r="F118" s="411" t="s">
        <v>578</v>
      </c>
      <c r="G118" s="356"/>
      <c r="H118" s="357"/>
      <c r="I118" s="356"/>
      <c r="J118" s="357">
        <f>49000+((911000)+49000)</f>
        <v>1009000</v>
      </c>
      <c r="K118" s="357"/>
    </row>
    <row r="119" spans="2:11" ht="91.5" thickTop="1" thickBot="1" x14ac:dyDescent="0.25">
      <c r="B119" s="355" t="s">
        <v>443</v>
      </c>
      <c r="C119" s="355" t="s">
        <v>254</v>
      </c>
      <c r="D119" s="355" t="s">
        <v>252</v>
      </c>
      <c r="E119" s="355" t="s">
        <v>253</v>
      </c>
      <c r="F119" s="411" t="s">
        <v>1140</v>
      </c>
      <c r="G119" s="356" t="s">
        <v>594</v>
      </c>
      <c r="H119" s="357">
        <v>1439300</v>
      </c>
      <c r="I119" s="361">
        <f>850000/H119</f>
        <v>0.59056485791704305</v>
      </c>
      <c r="J119" s="357">
        <v>250000</v>
      </c>
      <c r="K119" s="361">
        <v>1</v>
      </c>
    </row>
    <row r="120" spans="2:11" ht="31.5" thickTop="1" thickBot="1" x14ac:dyDescent="0.25">
      <c r="B120" s="355" t="s">
        <v>287</v>
      </c>
      <c r="C120" s="355" t="s">
        <v>288</v>
      </c>
      <c r="D120" s="355" t="s">
        <v>223</v>
      </c>
      <c r="E120" s="413" t="s">
        <v>289</v>
      </c>
      <c r="F120" s="353" t="s">
        <v>584</v>
      </c>
      <c r="G120" s="356" t="s">
        <v>667</v>
      </c>
      <c r="H120" s="414"/>
      <c r="I120" s="418">
        <v>0</v>
      </c>
      <c r="J120" s="354">
        <f>(199000)-83910</f>
        <v>115090</v>
      </c>
      <c r="K120" s="364">
        <v>1</v>
      </c>
    </row>
    <row r="121" spans="2:11" ht="61.5" thickTop="1" thickBot="1" x14ac:dyDescent="0.25">
      <c r="B121" s="355" t="s">
        <v>285</v>
      </c>
      <c r="C121" s="355" t="s">
        <v>283</v>
      </c>
      <c r="D121" s="355" t="s">
        <v>218</v>
      </c>
      <c r="E121" s="355" t="s">
        <v>17</v>
      </c>
      <c r="F121" s="411" t="s">
        <v>578</v>
      </c>
      <c r="G121" s="356"/>
      <c r="H121" s="414"/>
      <c r="I121" s="415"/>
      <c r="J121" s="354">
        <f>58000+15000+25000+30000</f>
        <v>128000</v>
      </c>
      <c r="K121" s="364"/>
    </row>
    <row r="122" spans="2:11" ht="31.5" thickTop="1" thickBot="1" x14ac:dyDescent="0.25">
      <c r="B122" s="355" t="s">
        <v>286</v>
      </c>
      <c r="C122" s="355" t="s">
        <v>284</v>
      </c>
      <c r="D122" s="355" t="s">
        <v>217</v>
      </c>
      <c r="E122" s="355" t="s">
        <v>491</v>
      </c>
      <c r="F122" s="411" t="s">
        <v>578</v>
      </c>
      <c r="G122" s="356"/>
      <c r="H122" s="414"/>
      <c r="I122" s="415"/>
      <c r="J122" s="354">
        <v>43440</v>
      </c>
      <c r="K122" s="364"/>
    </row>
    <row r="123" spans="2:11" ht="61.5" thickTop="1" thickBot="1" x14ac:dyDescent="0.25">
      <c r="B123" s="355" t="s">
        <v>1355</v>
      </c>
      <c r="C123" s="355" t="s">
        <v>1356</v>
      </c>
      <c r="D123" s="355" t="s">
        <v>203</v>
      </c>
      <c r="E123" s="355" t="s">
        <v>1357</v>
      </c>
      <c r="F123" s="411" t="s">
        <v>578</v>
      </c>
      <c r="G123" s="356"/>
      <c r="H123" s="414"/>
      <c r="I123" s="415"/>
      <c r="J123" s="354">
        <f>166110+1240000</f>
        <v>1406110</v>
      </c>
      <c r="K123" s="364"/>
    </row>
    <row r="124" spans="2:11" ht="106.5" thickTop="1" thickBot="1" x14ac:dyDescent="0.25">
      <c r="B124" s="355" t="s">
        <v>1355</v>
      </c>
      <c r="C124" s="355" t="s">
        <v>1356</v>
      </c>
      <c r="D124" s="355" t="s">
        <v>203</v>
      </c>
      <c r="E124" s="355" t="s">
        <v>1357</v>
      </c>
      <c r="F124" s="411" t="s">
        <v>1370</v>
      </c>
      <c r="G124" s="356" t="s">
        <v>667</v>
      </c>
      <c r="H124" s="354">
        <v>898105</v>
      </c>
      <c r="I124" s="418">
        <v>0</v>
      </c>
      <c r="J124" s="354">
        <v>898105</v>
      </c>
      <c r="K124" s="364">
        <v>1</v>
      </c>
    </row>
    <row r="125" spans="2:11" ht="105.75" thickTop="1" x14ac:dyDescent="0.25">
      <c r="B125" s="1120" t="s">
        <v>1421</v>
      </c>
      <c r="C125" s="1120" t="s">
        <v>1422</v>
      </c>
      <c r="D125" s="1120" t="s">
        <v>52</v>
      </c>
      <c r="E125" s="864" t="s">
        <v>1418</v>
      </c>
      <c r="F125" s="1123" t="s">
        <v>585</v>
      </c>
      <c r="G125" s="1141"/>
      <c r="H125" s="1119"/>
      <c r="I125" s="1124"/>
      <c r="J125" s="1119">
        <v>11298891.529999999</v>
      </c>
      <c r="K125" s="1142"/>
    </row>
    <row r="126" spans="2:11" ht="105" x14ac:dyDescent="0.2">
      <c r="B126" s="1121"/>
      <c r="C126" s="1121"/>
      <c r="D126" s="1121"/>
      <c r="E126" s="865" t="s">
        <v>1419</v>
      </c>
      <c r="F126" s="1025"/>
      <c r="G126" s="1125"/>
      <c r="H126" s="1025"/>
      <c r="I126" s="1125"/>
      <c r="J126" s="1025"/>
      <c r="K126" s="1025"/>
    </row>
    <row r="127" spans="2:11" ht="105.75" thickBot="1" x14ac:dyDescent="0.25">
      <c r="B127" s="1122"/>
      <c r="C127" s="1122"/>
      <c r="D127" s="1122"/>
      <c r="E127" s="866" t="s">
        <v>1420</v>
      </c>
      <c r="F127" s="1026"/>
      <c r="G127" s="1126"/>
      <c r="H127" s="1026"/>
      <c r="I127" s="1126"/>
      <c r="J127" s="1026"/>
      <c r="K127" s="1026"/>
    </row>
    <row r="128" spans="2:11" ht="120.75" thickTop="1" x14ac:dyDescent="0.25">
      <c r="B128" s="1120" t="s">
        <v>1427</v>
      </c>
      <c r="C128" s="1120" t="s">
        <v>1428</v>
      </c>
      <c r="D128" s="1120" t="s">
        <v>52</v>
      </c>
      <c r="E128" s="864" t="s">
        <v>1423</v>
      </c>
      <c r="F128" s="1123" t="s">
        <v>585</v>
      </c>
      <c r="G128" s="1119"/>
      <c r="H128" s="1119"/>
      <c r="I128" s="1119"/>
      <c r="J128" s="1119">
        <v>1751965</v>
      </c>
      <c r="K128" s="1119"/>
    </row>
    <row r="129" spans="2:12" ht="120" x14ac:dyDescent="0.2">
      <c r="B129" s="1121"/>
      <c r="C129" s="1121"/>
      <c r="D129" s="1121"/>
      <c r="E129" s="865" t="s">
        <v>1424</v>
      </c>
      <c r="F129" s="1025"/>
      <c r="G129" s="1025"/>
      <c r="H129" s="1025"/>
      <c r="I129" s="1025"/>
      <c r="J129" s="1025"/>
      <c r="K129" s="1025"/>
    </row>
    <row r="130" spans="2:12" ht="105" x14ac:dyDescent="0.2">
      <c r="B130" s="1121"/>
      <c r="C130" s="1121"/>
      <c r="D130" s="1121"/>
      <c r="E130" s="865" t="s">
        <v>1425</v>
      </c>
      <c r="F130" s="1025"/>
      <c r="G130" s="1025"/>
      <c r="H130" s="1025"/>
      <c r="I130" s="1025"/>
      <c r="J130" s="1025"/>
      <c r="K130" s="1025"/>
    </row>
    <row r="131" spans="2:12" ht="45.75" thickBot="1" x14ac:dyDescent="0.25">
      <c r="B131" s="1122"/>
      <c r="C131" s="1122"/>
      <c r="D131" s="1122"/>
      <c r="E131" s="866" t="s">
        <v>1426</v>
      </c>
      <c r="F131" s="1026"/>
      <c r="G131" s="1026"/>
      <c r="H131" s="1026"/>
      <c r="I131" s="1026"/>
      <c r="J131" s="1026"/>
      <c r="K131" s="1026"/>
    </row>
    <row r="132" spans="2:12" ht="120.75" thickTop="1" x14ac:dyDescent="0.25">
      <c r="B132" s="1120" t="s">
        <v>1429</v>
      </c>
      <c r="C132" s="1120" t="s">
        <v>1430</v>
      </c>
      <c r="D132" s="1120" t="s">
        <v>52</v>
      </c>
      <c r="E132" s="864" t="s">
        <v>1431</v>
      </c>
      <c r="F132" s="1123" t="s">
        <v>585</v>
      </c>
      <c r="G132" s="1119"/>
      <c r="H132" s="1119"/>
      <c r="I132" s="1119"/>
      <c r="J132" s="1119">
        <v>1093438.78</v>
      </c>
      <c r="K132" s="1119"/>
    </row>
    <row r="133" spans="2:12" ht="120" x14ac:dyDescent="0.2">
      <c r="B133" s="1121"/>
      <c r="C133" s="1121"/>
      <c r="D133" s="1121"/>
      <c r="E133" s="865" t="s">
        <v>1432</v>
      </c>
      <c r="F133" s="1025"/>
      <c r="G133" s="1025"/>
      <c r="H133" s="1025"/>
      <c r="I133" s="1025"/>
      <c r="J133" s="1025"/>
      <c r="K133" s="1025"/>
    </row>
    <row r="134" spans="2:12" ht="30.75" thickBot="1" x14ac:dyDescent="0.25">
      <c r="B134" s="1122"/>
      <c r="C134" s="1122"/>
      <c r="D134" s="1122"/>
      <c r="E134" s="866" t="s">
        <v>1433</v>
      </c>
      <c r="F134" s="1026"/>
      <c r="G134" s="1026"/>
      <c r="H134" s="1026"/>
      <c r="I134" s="1026"/>
      <c r="J134" s="1026"/>
      <c r="K134" s="1026"/>
    </row>
    <row r="135" spans="2:12" ht="120.75" thickTop="1" x14ac:dyDescent="0.25">
      <c r="B135" s="1120" t="s">
        <v>1437</v>
      </c>
      <c r="C135" s="1120" t="s">
        <v>1438</v>
      </c>
      <c r="D135" s="1120" t="s">
        <v>52</v>
      </c>
      <c r="E135" s="864" t="s">
        <v>1434</v>
      </c>
      <c r="F135" s="1123" t="s">
        <v>585</v>
      </c>
      <c r="G135" s="1119"/>
      <c r="H135" s="1119"/>
      <c r="I135" s="1119"/>
      <c r="J135" s="1119">
        <v>2429312</v>
      </c>
      <c r="K135" s="1119"/>
    </row>
    <row r="136" spans="2:12" ht="105" x14ac:dyDescent="0.2">
      <c r="B136" s="1121"/>
      <c r="C136" s="1121"/>
      <c r="D136" s="1121"/>
      <c r="E136" s="865" t="s">
        <v>1435</v>
      </c>
      <c r="F136" s="1025"/>
      <c r="G136" s="1025"/>
      <c r="H136" s="1025"/>
      <c r="I136" s="1025"/>
      <c r="J136" s="1025"/>
      <c r="K136" s="1025"/>
    </row>
    <row r="137" spans="2:12" ht="15.75" thickBot="1" x14ac:dyDescent="0.25">
      <c r="B137" s="1122"/>
      <c r="C137" s="1122"/>
      <c r="D137" s="1122"/>
      <c r="E137" s="866" t="s">
        <v>1436</v>
      </c>
      <c r="F137" s="1026"/>
      <c r="G137" s="1026"/>
      <c r="H137" s="1026"/>
      <c r="I137" s="1026"/>
      <c r="J137" s="1026"/>
      <c r="K137" s="1026"/>
    </row>
    <row r="138" spans="2:12" ht="46.5" thickTop="1" thickBot="1" x14ac:dyDescent="0.25">
      <c r="B138" s="355" t="s">
        <v>352</v>
      </c>
      <c r="C138" s="355" t="s">
        <v>354</v>
      </c>
      <c r="D138" s="355" t="s">
        <v>209</v>
      </c>
      <c r="E138" s="416" t="s">
        <v>356</v>
      </c>
      <c r="F138" s="411" t="s">
        <v>578</v>
      </c>
      <c r="G138" s="354"/>
      <c r="H138" s="354"/>
      <c r="I138" s="417"/>
      <c r="J138" s="357">
        <f>(72894+138259+40788+136399)</f>
        <v>388340</v>
      </c>
      <c r="K138" s="357"/>
    </row>
    <row r="139" spans="2:12" ht="46.5" thickTop="1" thickBot="1" x14ac:dyDescent="0.25">
      <c r="B139" s="355" t="s">
        <v>352</v>
      </c>
      <c r="C139" s="355" t="s">
        <v>354</v>
      </c>
      <c r="D139" s="355" t="s">
        <v>209</v>
      </c>
      <c r="E139" s="416" t="s">
        <v>356</v>
      </c>
      <c r="F139" s="411" t="s">
        <v>1353</v>
      </c>
      <c r="G139" s="356" t="s">
        <v>667</v>
      </c>
      <c r="H139" s="354">
        <v>128534.96</v>
      </c>
      <c r="I139" s="418">
        <v>0</v>
      </c>
      <c r="J139" s="357">
        <v>98000</v>
      </c>
      <c r="K139" s="364">
        <v>1</v>
      </c>
    </row>
    <row r="140" spans="2:12" ht="31.5" thickTop="1" thickBot="1" x14ac:dyDescent="0.25">
      <c r="B140" s="355" t="s">
        <v>353</v>
      </c>
      <c r="C140" s="355" t="s">
        <v>355</v>
      </c>
      <c r="D140" s="355" t="s">
        <v>209</v>
      </c>
      <c r="E140" s="416" t="s">
        <v>357</v>
      </c>
      <c r="F140" s="353" t="s">
        <v>584</v>
      </c>
      <c r="G140" s="356" t="s">
        <v>667</v>
      </c>
      <c r="H140" s="354"/>
      <c r="I140" s="418">
        <v>0</v>
      </c>
      <c r="J140" s="360">
        <f>150000-5000</f>
        <v>145000</v>
      </c>
      <c r="K140" s="364">
        <v>1</v>
      </c>
      <c r="L140" s="621"/>
    </row>
    <row r="141" spans="2:12" ht="46.5" thickTop="1" thickBot="1" x14ac:dyDescent="0.25">
      <c r="B141" s="355" t="s">
        <v>353</v>
      </c>
      <c r="C141" s="355" t="s">
        <v>355</v>
      </c>
      <c r="D141" s="355" t="s">
        <v>209</v>
      </c>
      <c r="E141" s="416" t="s">
        <v>357</v>
      </c>
      <c r="F141" s="937" t="s">
        <v>1480</v>
      </c>
      <c r="G141" s="356" t="s">
        <v>667</v>
      </c>
      <c r="H141" s="354"/>
      <c r="I141" s="418">
        <v>0</v>
      </c>
      <c r="J141" s="997">
        <f>83910+5000</f>
        <v>88910</v>
      </c>
      <c r="K141" s="364">
        <v>1</v>
      </c>
      <c r="L141" s="621"/>
    </row>
    <row r="142" spans="2:12" ht="31.5" thickTop="1" thickBot="1" x14ac:dyDescent="0.25">
      <c r="B142" s="355" t="s">
        <v>393</v>
      </c>
      <c r="C142" s="355" t="s">
        <v>391</v>
      </c>
      <c r="D142" s="355" t="s">
        <v>365</v>
      </c>
      <c r="E142" s="416" t="s">
        <v>392</v>
      </c>
      <c r="F142" s="356" t="s">
        <v>585</v>
      </c>
      <c r="G142" s="356"/>
      <c r="H142" s="354"/>
      <c r="I142" s="417"/>
      <c r="J142" s="357">
        <v>4000000</v>
      </c>
      <c r="K142" s="364"/>
    </row>
    <row r="143" spans="2:12" ht="106.5" thickTop="1" thickBot="1" x14ac:dyDescent="0.25">
      <c r="B143" s="355" t="s">
        <v>1439</v>
      </c>
      <c r="C143" s="355" t="s">
        <v>1440</v>
      </c>
      <c r="D143" s="355" t="s">
        <v>365</v>
      </c>
      <c r="E143" s="416" t="s">
        <v>1441</v>
      </c>
      <c r="F143" s="356" t="s">
        <v>585</v>
      </c>
      <c r="G143" s="356"/>
      <c r="H143" s="354"/>
      <c r="I143" s="417"/>
      <c r="J143" s="357">
        <v>3577034</v>
      </c>
      <c r="K143" s="364"/>
    </row>
    <row r="144" spans="2:12" ht="106.5" thickTop="1" thickBot="1" x14ac:dyDescent="0.25">
      <c r="B144" s="352" t="s">
        <v>1143</v>
      </c>
      <c r="C144" s="352" t="s">
        <v>1144</v>
      </c>
      <c r="D144" s="352" t="s">
        <v>323</v>
      </c>
      <c r="E144" s="352" t="s">
        <v>1147</v>
      </c>
      <c r="F144" s="376" t="s">
        <v>1148</v>
      </c>
      <c r="G144" s="357" t="s">
        <v>594</v>
      </c>
      <c r="H144" s="354">
        <f>8638500+1849000</f>
        <v>10487500</v>
      </c>
      <c r="I144" s="364">
        <f>(1996859.63+6999090.23)/H144</f>
        <v>0.85777829415971385</v>
      </c>
      <c r="J144" s="357">
        <v>220000</v>
      </c>
      <c r="K144" s="364">
        <v>1</v>
      </c>
    </row>
    <row r="145" spans="1:12" ht="46.5" thickTop="1" thickBot="1" x14ac:dyDescent="0.25">
      <c r="A145" s="243"/>
      <c r="B145" s="867">
        <v>1000000</v>
      </c>
      <c r="C145" s="867"/>
      <c r="D145" s="867"/>
      <c r="E145" s="868" t="s">
        <v>24</v>
      </c>
      <c r="F145" s="876"/>
      <c r="G145" s="869"/>
      <c r="H145" s="869"/>
      <c r="I145" s="869"/>
      <c r="J145" s="876">
        <f>J146</f>
        <v>7416625</v>
      </c>
      <c r="K145" s="876"/>
    </row>
    <row r="146" spans="1:12" ht="44.25" thickTop="1" thickBot="1" x14ac:dyDescent="0.25">
      <c r="A146" s="243"/>
      <c r="B146" s="870">
        <v>1010000</v>
      </c>
      <c r="C146" s="870"/>
      <c r="D146" s="870"/>
      <c r="E146" s="871" t="s">
        <v>41</v>
      </c>
      <c r="F146" s="877"/>
      <c r="G146" s="877"/>
      <c r="H146" s="877"/>
      <c r="I146" s="877"/>
      <c r="J146" s="877">
        <f>SUM(J147:J157)</f>
        <v>7416625</v>
      </c>
      <c r="K146" s="877"/>
    </row>
    <row r="147" spans="1:12" ht="31.5" thickTop="1" thickBot="1" x14ac:dyDescent="0.25">
      <c r="A147" s="243"/>
      <c r="B147" s="352" t="s">
        <v>794</v>
      </c>
      <c r="C147" s="352" t="s">
        <v>795</v>
      </c>
      <c r="D147" s="352" t="s">
        <v>199</v>
      </c>
      <c r="E147" s="352" t="s">
        <v>546</v>
      </c>
      <c r="F147" s="353" t="s">
        <v>578</v>
      </c>
      <c r="G147" s="357"/>
      <c r="H147" s="360"/>
      <c r="I147" s="418"/>
      <c r="J147" s="357">
        <v>49000</v>
      </c>
      <c r="K147" s="418"/>
    </row>
    <row r="148" spans="1:12" ht="61.5" thickTop="1" thickBot="1" x14ac:dyDescent="0.25">
      <c r="A148" s="243"/>
      <c r="B148" s="352" t="s">
        <v>794</v>
      </c>
      <c r="C148" s="352" t="s">
        <v>795</v>
      </c>
      <c r="D148" s="352" t="s">
        <v>199</v>
      </c>
      <c r="E148" s="352" t="s">
        <v>546</v>
      </c>
      <c r="F148" s="353" t="s">
        <v>1264</v>
      </c>
      <c r="G148" s="357" t="s">
        <v>1101</v>
      </c>
      <c r="H148" s="360">
        <v>3361251</v>
      </c>
      <c r="I148" s="418">
        <f>1829721.61/H148</f>
        <v>0.54435732707851936</v>
      </c>
      <c r="J148" s="357">
        <v>1000000</v>
      </c>
      <c r="K148" s="418">
        <f>(1829721.61+J148)/H148</f>
        <v>0.84186560599015081</v>
      </c>
      <c r="L148" s="235" t="s">
        <v>1123</v>
      </c>
    </row>
    <row r="149" spans="1:12" ht="31.5" thickTop="1" thickBot="1" x14ac:dyDescent="0.25">
      <c r="A149" s="243"/>
      <c r="B149" s="355" t="s">
        <v>190</v>
      </c>
      <c r="C149" s="355" t="s">
        <v>191</v>
      </c>
      <c r="D149" s="355" t="s">
        <v>192</v>
      </c>
      <c r="E149" s="355" t="s">
        <v>193</v>
      </c>
      <c r="F149" s="353" t="s">
        <v>578</v>
      </c>
      <c r="G149" s="357"/>
      <c r="H149" s="357"/>
      <c r="I149" s="418"/>
      <c r="J149" s="357">
        <f>(10000+28000)+766000</f>
        <v>804000</v>
      </c>
      <c r="K149" s="418"/>
    </row>
    <row r="150" spans="1:12" ht="76.5" thickTop="1" thickBot="1" x14ac:dyDescent="0.25">
      <c r="A150" s="243"/>
      <c r="B150" s="355" t="s">
        <v>190</v>
      </c>
      <c r="C150" s="355" t="s">
        <v>191</v>
      </c>
      <c r="D150" s="355" t="s">
        <v>192</v>
      </c>
      <c r="E150" s="355" t="s">
        <v>193</v>
      </c>
      <c r="F150" s="353" t="s">
        <v>713</v>
      </c>
      <c r="G150" s="356" t="s">
        <v>667</v>
      </c>
      <c r="H150" s="357"/>
      <c r="I150" s="418">
        <v>0</v>
      </c>
      <c r="J150" s="357">
        <v>84000</v>
      </c>
      <c r="K150" s="418">
        <v>1</v>
      </c>
    </row>
    <row r="151" spans="1:12" ht="46.5" thickTop="1" thickBot="1" x14ac:dyDescent="0.25">
      <c r="A151" s="243"/>
      <c r="B151" s="355" t="s">
        <v>190</v>
      </c>
      <c r="C151" s="355" t="s">
        <v>191</v>
      </c>
      <c r="D151" s="355" t="s">
        <v>192</v>
      </c>
      <c r="E151" s="355" t="s">
        <v>193</v>
      </c>
      <c r="F151" s="353" t="s">
        <v>714</v>
      </c>
      <c r="G151" s="356" t="s">
        <v>667</v>
      </c>
      <c r="H151" s="357"/>
      <c r="I151" s="418">
        <v>0</v>
      </c>
      <c r="J151" s="357">
        <v>67000</v>
      </c>
      <c r="K151" s="418">
        <v>1</v>
      </c>
    </row>
    <row r="152" spans="1:12" ht="31.5" thickTop="1" thickBot="1" x14ac:dyDescent="0.25">
      <c r="A152" s="243"/>
      <c r="B152" s="355" t="s">
        <v>194</v>
      </c>
      <c r="C152" s="355" t="s">
        <v>195</v>
      </c>
      <c r="D152" s="355" t="s">
        <v>192</v>
      </c>
      <c r="E152" s="355" t="s">
        <v>500</v>
      </c>
      <c r="F152" s="353" t="s">
        <v>578</v>
      </c>
      <c r="G152" s="356"/>
      <c r="H152" s="357"/>
      <c r="I152" s="418"/>
      <c r="J152" s="357">
        <f>14900+150000</f>
        <v>164900</v>
      </c>
      <c r="K152" s="364"/>
    </row>
    <row r="153" spans="1:12" ht="61.5" thickTop="1" thickBot="1" x14ac:dyDescent="0.25">
      <c r="A153" s="243"/>
      <c r="B153" s="355" t="s">
        <v>194</v>
      </c>
      <c r="C153" s="355" t="s">
        <v>195</v>
      </c>
      <c r="D153" s="355" t="s">
        <v>192</v>
      </c>
      <c r="E153" s="355" t="s">
        <v>500</v>
      </c>
      <c r="F153" s="376" t="s">
        <v>1194</v>
      </c>
      <c r="G153" s="357" t="s">
        <v>586</v>
      </c>
      <c r="H153" s="357">
        <v>27064985</v>
      </c>
      <c r="I153" s="418">
        <f>(1430336+2994769.5+4929931.79+5600000)/H153</f>
        <v>0.55256033912451819</v>
      </c>
      <c r="J153" s="357">
        <f>(3000000)+2000000</f>
        <v>5000000</v>
      </c>
      <c r="K153" s="418">
        <f>(1430336+2994769.5+4929931.79+5600000+J153)/H153</f>
        <v>0.73730088119391157</v>
      </c>
    </row>
    <row r="154" spans="1:12" ht="46.5" thickTop="1" thickBot="1" x14ac:dyDescent="0.25">
      <c r="A154" s="243"/>
      <c r="B154" s="355" t="s">
        <v>196</v>
      </c>
      <c r="C154" s="355" t="s">
        <v>187</v>
      </c>
      <c r="D154" s="355" t="s">
        <v>197</v>
      </c>
      <c r="E154" s="355" t="s">
        <v>198</v>
      </c>
      <c r="F154" s="353" t="s">
        <v>578</v>
      </c>
      <c r="G154" s="357"/>
      <c r="H154" s="357"/>
      <c r="I154" s="418"/>
      <c r="J154" s="357">
        <f>(124500)+16500+5100</f>
        <v>146100</v>
      </c>
      <c r="K154" s="418"/>
    </row>
    <row r="155" spans="1:12" ht="31.5" thickTop="1" thickBot="1" x14ac:dyDescent="0.25">
      <c r="A155" s="243"/>
      <c r="B155" s="352" t="s">
        <v>358</v>
      </c>
      <c r="C155" s="352" t="s">
        <v>359</v>
      </c>
      <c r="D155" s="352" t="s">
        <v>200</v>
      </c>
      <c r="E155" s="352" t="s">
        <v>501</v>
      </c>
      <c r="F155" s="353" t="s">
        <v>578</v>
      </c>
      <c r="G155" s="357"/>
      <c r="H155" s="357"/>
      <c r="I155" s="418"/>
      <c r="J155" s="357">
        <v>31625</v>
      </c>
      <c r="K155" s="418"/>
    </row>
    <row r="156" spans="1:12" ht="106.5" thickTop="1" thickBot="1" x14ac:dyDescent="0.25">
      <c r="A156" s="243"/>
      <c r="B156" s="355" t="s">
        <v>1126</v>
      </c>
      <c r="C156" s="355" t="s">
        <v>215</v>
      </c>
      <c r="D156" s="355" t="s">
        <v>184</v>
      </c>
      <c r="E156" s="355" t="s">
        <v>36</v>
      </c>
      <c r="F156" s="412" t="s">
        <v>1216</v>
      </c>
      <c r="G156" s="356" t="s">
        <v>667</v>
      </c>
      <c r="H156" s="357">
        <v>200000</v>
      </c>
      <c r="I156" s="364">
        <v>0</v>
      </c>
      <c r="J156" s="357">
        <f>(200000)-130000</f>
        <v>70000</v>
      </c>
      <c r="K156" s="364">
        <f>(J156)/H156</f>
        <v>0.35</v>
      </c>
    </row>
    <row r="157" spans="1:12" ht="136.5" hidden="1" thickTop="1" thickBot="1" x14ac:dyDescent="0.25">
      <c r="A157" s="243"/>
      <c r="B157" s="355" t="s">
        <v>1126</v>
      </c>
      <c r="C157" s="355" t="s">
        <v>215</v>
      </c>
      <c r="D157" s="355" t="s">
        <v>184</v>
      </c>
      <c r="E157" s="355" t="s">
        <v>36</v>
      </c>
      <c r="F157" s="412" t="s">
        <v>1217</v>
      </c>
      <c r="G157" s="356" t="s">
        <v>667</v>
      </c>
      <c r="H157" s="357"/>
      <c r="I157" s="364">
        <v>0</v>
      </c>
      <c r="J157" s="357">
        <f>(100000)-100000</f>
        <v>0</v>
      </c>
      <c r="K157" s="364">
        <v>1</v>
      </c>
    </row>
    <row r="158" spans="1:12" ht="46.5" thickTop="1" thickBot="1" x14ac:dyDescent="0.25">
      <c r="B158" s="867" t="s">
        <v>22</v>
      </c>
      <c r="C158" s="867"/>
      <c r="D158" s="867"/>
      <c r="E158" s="868" t="s">
        <v>23</v>
      </c>
      <c r="F158" s="876"/>
      <c r="G158" s="869"/>
      <c r="H158" s="869"/>
      <c r="I158" s="869"/>
      <c r="J158" s="876">
        <f>J159</f>
        <v>8987606</v>
      </c>
      <c r="K158" s="876"/>
    </row>
    <row r="159" spans="1:12" ht="44.25" thickTop="1" thickBot="1" x14ac:dyDescent="0.25">
      <c r="B159" s="870" t="s">
        <v>21</v>
      </c>
      <c r="C159" s="870"/>
      <c r="D159" s="870"/>
      <c r="E159" s="871" t="s">
        <v>37</v>
      </c>
      <c r="F159" s="877"/>
      <c r="G159" s="877"/>
      <c r="H159" s="877"/>
      <c r="I159" s="877"/>
      <c r="J159" s="877">
        <f>SUM(J160:J173)</f>
        <v>8987606</v>
      </c>
      <c r="K159" s="877"/>
    </row>
    <row r="160" spans="1:12" ht="31.5" thickTop="1" thickBot="1" x14ac:dyDescent="0.25">
      <c r="B160" s="355" t="s">
        <v>207</v>
      </c>
      <c r="C160" s="355" t="s">
        <v>208</v>
      </c>
      <c r="D160" s="355" t="s">
        <v>203</v>
      </c>
      <c r="E160" s="355" t="s">
        <v>10</v>
      </c>
      <c r="F160" s="353" t="s">
        <v>578</v>
      </c>
      <c r="G160" s="356"/>
      <c r="H160" s="357"/>
      <c r="I160" s="356"/>
      <c r="J160" s="354">
        <v>20000</v>
      </c>
      <c r="K160" s="354"/>
    </row>
    <row r="161" spans="2:13" ht="46.5" thickTop="1" thickBot="1" x14ac:dyDescent="0.25">
      <c r="B161" s="355" t="s">
        <v>207</v>
      </c>
      <c r="C161" s="355" t="s">
        <v>208</v>
      </c>
      <c r="D161" s="355" t="s">
        <v>203</v>
      </c>
      <c r="E161" s="355" t="s">
        <v>10</v>
      </c>
      <c r="F161" s="353" t="s">
        <v>717</v>
      </c>
      <c r="G161" s="356" t="s">
        <v>667</v>
      </c>
      <c r="H161" s="354">
        <v>733957</v>
      </c>
      <c r="I161" s="364">
        <f>0/H161</f>
        <v>0</v>
      </c>
      <c r="J161" s="354">
        <f>733957-20000</f>
        <v>713957</v>
      </c>
      <c r="K161" s="364">
        <v>1</v>
      </c>
    </row>
    <row r="162" spans="2:13" s="47" customFormat="1" ht="46.5" thickTop="1" thickBot="1" x14ac:dyDescent="0.25">
      <c r="B162" s="355" t="s">
        <v>28</v>
      </c>
      <c r="C162" s="355" t="s">
        <v>210</v>
      </c>
      <c r="D162" s="355" t="s">
        <v>213</v>
      </c>
      <c r="E162" s="355" t="s">
        <v>50</v>
      </c>
      <c r="F162" s="353" t="s">
        <v>578</v>
      </c>
      <c r="G162" s="356"/>
      <c r="H162" s="357"/>
      <c r="I162" s="356"/>
      <c r="J162" s="354">
        <f>-7790+((77910+32400+91670)+86000+216360+154040+611040+180000)</f>
        <v>1441630</v>
      </c>
      <c r="K162" s="354"/>
    </row>
    <row r="163" spans="2:13" s="47" customFormat="1" ht="91.5" hidden="1" thickTop="1" thickBot="1" x14ac:dyDescent="0.25">
      <c r="B163" s="355" t="s">
        <v>28</v>
      </c>
      <c r="C163" s="355" t="s">
        <v>210</v>
      </c>
      <c r="D163" s="355" t="s">
        <v>213</v>
      </c>
      <c r="E163" s="355" t="s">
        <v>50</v>
      </c>
      <c r="F163" s="353" t="s">
        <v>1195</v>
      </c>
      <c r="G163" s="356" t="s">
        <v>667</v>
      </c>
      <c r="H163" s="357"/>
      <c r="I163" s="361">
        <v>0</v>
      </c>
      <c r="J163" s="354">
        <f>48600-48600</f>
        <v>0</v>
      </c>
      <c r="K163" s="361">
        <v>1</v>
      </c>
    </row>
    <row r="164" spans="2:13" s="47" customFormat="1" ht="61.5" thickTop="1" thickBot="1" x14ac:dyDescent="0.25">
      <c r="B164" s="355" t="s">
        <v>28</v>
      </c>
      <c r="C164" s="355" t="s">
        <v>210</v>
      </c>
      <c r="D164" s="355" t="s">
        <v>213</v>
      </c>
      <c r="E164" s="355" t="s">
        <v>50</v>
      </c>
      <c r="F164" s="353" t="s">
        <v>1098</v>
      </c>
      <c r="G164" s="356" t="s">
        <v>667</v>
      </c>
      <c r="H164" s="357"/>
      <c r="I164" s="361">
        <v>0</v>
      </c>
      <c r="J164" s="354">
        <v>33250</v>
      </c>
      <c r="K164" s="361">
        <v>1</v>
      </c>
      <c r="L164" s="529" t="s">
        <v>1099</v>
      </c>
    </row>
    <row r="165" spans="2:13" s="47" customFormat="1" ht="91.5" thickTop="1" thickBot="1" x14ac:dyDescent="0.25">
      <c r="B165" s="355" t="s">
        <v>28</v>
      </c>
      <c r="C165" s="355" t="s">
        <v>210</v>
      </c>
      <c r="D165" s="355" t="s">
        <v>213</v>
      </c>
      <c r="E165" s="355" t="s">
        <v>50</v>
      </c>
      <c r="F165" s="353" t="s">
        <v>1343</v>
      </c>
      <c r="G165" s="356" t="s">
        <v>667</v>
      </c>
      <c r="H165" s="357"/>
      <c r="I165" s="361">
        <v>0</v>
      </c>
      <c r="J165" s="354">
        <f>48600</f>
        <v>48600</v>
      </c>
      <c r="K165" s="361">
        <v>1</v>
      </c>
      <c r="L165" s="529"/>
    </row>
    <row r="166" spans="2:13" s="47" customFormat="1" ht="61.5" thickTop="1" thickBot="1" x14ac:dyDescent="0.25">
      <c r="B166" s="355" t="s">
        <v>28</v>
      </c>
      <c r="C166" s="355" t="s">
        <v>210</v>
      </c>
      <c r="D166" s="355" t="s">
        <v>213</v>
      </c>
      <c r="E166" s="355" t="s">
        <v>50</v>
      </c>
      <c r="F166" s="353" t="s">
        <v>1106</v>
      </c>
      <c r="G166" s="360" t="s">
        <v>1101</v>
      </c>
      <c r="H166" s="360">
        <v>1592500</v>
      </c>
      <c r="I166" s="361">
        <f>(61861.62)/H166</f>
        <v>3.8845601255886972E-2</v>
      </c>
      <c r="J166" s="362">
        <f>(16200+9287+1509600-4449)-74322</f>
        <v>1456316</v>
      </c>
      <c r="K166" s="361">
        <v>1</v>
      </c>
      <c r="L166" s="622"/>
      <c r="M166" s="622"/>
    </row>
    <row r="167" spans="2:13" s="47" customFormat="1" ht="106.5" thickTop="1" thickBot="1" x14ac:dyDescent="0.25">
      <c r="B167" s="355" t="s">
        <v>28</v>
      </c>
      <c r="C167" s="355" t="s">
        <v>210</v>
      </c>
      <c r="D167" s="355" t="s">
        <v>213</v>
      </c>
      <c r="E167" s="355" t="s">
        <v>50</v>
      </c>
      <c r="F167" s="353" t="s">
        <v>1341</v>
      </c>
      <c r="G167" s="356" t="s">
        <v>1313</v>
      </c>
      <c r="H167" s="360">
        <v>22187664</v>
      </c>
      <c r="I167" s="361">
        <v>0</v>
      </c>
      <c r="J167" s="362">
        <f>((405800-255801)+500000)+3000000</f>
        <v>3649999</v>
      </c>
      <c r="K167" s="361">
        <f>J167/H167</f>
        <v>0.16450578123050719</v>
      </c>
    </row>
    <row r="168" spans="2:13" s="47" customFormat="1" ht="91.5" thickTop="1" thickBot="1" x14ac:dyDescent="0.25">
      <c r="B168" s="355" t="s">
        <v>28</v>
      </c>
      <c r="C168" s="355" t="s">
        <v>210</v>
      </c>
      <c r="D168" s="355" t="s">
        <v>213</v>
      </c>
      <c r="E168" s="355" t="s">
        <v>50</v>
      </c>
      <c r="F168" s="353" t="s">
        <v>1342</v>
      </c>
      <c r="G168" s="356" t="s">
        <v>667</v>
      </c>
      <c r="H168" s="362">
        <v>31970</v>
      </c>
      <c r="I168" s="361">
        <v>0</v>
      </c>
      <c r="J168" s="362">
        <f>(31970)-4790</f>
        <v>27180</v>
      </c>
      <c r="K168" s="361">
        <v>1</v>
      </c>
    </row>
    <row r="169" spans="2:13" s="47" customFormat="1" ht="61.5" hidden="1" thickTop="1" thickBot="1" x14ac:dyDescent="0.25">
      <c r="B169" s="355" t="s">
        <v>28</v>
      </c>
      <c r="C169" s="355" t="s">
        <v>210</v>
      </c>
      <c r="D169" s="355" t="s">
        <v>213</v>
      </c>
      <c r="E169" s="355" t="s">
        <v>50</v>
      </c>
      <c r="F169" s="353" t="s">
        <v>745</v>
      </c>
      <c r="G169" s="356" t="s">
        <v>667</v>
      </c>
      <c r="H169" s="357"/>
      <c r="I169" s="361">
        <v>0</v>
      </c>
      <c r="J169" s="354">
        <f>(200000)-200000</f>
        <v>0</v>
      </c>
      <c r="K169" s="361">
        <v>1</v>
      </c>
    </row>
    <row r="170" spans="2:13" s="47" customFormat="1" ht="46.5" thickTop="1" thickBot="1" x14ac:dyDescent="0.25">
      <c r="B170" s="355" t="s">
        <v>29</v>
      </c>
      <c r="C170" s="355" t="s">
        <v>211</v>
      </c>
      <c r="D170" s="355" t="s">
        <v>213</v>
      </c>
      <c r="E170" s="355" t="s">
        <v>51</v>
      </c>
      <c r="F170" s="353" t="s">
        <v>578</v>
      </c>
      <c r="G170" s="356"/>
      <c r="H170" s="354"/>
      <c r="I170" s="364"/>
      <c r="J170" s="354">
        <f>(15200)+330000</f>
        <v>345200</v>
      </c>
      <c r="K170" s="364"/>
    </row>
    <row r="171" spans="2:13" s="47" customFormat="1" ht="31.5" thickTop="1" thickBot="1" x14ac:dyDescent="0.25">
      <c r="B171" s="419" t="s">
        <v>32</v>
      </c>
      <c r="C171" s="419" t="s">
        <v>214</v>
      </c>
      <c r="D171" s="419" t="s">
        <v>213</v>
      </c>
      <c r="E171" s="352" t="s">
        <v>33</v>
      </c>
      <c r="F171" s="353" t="s">
        <v>578</v>
      </c>
      <c r="G171" s="356"/>
      <c r="H171" s="357"/>
      <c r="I171" s="364"/>
      <c r="J171" s="354">
        <v>30000</v>
      </c>
      <c r="K171" s="364"/>
      <c r="L171" s="623"/>
    </row>
    <row r="172" spans="2:13" s="47" customFormat="1" ht="91.5" thickTop="1" thickBot="1" x14ac:dyDescent="0.25">
      <c r="B172" s="352" t="s">
        <v>1483</v>
      </c>
      <c r="C172" s="352" t="s">
        <v>336</v>
      </c>
      <c r="D172" s="352" t="s">
        <v>323</v>
      </c>
      <c r="E172" s="352" t="s">
        <v>1468</v>
      </c>
      <c r="F172" s="353" t="s">
        <v>1484</v>
      </c>
      <c r="G172" s="356" t="s">
        <v>667</v>
      </c>
      <c r="H172" s="357"/>
      <c r="I172" s="361">
        <v>0</v>
      </c>
      <c r="J172" s="354">
        <v>200000</v>
      </c>
      <c r="K172" s="361">
        <v>1</v>
      </c>
      <c r="L172" s="623"/>
    </row>
    <row r="173" spans="2:13" s="47" customFormat="1" ht="144" customHeight="1" thickTop="1" thickBot="1" x14ac:dyDescent="0.25">
      <c r="B173" s="352" t="s">
        <v>744</v>
      </c>
      <c r="C173" s="352" t="s">
        <v>215</v>
      </c>
      <c r="D173" s="352" t="s">
        <v>184</v>
      </c>
      <c r="E173" s="352" t="s">
        <v>36</v>
      </c>
      <c r="F173" s="363" t="s">
        <v>1100</v>
      </c>
      <c r="G173" s="356" t="s">
        <v>667</v>
      </c>
      <c r="H173" s="357">
        <v>1021474</v>
      </c>
      <c r="I173" s="361">
        <f>0/H173</f>
        <v>0</v>
      </c>
      <c r="J173" s="354">
        <f>45144+976330</f>
        <v>1021474</v>
      </c>
      <c r="K173" s="361">
        <v>1</v>
      </c>
      <c r="L173" s="623"/>
    </row>
    <row r="174" spans="2:13" s="47" customFormat="1" ht="46.5" thickTop="1" thickBot="1" x14ac:dyDescent="0.25">
      <c r="B174" s="867" t="s">
        <v>172</v>
      </c>
      <c r="C174" s="867"/>
      <c r="D174" s="867"/>
      <c r="E174" s="868" t="s">
        <v>673</v>
      </c>
      <c r="F174" s="876"/>
      <c r="G174" s="869"/>
      <c r="H174" s="869"/>
      <c r="I174" s="869"/>
      <c r="J174" s="876">
        <f>J175</f>
        <v>30166337</v>
      </c>
      <c r="K174" s="876"/>
      <c r="L174" s="623"/>
    </row>
    <row r="175" spans="2:13" s="47" customFormat="1" ht="44.25" thickTop="1" thickBot="1" x14ac:dyDescent="0.25">
      <c r="B175" s="870" t="s">
        <v>173</v>
      </c>
      <c r="C175" s="870"/>
      <c r="D175" s="870"/>
      <c r="E175" s="871" t="s">
        <v>674</v>
      </c>
      <c r="F175" s="877"/>
      <c r="G175" s="877"/>
      <c r="H175" s="877"/>
      <c r="I175" s="877"/>
      <c r="J175" s="877">
        <f>J176+J177+J178+J179+J184+J185</f>
        <v>30166337</v>
      </c>
      <c r="K175" s="877"/>
      <c r="L175" s="623"/>
    </row>
    <row r="176" spans="2:13" s="47" customFormat="1" ht="61.5" thickTop="1" thickBot="1" x14ac:dyDescent="0.25">
      <c r="B176" s="355" t="s">
        <v>449</v>
      </c>
      <c r="C176" s="355" t="s">
        <v>254</v>
      </c>
      <c r="D176" s="355" t="s">
        <v>252</v>
      </c>
      <c r="E176" s="355" t="s">
        <v>253</v>
      </c>
      <c r="F176" s="353" t="s">
        <v>578</v>
      </c>
      <c r="G176" s="356"/>
      <c r="H176" s="357"/>
      <c r="I176" s="356"/>
      <c r="J176" s="354">
        <f>(36000)+31812+95436</f>
        <v>163248</v>
      </c>
      <c r="K176" s="354"/>
      <c r="L176" s="623"/>
    </row>
    <row r="177" spans="2:12" s="47" customFormat="1" ht="31.5" thickTop="1" thickBot="1" x14ac:dyDescent="0.25">
      <c r="B177" s="355" t="s">
        <v>298</v>
      </c>
      <c r="C177" s="355" t="s">
        <v>299</v>
      </c>
      <c r="D177" s="355" t="s">
        <v>365</v>
      </c>
      <c r="E177" s="355" t="s">
        <v>300</v>
      </c>
      <c r="F177" s="356" t="s">
        <v>588</v>
      </c>
      <c r="G177" s="356"/>
      <c r="H177" s="354"/>
      <c r="I177" s="364"/>
      <c r="J177" s="362">
        <f>-708812+(10345240-1351800)</f>
        <v>8284628</v>
      </c>
      <c r="K177" s="364"/>
      <c r="L177" s="623"/>
    </row>
    <row r="178" spans="2:12" s="47" customFormat="1" ht="31.5" thickTop="1" thickBot="1" x14ac:dyDescent="0.25">
      <c r="B178" s="355" t="s">
        <v>320</v>
      </c>
      <c r="C178" s="355" t="s">
        <v>321</v>
      </c>
      <c r="D178" s="355" t="s">
        <v>301</v>
      </c>
      <c r="E178" s="355" t="s">
        <v>322</v>
      </c>
      <c r="F178" s="356" t="s">
        <v>604</v>
      </c>
      <c r="G178" s="356"/>
      <c r="H178" s="357"/>
      <c r="I178" s="356"/>
      <c r="J178" s="362">
        <f>5000000+3000000</f>
        <v>8000000</v>
      </c>
      <c r="K178" s="354"/>
      <c r="L178" s="623"/>
    </row>
    <row r="179" spans="2:12" s="47" customFormat="1" ht="46.5" thickTop="1" thickBot="1" x14ac:dyDescent="0.25">
      <c r="B179" s="355" t="s">
        <v>302</v>
      </c>
      <c r="C179" s="355" t="s">
        <v>303</v>
      </c>
      <c r="D179" s="355" t="s">
        <v>301</v>
      </c>
      <c r="E179" s="355" t="s">
        <v>503</v>
      </c>
      <c r="F179" s="356" t="s">
        <v>589</v>
      </c>
      <c r="G179" s="357"/>
      <c r="H179" s="357"/>
      <c r="I179" s="364"/>
      <c r="J179" s="362">
        <f>J180+J181+J182+J183</f>
        <v>13068461</v>
      </c>
      <c r="K179" s="364"/>
      <c r="L179" s="623"/>
    </row>
    <row r="180" spans="2:12" s="47" customFormat="1" ht="46.5" thickTop="1" thickBot="1" x14ac:dyDescent="0.25">
      <c r="B180" s="420" t="s">
        <v>302</v>
      </c>
      <c r="C180" s="420" t="s">
        <v>303</v>
      </c>
      <c r="D180" s="420" t="s">
        <v>301</v>
      </c>
      <c r="E180" s="420" t="s">
        <v>503</v>
      </c>
      <c r="F180" s="421" t="s">
        <v>599</v>
      </c>
      <c r="G180" s="356"/>
      <c r="H180" s="357"/>
      <c r="I180" s="356"/>
      <c r="J180" s="477">
        <v>1948000</v>
      </c>
      <c r="K180" s="354"/>
      <c r="L180" s="623"/>
    </row>
    <row r="181" spans="2:12" s="47" customFormat="1" ht="46.5" thickTop="1" thickBot="1" x14ac:dyDescent="0.25">
      <c r="B181" s="420" t="s">
        <v>302</v>
      </c>
      <c r="C181" s="420" t="s">
        <v>303</v>
      </c>
      <c r="D181" s="420" t="s">
        <v>301</v>
      </c>
      <c r="E181" s="420" t="s">
        <v>503</v>
      </c>
      <c r="F181" s="421" t="s">
        <v>590</v>
      </c>
      <c r="G181" s="357"/>
      <c r="H181" s="354"/>
      <c r="I181" s="364"/>
      <c r="J181" s="477">
        <v>10658900</v>
      </c>
      <c r="K181" s="364"/>
      <c r="L181" s="623"/>
    </row>
    <row r="182" spans="2:12" s="47" customFormat="1" ht="46.5" thickTop="1" thickBot="1" x14ac:dyDescent="0.25">
      <c r="B182" s="420" t="s">
        <v>302</v>
      </c>
      <c r="C182" s="420" t="s">
        <v>303</v>
      </c>
      <c r="D182" s="420" t="s">
        <v>301</v>
      </c>
      <c r="E182" s="420" t="s">
        <v>503</v>
      </c>
      <c r="F182" s="421" t="s">
        <v>600</v>
      </c>
      <c r="G182" s="356"/>
      <c r="H182" s="354"/>
      <c r="I182" s="364"/>
      <c r="J182" s="477">
        <v>461561</v>
      </c>
      <c r="K182" s="364"/>
      <c r="L182" s="623"/>
    </row>
    <row r="183" spans="2:12" s="47" customFormat="1" ht="76.5" hidden="1" thickTop="1" thickBot="1" x14ac:dyDescent="0.25">
      <c r="B183" s="355" t="s">
        <v>302</v>
      </c>
      <c r="C183" s="355" t="s">
        <v>303</v>
      </c>
      <c r="D183" s="355" t="s">
        <v>301</v>
      </c>
      <c r="E183" s="420" t="s">
        <v>503</v>
      </c>
      <c r="F183" s="421" t="s">
        <v>603</v>
      </c>
      <c r="G183" s="736" t="s">
        <v>531</v>
      </c>
      <c r="H183" s="735">
        <v>552300</v>
      </c>
      <c r="I183" s="737">
        <f>500000/H183</f>
        <v>0.90530508781459351</v>
      </c>
      <c r="J183" s="362">
        <f>52300-52300</f>
        <v>0</v>
      </c>
      <c r="K183" s="737">
        <f>(500000+J183)/H183</f>
        <v>0.90530508781459351</v>
      </c>
      <c r="L183" s="623"/>
    </row>
    <row r="184" spans="2:12" s="47" customFormat="1" ht="61.5" thickTop="1" thickBot="1" x14ac:dyDescent="0.25">
      <c r="B184" s="355" t="s">
        <v>315</v>
      </c>
      <c r="C184" s="355" t="s">
        <v>230</v>
      </c>
      <c r="D184" s="355" t="s">
        <v>231</v>
      </c>
      <c r="E184" s="355" t="s">
        <v>43</v>
      </c>
      <c r="F184" s="422" t="s">
        <v>771</v>
      </c>
      <c r="G184" s="356"/>
      <c r="H184" s="354"/>
      <c r="I184" s="364"/>
      <c r="J184" s="362">
        <f>300000+(2100000-2050000)</f>
        <v>350000</v>
      </c>
      <c r="K184" s="364"/>
      <c r="L184" s="623"/>
    </row>
    <row r="185" spans="2:12" s="47" customFormat="1" ht="31.5" thickTop="1" thickBot="1" x14ac:dyDescent="0.25">
      <c r="B185" s="355" t="s">
        <v>1129</v>
      </c>
      <c r="C185" s="355" t="s">
        <v>215</v>
      </c>
      <c r="D185" s="355" t="s">
        <v>184</v>
      </c>
      <c r="E185" s="355" t="s">
        <v>36</v>
      </c>
      <c r="F185" s="356" t="s">
        <v>53</v>
      </c>
      <c r="G185" s="356"/>
      <c r="H185" s="426"/>
      <c r="I185" s="356"/>
      <c r="J185" s="357">
        <f>J186+J187</f>
        <v>300000</v>
      </c>
      <c r="K185" s="364"/>
      <c r="L185" s="623"/>
    </row>
    <row r="186" spans="2:12" s="47" customFormat="1" ht="166.5" thickTop="1" thickBot="1" x14ac:dyDescent="0.25">
      <c r="B186" s="420" t="s">
        <v>1129</v>
      </c>
      <c r="C186" s="578" t="s">
        <v>215</v>
      </c>
      <c r="D186" s="578" t="s">
        <v>184</v>
      </c>
      <c r="E186" s="578" t="s">
        <v>36</v>
      </c>
      <c r="F186" s="579" t="s">
        <v>1128</v>
      </c>
      <c r="G186" s="580" t="s">
        <v>667</v>
      </c>
      <c r="H186" s="581">
        <v>1194767</v>
      </c>
      <c r="I186" s="582"/>
      <c r="J186" s="583">
        <v>300000</v>
      </c>
      <c r="K186" s="364">
        <f>(J186)/H186</f>
        <v>0.2510949833733272</v>
      </c>
      <c r="L186" s="623"/>
    </row>
    <row r="187" spans="2:12" s="47" customFormat="1" ht="31.5" hidden="1" thickTop="1" thickBot="1" x14ac:dyDescent="0.25">
      <c r="B187" s="420" t="s">
        <v>1129</v>
      </c>
      <c r="C187" s="578" t="s">
        <v>215</v>
      </c>
      <c r="D187" s="578" t="s">
        <v>184</v>
      </c>
      <c r="E187" s="578" t="s">
        <v>36</v>
      </c>
      <c r="F187" s="422" t="s">
        <v>1196</v>
      </c>
      <c r="G187" s="580"/>
      <c r="H187" s="581"/>
      <c r="I187" s="582"/>
      <c r="J187" s="583">
        <f>90000-90000</f>
        <v>0</v>
      </c>
      <c r="K187" s="364"/>
      <c r="L187" s="623"/>
    </row>
    <row r="188" spans="2:12" s="47" customFormat="1" ht="46.5" thickTop="1" thickBot="1" x14ac:dyDescent="0.25">
      <c r="B188" s="867" t="s">
        <v>641</v>
      </c>
      <c r="C188" s="867"/>
      <c r="D188" s="867"/>
      <c r="E188" s="868" t="s">
        <v>671</v>
      </c>
      <c r="F188" s="876"/>
      <c r="G188" s="869"/>
      <c r="H188" s="869"/>
      <c r="I188" s="869"/>
      <c r="J188" s="876">
        <f>J189</f>
        <v>150821170.57999998</v>
      </c>
      <c r="K188" s="876"/>
      <c r="L188" s="623"/>
    </row>
    <row r="189" spans="2:12" s="47" customFormat="1" ht="56.25" customHeight="1" thickTop="1" thickBot="1" x14ac:dyDescent="0.25">
      <c r="B189" s="870" t="s">
        <v>642</v>
      </c>
      <c r="C189" s="870"/>
      <c r="D189" s="870"/>
      <c r="E189" s="871" t="s">
        <v>672</v>
      </c>
      <c r="F189" s="877"/>
      <c r="G189" s="877"/>
      <c r="H189" s="877"/>
      <c r="I189" s="877"/>
      <c r="J189" s="877">
        <f>J190+J191+J210+J220+J221+J222+J270</f>
        <v>150821170.57999998</v>
      </c>
      <c r="K189" s="877"/>
      <c r="L189" s="623"/>
    </row>
    <row r="190" spans="2:12" s="47" customFormat="1" ht="72" customHeight="1" thickTop="1" thickBot="1" x14ac:dyDescent="0.25">
      <c r="B190" s="355" t="s">
        <v>643</v>
      </c>
      <c r="C190" s="355" t="s">
        <v>254</v>
      </c>
      <c r="D190" s="355" t="s">
        <v>252</v>
      </c>
      <c r="E190" s="355" t="s">
        <v>253</v>
      </c>
      <c r="F190" s="353" t="s">
        <v>578</v>
      </c>
      <c r="G190" s="423"/>
      <c r="H190" s="423"/>
      <c r="I190" s="423"/>
      <c r="J190" s="354">
        <v>144000</v>
      </c>
      <c r="K190" s="423"/>
      <c r="L190" s="623"/>
    </row>
    <row r="191" spans="2:12" s="47" customFormat="1" ht="39.75" customHeight="1" thickTop="1" thickBot="1" x14ac:dyDescent="0.25">
      <c r="B191" s="355" t="s">
        <v>648</v>
      </c>
      <c r="C191" s="355" t="s">
        <v>307</v>
      </c>
      <c r="D191" s="355" t="s">
        <v>301</v>
      </c>
      <c r="E191" s="355" t="s">
        <v>308</v>
      </c>
      <c r="F191" s="356" t="s">
        <v>589</v>
      </c>
      <c r="G191" s="356"/>
      <c r="H191" s="357"/>
      <c r="I191" s="356"/>
      <c r="J191" s="357">
        <f>SUM(J192:J209)</f>
        <v>16068531</v>
      </c>
      <c r="K191" s="357"/>
      <c r="L191" s="623"/>
    </row>
    <row r="192" spans="2:12" s="47" customFormat="1" ht="46.5" thickTop="1" thickBot="1" x14ac:dyDescent="0.25">
      <c r="B192" s="420" t="s">
        <v>648</v>
      </c>
      <c r="C192" s="420" t="s">
        <v>307</v>
      </c>
      <c r="D192" s="420" t="s">
        <v>301</v>
      </c>
      <c r="E192" s="420" t="s">
        <v>308</v>
      </c>
      <c r="F192" s="741" t="s">
        <v>1457</v>
      </c>
      <c r="G192" s="739" t="s">
        <v>667</v>
      </c>
      <c r="H192" s="739"/>
      <c r="I192" s="742"/>
      <c r="J192" s="424">
        <v>1500000</v>
      </c>
      <c r="K192" s="424"/>
      <c r="L192" s="623"/>
    </row>
    <row r="193" spans="2:12" s="47" customFormat="1" ht="57" customHeight="1" thickTop="1" thickBot="1" x14ac:dyDescent="0.25">
      <c r="B193" s="420" t="s">
        <v>648</v>
      </c>
      <c r="C193" s="420" t="s">
        <v>307</v>
      </c>
      <c r="D193" s="420" t="s">
        <v>301</v>
      </c>
      <c r="E193" s="420" t="s">
        <v>308</v>
      </c>
      <c r="F193" s="421" t="s">
        <v>591</v>
      </c>
      <c r="G193" s="739" t="s">
        <v>667</v>
      </c>
      <c r="H193" s="739"/>
      <c r="I193" s="742"/>
      <c r="J193" s="424">
        <f>-39970+(3000000-2121016)</f>
        <v>839014</v>
      </c>
      <c r="K193" s="742"/>
      <c r="L193" s="623"/>
    </row>
    <row r="194" spans="2:12" s="47" customFormat="1" ht="39.75" customHeight="1" thickTop="1" thickBot="1" x14ac:dyDescent="0.25">
      <c r="B194" s="420" t="s">
        <v>648</v>
      </c>
      <c r="C194" s="420" t="s">
        <v>307</v>
      </c>
      <c r="D194" s="420" t="s">
        <v>301</v>
      </c>
      <c r="E194" s="420" t="s">
        <v>308</v>
      </c>
      <c r="F194" s="421" t="s">
        <v>660</v>
      </c>
      <c r="G194" s="739" t="s">
        <v>667</v>
      </c>
      <c r="H194" s="739"/>
      <c r="I194" s="742"/>
      <c r="J194" s="424">
        <v>3341100</v>
      </c>
      <c r="K194" s="424"/>
      <c r="L194" s="623"/>
    </row>
    <row r="195" spans="2:12" s="47" customFormat="1" ht="58.5" customHeight="1" thickTop="1" thickBot="1" x14ac:dyDescent="0.25">
      <c r="B195" s="420" t="s">
        <v>648</v>
      </c>
      <c r="C195" s="420" t="s">
        <v>307</v>
      </c>
      <c r="D195" s="420" t="s">
        <v>301</v>
      </c>
      <c r="E195" s="420" t="s">
        <v>308</v>
      </c>
      <c r="F195" s="421" t="s">
        <v>592</v>
      </c>
      <c r="G195" s="739" t="s">
        <v>667</v>
      </c>
      <c r="H195" s="739"/>
      <c r="I195" s="742"/>
      <c r="J195" s="424">
        <f>600000+60000</f>
        <v>660000</v>
      </c>
      <c r="K195" s="424"/>
      <c r="L195" s="623"/>
    </row>
    <row r="196" spans="2:12" s="47" customFormat="1" ht="85.5" customHeight="1" thickTop="1" thickBot="1" x14ac:dyDescent="0.25">
      <c r="B196" s="420" t="s">
        <v>648</v>
      </c>
      <c r="C196" s="420" t="s">
        <v>307</v>
      </c>
      <c r="D196" s="420" t="s">
        <v>301</v>
      </c>
      <c r="E196" s="420" t="s">
        <v>308</v>
      </c>
      <c r="F196" s="421" t="s">
        <v>593</v>
      </c>
      <c r="G196" s="424" t="s">
        <v>587</v>
      </c>
      <c r="H196" s="424">
        <v>4552060</v>
      </c>
      <c r="I196" s="743">
        <f>(1207002.59+1000000+346061.97)/H196</f>
        <v>0.56085916266481539</v>
      </c>
      <c r="J196" s="424">
        <f>-10972+(1000000)</f>
        <v>989028</v>
      </c>
      <c r="K196" s="743">
        <f>(1207002.59+1000000+350000+J196)/H196</f>
        <v>0.77899469470964788</v>
      </c>
      <c r="L196" s="623"/>
    </row>
    <row r="197" spans="2:12" s="47" customFormat="1" ht="55.5" customHeight="1" thickTop="1" thickBot="1" x14ac:dyDescent="0.25">
      <c r="B197" s="420" t="s">
        <v>648</v>
      </c>
      <c r="C197" s="420" t="s">
        <v>307</v>
      </c>
      <c r="D197" s="420" t="s">
        <v>301</v>
      </c>
      <c r="E197" s="420" t="s">
        <v>308</v>
      </c>
      <c r="F197" s="421" t="s">
        <v>661</v>
      </c>
      <c r="G197" s="424" t="s">
        <v>594</v>
      </c>
      <c r="H197" s="424">
        <v>7725528</v>
      </c>
      <c r="I197" s="743">
        <f>(860002.41+1990758.43)/H197</f>
        <v>0.36900530811615723</v>
      </c>
      <c r="J197" s="739">
        <f>3000000+532023</f>
        <v>3532023</v>
      </c>
      <c r="K197" s="743">
        <f>(860002.41+2000000+J197)/H197</f>
        <v>0.8273901033042661</v>
      </c>
      <c r="L197" s="623"/>
    </row>
    <row r="198" spans="2:12" s="47" customFormat="1" ht="75.75" customHeight="1" thickTop="1" thickBot="1" x14ac:dyDescent="0.25">
      <c r="B198" s="420" t="s">
        <v>648</v>
      </c>
      <c r="C198" s="420" t="s">
        <v>307</v>
      </c>
      <c r="D198" s="420" t="s">
        <v>301</v>
      </c>
      <c r="E198" s="420" t="s">
        <v>308</v>
      </c>
      <c r="F198" s="421" t="s">
        <v>662</v>
      </c>
      <c r="G198" s="744" t="s">
        <v>594</v>
      </c>
      <c r="H198" s="744">
        <v>4380277</v>
      </c>
      <c r="I198" s="743">
        <f>(258212.92+931600.07)/H198</f>
        <v>0.27162962296676674</v>
      </c>
      <c r="J198" s="739">
        <f>-31716+(2122064+850000)</f>
        <v>2940348</v>
      </c>
      <c r="K198" s="743">
        <f>(258212.92+1000000+J198)/H198</f>
        <v>0.95851493410119948</v>
      </c>
      <c r="L198" s="623"/>
    </row>
    <row r="199" spans="2:12" s="47" customFormat="1" ht="67.5" customHeight="1" thickTop="1" thickBot="1" x14ac:dyDescent="0.25">
      <c r="B199" s="420" t="s">
        <v>648</v>
      </c>
      <c r="C199" s="420" t="s">
        <v>307</v>
      </c>
      <c r="D199" s="420" t="s">
        <v>301</v>
      </c>
      <c r="E199" s="420" t="s">
        <v>308</v>
      </c>
      <c r="F199" s="421" t="s">
        <v>663</v>
      </c>
      <c r="G199" s="739" t="s">
        <v>667</v>
      </c>
      <c r="H199" s="739"/>
      <c r="I199" s="742"/>
      <c r="J199" s="424">
        <f>300000+26000</f>
        <v>326000</v>
      </c>
      <c r="K199" s="743"/>
      <c r="L199" s="623"/>
    </row>
    <row r="200" spans="2:12" s="47" customFormat="1" ht="52.5" customHeight="1" thickTop="1" thickBot="1" x14ac:dyDescent="0.25">
      <c r="B200" s="420" t="s">
        <v>648</v>
      </c>
      <c r="C200" s="420" t="s">
        <v>307</v>
      </c>
      <c r="D200" s="420" t="s">
        <v>301</v>
      </c>
      <c r="E200" s="420" t="s">
        <v>308</v>
      </c>
      <c r="F200" s="421" t="s">
        <v>766</v>
      </c>
      <c r="G200" s="739" t="s">
        <v>667</v>
      </c>
      <c r="H200" s="739"/>
      <c r="I200" s="742">
        <v>0</v>
      </c>
      <c r="J200" s="424">
        <f>-108741+(600000)</f>
        <v>491259</v>
      </c>
      <c r="K200" s="743"/>
      <c r="L200" s="623"/>
    </row>
    <row r="201" spans="2:12" s="47" customFormat="1" ht="57.75" customHeight="1" thickTop="1" thickBot="1" x14ac:dyDescent="0.25">
      <c r="B201" s="420" t="s">
        <v>648</v>
      </c>
      <c r="C201" s="420" t="s">
        <v>307</v>
      </c>
      <c r="D201" s="420" t="s">
        <v>301</v>
      </c>
      <c r="E201" s="420" t="s">
        <v>308</v>
      </c>
      <c r="F201" s="421" t="s">
        <v>765</v>
      </c>
      <c r="G201" s="739" t="s">
        <v>667</v>
      </c>
      <c r="H201" s="739"/>
      <c r="I201" s="742">
        <v>0</v>
      </c>
      <c r="J201" s="424">
        <f>-35000+(400000)</f>
        <v>365000</v>
      </c>
      <c r="K201" s="743"/>
      <c r="L201" s="623"/>
    </row>
    <row r="202" spans="2:12" s="47" customFormat="1" ht="66.75" hidden="1" customHeight="1" thickTop="1" thickBot="1" x14ac:dyDescent="0.25">
      <c r="B202" s="420" t="s">
        <v>648</v>
      </c>
      <c r="C202" s="420" t="s">
        <v>307</v>
      </c>
      <c r="D202" s="420" t="s">
        <v>301</v>
      </c>
      <c r="E202" s="420" t="s">
        <v>308</v>
      </c>
      <c r="F202" s="421" t="s">
        <v>767</v>
      </c>
      <c r="G202" s="427" t="s">
        <v>659</v>
      </c>
      <c r="H202" s="424">
        <v>113479</v>
      </c>
      <c r="I202" s="743">
        <f>61479/H202</f>
        <v>0.54176543677684863</v>
      </c>
      <c r="J202" s="738">
        <v>0</v>
      </c>
      <c r="K202" s="743">
        <f>(61479+J202)/H202</f>
        <v>0.54176543677684863</v>
      </c>
      <c r="L202" s="623"/>
    </row>
    <row r="203" spans="2:12" s="47" customFormat="1" ht="83.25" customHeight="1" thickTop="1" thickBot="1" x14ac:dyDescent="0.25">
      <c r="B203" s="420" t="s">
        <v>648</v>
      </c>
      <c r="C203" s="420" t="s">
        <v>307</v>
      </c>
      <c r="D203" s="420" t="s">
        <v>301</v>
      </c>
      <c r="E203" s="420" t="s">
        <v>308</v>
      </c>
      <c r="F203" s="421" t="s">
        <v>1085</v>
      </c>
      <c r="G203" s="739" t="s">
        <v>667</v>
      </c>
      <c r="H203" s="739"/>
      <c r="I203" s="742">
        <v>0</v>
      </c>
      <c r="J203" s="424">
        <f>-170581+(180000)</f>
        <v>9419</v>
      </c>
      <c r="K203" s="743"/>
      <c r="L203" s="623"/>
    </row>
    <row r="204" spans="2:12" s="47" customFormat="1" ht="54.75" customHeight="1" thickTop="1" thickBot="1" x14ac:dyDescent="0.25">
      <c r="B204" s="420" t="s">
        <v>648</v>
      </c>
      <c r="C204" s="420" t="s">
        <v>307</v>
      </c>
      <c r="D204" s="420" t="s">
        <v>301</v>
      </c>
      <c r="E204" s="420" t="s">
        <v>308</v>
      </c>
      <c r="F204" s="421" t="s">
        <v>1086</v>
      </c>
      <c r="G204" s="739" t="s">
        <v>667</v>
      </c>
      <c r="H204" s="739"/>
      <c r="I204" s="742"/>
      <c r="J204" s="739">
        <f>200000-49732</f>
        <v>150268</v>
      </c>
      <c r="K204" s="743"/>
      <c r="L204" s="623"/>
    </row>
    <row r="205" spans="2:12" s="47" customFormat="1" ht="42" customHeight="1" thickTop="1" thickBot="1" x14ac:dyDescent="0.25">
      <c r="B205" s="420" t="s">
        <v>648</v>
      </c>
      <c r="C205" s="420" t="s">
        <v>307</v>
      </c>
      <c r="D205" s="420" t="s">
        <v>301</v>
      </c>
      <c r="E205" s="420" t="s">
        <v>308</v>
      </c>
      <c r="F205" s="421" t="s">
        <v>1130</v>
      </c>
      <c r="G205" s="739" t="s">
        <v>667</v>
      </c>
      <c r="H205" s="739"/>
      <c r="I205" s="742">
        <v>0</v>
      </c>
      <c r="J205" s="424">
        <v>180000</v>
      </c>
      <c r="K205" s="743"/>
      <c r="L205" s="623"/>
    </row>
    <row r="206" spans="2:12" s="47" customFormat="1" ht="72" customHeight="1" thickTop="1" thickBot="1" x14ac:dyDescent="0.25">
      <c r="B206" s="420" t="s">
        <v>648</v>
      </c>
      <c r="C206" s="420" t="s">
        <v>307</v>
      </c>
      <c r="D206" s="420" t="s">
        <v>301</v>
      </c>
      <c r="E206" s="420" t="s">
        <v>308</v>
      </c>
      <c r="F206" s="421" t="s">
        <v>1131</v>
      </c>
      <c r="G206" s="739" t="s">
        <v>667</v>
      </c>
      <c r="H206" s="739"/>
      <c r="I206" s="742">
        <v>0</v>
      </c>
      <c r="J206" s="424">
        <v>180000</v>
      </c>
      <c r="K206" s="743"/>
      <c r="L206" s="623"/>
    </row>
    <row r="207" spans="2:12" s="47" customFormat="1" ht="46.5" thickTop="1" thickBot="1" x14ac:dyDescent="0.25">
      <c r="B207" s="420" t="s">
        <v>648</v>
      </c>
      <c r="C207" s="420" t="s">
        <v>307</v>
      </c>
      <c r="D207" s="420" t="s">
        <v>301</v>
      </c>
      <c r="E207" s="420" t="s">
        <v>308</v>
      </c>
      <c r="F207" s="421" t="s">
        <v>1132</v>
      </c>
      <c r="G207" s="739" t="s">
        <v>667</v>
      </c>
      <c r="H207" s="739"/>
      <c r="I207" s="742">
        <v>0</v>
      </c>
      <c r="J207" s="424">
        <f>(90000)-74928</f>
        <v>15072</v>
      </c>
      <c r="K207" s="743"/>
      <c r="L207" s="623"/>
    </row>
    <row r="208" spans="2:12" s="47" customFormat="1" ht="127.5" customHeight="1" thickTop="1" thickBot="1" x14ac:dyDescent="0.25">
      <c r="B208" s="420" t="s">
        <v>648</v>
      </c>
      <c r="C208" s="420" t="s">
        <v>307</v>
      </c>
      <c r="D208" s="420" t="s">
        <v>301</v>
      </c>
      <c r="E208" s="420" t="s">
        <v>308</v>
      </c>
      <c r="F208" s="741" t="s">
        <v>1308</v>
      </c>
      <c r="G208" s="739" t="s">
        <v>667</v>
      </c>
      <c r="H208" s="739"/>
      <c r="I208" s="742">
        <v>0</v>
      </c>
      <c r="J208" s="739">
        <v>500000</v>
      </c>
      <c r="K208" s="742"/>
      <c r="L208" s="623"/>
    </row>
    <row r="209" spans="2:12" s="47" customFormat="1" ht="46.5" thickTop="1" thickBot="1" x14ac:dyDescent="0.25">
      <c r="B209" s="420" t="s">
        <v>648</v>
      </c>
      <c r="C209" s="420" t="s">
        <v>307</v>
      </c>
      <c r="D209" s="420" t="s">
        <v>301</v>
      </c>
      <c r="E209" s="420" t="s">
        <v>308</v>
      </c>
      <c r="F209" s="741" t="s">
        <v>1507</v>
      </c>
      <c r="G209" s="739" t="s">
        <v>667</v>
      </c>
      <c r="H209" s="739"/>
      <c r="I209" s="742">
        <v>0</v>
      </c>
      <c r="J209" s="739">
        <v>50000</v>
      </c>
      <c r="K209" s="742"/>
      <c r="L209" s="623"/>
    </row>
    <row r="210" spans="2:12" s="47" customFormat="1" ht="96" customHeight="1" thickTop="1" thickBot="1" x14ac:dyDescent="0.25">
      <c r="B210" s="355" t="s">
        <v>649</v>
      </c>
      <c r="C210" s="355" t="s">
        <v>324</v>
      </c>
      <c r="D210" s="355" t="s">
        <v>323</v>
      </c>
      <c r="E210" s="355" t="s">
        <v>506</v>
      </c>
      <c r="F210" s="356" t="s">
        <v>53</v>
      </c>
      <c r="G210" s="356"/>
      <c r="H210" s="357"/>
      <c r="I210" s="356"/>
      <c r="J210" s="354">
        <f>SUM(J211:J219)</f>
        <v>5950000</v>
      </c>
      <c r="K210" s="354"/>
      <c r="L210" s="623"/>
    </row>
    <row r="211" spans="2:12" s="47" customFormat="1" ht="105" customHeight="1" thickTop="1" thickBot="1" x14ac:dyDescent="0.25">
      <c r="B211" s="420" t="s">
        <v>649</v>
      </c>
      <c r="C211" s="420" t="s">
        <v>324</v>
      </c>
      <c r="D211" s="420" t="s">
        <v>323</v>
      </c>
      <c r="E211" s="420" t="s">
        <v>506</v>
      </c>
      <c r="F211" s="421" t="s">
        <v>1315</v>
      </c>
      <c r="G211" s="424" t="s">
        <v>1365</v>
      </c>
      <c r="H211" s="739">
        <v>11252200</v>
      </c>
      <c r="I211" s="745">
        <v>0</v>
      </c>
      <c r="J211" s="739">
        <v>2000000</v>
      </c>
      <c r="K211" s="745">
        <f>J211/H211</f>
        <v>0.17774301914292318</v>
      </c>
      <c r="L211" s="623"/>
    </row>
    <row r="212" spans="2:12" s="47" customFormat="1" ht="107.25" customHeight="1" thickTop="1" thickBot="1" x14ac:dyDescent="0.25">
      <c r="B212" s="420" t="s">
        <v>649</v>
      </c>
      <c r="C212" s="420" t="s">
        <v>324</v>
      </c>
      <c r="D212" s="420" t="s">
        <v>323</v>
      </c>
      <c r="E212" s="420" t="s">
        <v>506</v>
      </c>
      <c r="F212" s="421" t="s">
        <v>675</v>
      </c>
      <c r="G212" s="424" t="s">
        <v>594</v>
      </c>
      <c r="H212" s="424">
        <v>18370999</v>
      </c>
      <c r="I212" s="746">
        <f>(140000+253335)/H212</f>
        <v>2.1410648381179488E-2</v>
      </c>
      <c r="J212" s="424">
        <f>3000000</f>
        <v>3000000</v>
      </c>
      <c r="K212" s="746">
        <f>(140000+253415+J212)/H212</f>
        <v>0.18471586656773537</v>
      </c>
      <c r="L212" s="623"/>
    </row>
    <row r="213" spans="2:12" s="47" customFormat="1" ht="105" hidden="1" customHeight="1" thickTop="1" thickBot="1" x14ac:dyDescent="0.25">
      <c r="B213" s="420" t="s">
        <v>649</v>
      </c>
      <c r="C213" s="420" t="s">
        <v>324</v>
      </c>
      <c r="D213" s="420" t="s">
        <v>323</v>
      </c>
      <c r="E213" s="420" t="s">
        <v>506</v>
      </c>
      <c r="F213" s="421" t="s">
        <v>664</v>
      </c>
      <c r="G213" s="424"/>
      <c r="H213" s="424"/>
      <c r="I213" s="746"/>
      <c r="J213" s="424">
        <f>200000-200000</f>
        <v>0</v>
      </c>
      <c r="K213" s="743"/>
      <c r="L213" s="623"/>
    </row>
    <row r="214" spans="2:12" s="47" customFormat="1" ht="93.75" customHeight="1" thickTop="1" thickBot="1" x14ac:dyDescent="0.25">
      <c r="B214" s="420" t="s">
        <v>649</v>
      </c>
      <c r="C214" s="420" t="s">
        <v>324</v>
      </c>
      <c r="D214" s="420" t="s">
        <v>323</v>
      </c>
      <c r="E214" s="420" t="s">
        <v>506</v>
      </c>
      <c r="F214" s="421" t="s">
        <v>1084</v>
      </c>
      <c r="G214" s="424" t="s">
        <v>667</v>
      </c>
      <c r="H214" s="424"/>
      <c r="I214" s="746">
        <v>0</v>
      </c>
      <c r="J214" s="424">
        <v>300000</v>
      </c>
      <c r="K214" s="743"/>
      <c r="L214" s="623"/>
    </row>
    <row r="215" spans="2:12" s="47" customFormat="1" ht="103.5" hidden="1" customHeight="1" thickTop="1" thickBot="1" x14ac:dyDescent="0.25">
      <c r="B215" s="420" t="s">
        <v>649</v>
      </c>
      <c r="C215" s="420" t="s">
        <v>324</v>
      </c>
      <c r="D215" s="420" t="s">
        <v>323</v>
      </c>
      <c r="E215" s="420" t="s">
        <v>506</v>
      </c>
      <c r="F215" s="428" t="s">
        <v>1149</v>
      </c>
      <c r="G215" s="424"/>
      <c r="H215" s="424"/>
      <c r="I215" s="418"/>
      <c r="J215" s="738">
        <f>257020-257020</f>
        <v>0</v>
      </c>
      <c r="K215" s="364"/>
      <c r="L215" s="623"/>
    </row>
    <row r="216" spans="2:12" s="47" customFormat="1" ht="119.25" hidden="1" customHeight="1" thickTop="1" thickBot="1" x14ac:dyDescent="0.25">
      <c r="B216" s="420" t="s">
        <v>649</v>
      </c>
      <c r="C216" s="420" t="s">
        <v>324</v>
      </c>
      <c r="D216" s="420" t="s">
        <v>323</v>
      </c>
      <c r="E216" s="420" t="s">
        <v>506</v>
      </c>
      <c r="F216" s="428" t="s">
        <v>1150</v>
      </c>
      <c r="G216" s="424"/>
      <c r="H216" s="424"/>
      <c r="I216" s="418"/>
      <c r="J216" s="738">
        <f>224762-224762</f>
        <v>0</v>
      </c>
      <c r="K216" s="364"/>
      <c r="L216" s="623"/>
    </row>
    <row r="217" spans="2:12" s="47" customFormat="1" ht="99" hidden="1" customHeight="1" thickTop="1" thickBot="1" x14ac:dyDescent="0.25">
      <c r="B217" s="420" t="s">
        <v>649</v>
      </c>
      <c r="C217" s="420" t="s">
        <v>324</v>
      </c>
      <c r="D217" s="420" t="s">
        <v>323</v>
      </c>
      <c r="E217" s="420" t="s">
        <v>506</v>
      </c>
      <c r="F217" s="428" t="s">
        <v>1151</v>
      </c>
      <c r="G217" s="424" t="s">
        <v>667</v>
      </c>
      <c r="H217" s="424"/>
      <c r="I217" s="418"/>
      <c r="J217" s="738">
        <f>498740-498740</f>
        <v>0</v>
      </c>
      <c r="K217" s="364"/>
      <c r="L217" s="623"/>
    </row>
    <row r="218" spans="2:12" s="47" customFormat="1" ht="106.5" thickTop="1" thickBot="1" x14ac:dyDescent="0.25">
      <c r="B218" s="420" t="s">
        <v>649</v>
      </c>
      <c r="C218" s="420" t="s">
        <v>324</v>
      </c>
      <c r="D218" s="420" t="s">
        <v>323</v>
      </c>
      <c r="E218" s="420" t="s">
        <v>506</v>
      </c>
      <c r="F218" s="428" t="s">
        <v>1488</v>
      </c>
      <c r="G218" s="424" t="s">
        <v>667</v>
      </c>
      <c r="H218" s="424"/>
      <c r="I218" s="746">
        <v>0</v>
      </c>
      <c r="J218" s="739">
        <v>150000</v>
      </c>
      <c r="K218" s="364"/>
      <c r="L218" s="623"/>
    </row>
    <row r="219" spans="2:12" s="47" customFormat="1" ht="61.5" thickTop="1" thickBot="1" x14ac:dyDescent="0.25">
      <c r="B219" s="420" t="s">
        <v>649</v>
      </c>
      <c r="C219" s="420" t="s">
        <v>324</v>
      </c>
      <c r="D219" s="420" t="s">
        <v>323</v>
      </c>
      <c r="E219" s="420" t="s">
        <v>506</v>
      </c>
      <c r="F219" s="428" t="s">
        <v>1487</v>
      </c>
      <c r="G219" s="424" t="s">
        <v>667</v>
      </c>
      <c r="H219" s="424"/>
      <c r="I219" s="746">
        <v>0</v>
      </c>
      <c r="J219" s="739">
        <v>500000</v>
      </c>
      <c r="K219" s="364"/>
      <c r="L219" s="623"/>
    </row>
    <row r="220" spans="2:12" s="47" customFormat="1" ht="62.25" customHeight="1" thickTop="1" thickBot="1" x14ac:dyDescent="0.25">
      <c r="B220" s="355" t="s">
        <v>650</v>
      </c>
      <c r="C220" s="355" t="s">
        <v>312</v>
      </c>
      <c r="D220" s="355" t="s">
        <v>314</v>
      </c>
      <c r="E220" s="355" t="s">
        <v>313</v>
      </c>
      <c r="F220" s="356" t="s">
        <v>61</v>
      </c>
      <c r="G220" s="356"/>
      <c r="H220" s="357"/>
      <c r="I220" s="356"/>
      <c r="J220" s="357">
        <f>(16932021+60000000)-5594808-6800000</f>
        <v>64537213</v>
      </c>
      <c r="K220" s="364"/>
      <c r="L220" s="623"/>
    </row>
    <row r="221" spans="2:12" s="47" customFormat="1" ht="76.5" thickTop="1" thickBot="1" x14ac:dyDescent="0.25">
      <c r="B221" s="355" t="s">
        <v>651</v>
      </c>
      <c r="C221" s="355" t="s">
        <v>230</v>
      </c>
      <c r="D221" s="355" t="s">
        <v>231</v>
      </c>
      <c r="E221" s="355" t="s">
        <v>43</v>
      </c>
      <c r="F221" s="422" t="s">
        <v>1076</v>
      </c>
      <c r="G221" s="356" t="s">
        <v>531</v>
      </c>
      <c r="H221" s="425">
        <v>30859243</v>
      </c>
      <c r="I221" s="418">
        <v>0</v>
      </c>
      <c r="J221" s="360">
        <f>18508795.58+2040727</f>
        <v>20549522.579999998</v>
      </c>
      <c r="K221" s="418">
        <f>J221/H221</f>
        <v>0.66591142822265592</v>
      </c>
      <c r="L221" s="623"/>
    </row>
    <row r="222" spans="2:12" s="47" customFormat="1" ht="31.5" thickTop="1" thickBot="1" x14ac:dyDescent="0.25">
      <c r="B222" s="355" t="s">
        <v>652</v>
      </c>
      <c r="C222" s="355" t="s">
        <v>215</v>
      </c>
      <c r="D222" s="355" t="s">
        <v>184</v>
      </c>
      <c r="E222" s="355" t="s">
        <v>36</v>
      </c>
      <c r="F222" s="356" t="s">
        <v>53</v>
      </c>
      <c r="G222" s="356"/>
      <c r="H222" s="426"/>
      <c r="I222" s="356"/>
      <c r="J222" s="357">
        <f>SUM(J223:J269)</f>
        <v>43539904</v>
      </c>
      <c r="K222" s="364"/>
      <c r="L222" s="623"/>
    </row>
    <row r="223" spans="2:12" s="47" customFormat="1" ht="61.5" thickTop="1" thickBot="1" x14ac:dyDescent="0.25">
      <c r="B223" s="578" t="s">
        <v>652</v>
      </c>
      <c r="C223" s="578" t="s">
        <v>215</v>
      </c>
      <c r="D223" s="578" t="s">
        <v>184</v>
      </c>
      <c r="E223" s="578" t="s">
        <v>36</v>
      </c>
      <c r="F223" s="579" t="s">
        <v>1083</v>
      </c>
      <c r="G223" s="747"/>
      <c r="H223" s="583"/>
      <c r="I223" s="748"/>
      <c r="J223" s="739">
        <f>1220300-2300</f>
        <v>1218000</v>
      </c>
      <c r="K223" s="748"/>
      <c r="L223" s="623"/>
    </row>
    <row r="224" spans="2:12" s="47" customFormat="1" ht="61.5" thickTop="1" thickBot="1" x14ac:dyDescent="0.25">
      <c r="B224" s="578" t="s">
        <v>652</v>
      </c>
      <c r="C224" s="578" t="s">
        <v>215</v>
      </c>
      <c r="D224" s="578" t="s">
        <v>184</v>
      </c>
      <c r="E224" s="578" t="s">
        <v>36</v>
      </c>
      <c r="F224" s="562" t="s">
        <v>1309</v>
      </c>
      <c r="G224" s="740"/>
      <c r="H224" s="739"/>
      <c r="I224" s="745"/>
      <c r="J224" s="739">
        <v>540000</v>
      </c>
      <c r="K224" s="745"/>
      <c r="L224" s="623"/>
    </row>
    <row r="225" spans="2:12" s="47" customFormat="1" ht="76.5" thickTop="1" thickBot="1" x14ac:dyDescent="0.25">
      <c r="B225" s="578" t="s">
        <v>652</v>
      </c>
      <c r="C225" s="578" t="s">
        <v>215</v>
      </c>
      <c r="D225" s="578" t="s">
        <v>184</v>
      </c>
      <c r="E225" s="578" t="s">
        <v>36</v>
      </c>
      <c r="F225" s="562" t="s">
        <v>1310</v>
      </c>
      <c r="G225" s="740"/>
      <c r="H225" s="739"/>
      <c r="I225" s="745"/>
      <c r="J225" s="739">
        <v>660000</v>
      </c>
      <c r="K225" s="745"/>
      <c r="L225" s="623"/>
    </row>
    <row r="226" spans="2:12" s="47" customFormat="1" ht="61.5" thickTop="1" thickBot="1" x14ac:dyDescent="0.25">
      <c r="B226" s="578" t="s">
        <v>652</v>
      </c>
      <c r="C226" s="578" t="s">
        <v>215</v>
      </c>
      <c r="D226" s="578" t="s">
        <v>184</v>
      </c>
      <c r="E226" s="578" t="s">
        <v>36</v>
      </c>
      <c r="F226" s="579" t="s">
        <v>1180</v>
      </c>
      <c r="G226" s="747"/>
      <c r="H226" s="583"/>
      <c r="I226" s="748"/>
      <c r="J226" s="583">
        <f>(2885097)-200000</f>
        <v>2685097</v>
      </c>
      <c r="K226" s="748"/>
      <c r="L226" s="623"/>
    </row>
    <row r="227" spans="2:12" s="47" customFormat="1" ht="46.5" thickTop="1" thickBot="1" x14ac:dyDescent="0.25">
      <c r="B227" s="578" t="s">
        <v>652</v>
      </c>
      <c r="C227" s="578" t="s">
        <v>215</v>
      </c>
      <c r="D227" s="578" t="s">
        <v>184</v>
      </c>
      <c r="E227" s="578" t="s">
        <v>36</v>
      </c>
      <c r="F227" s="579" t="s">
        <v>1492</v>
      </c>
      <c r="G227" s="747"/>
      <c r="H227" s="583"/>
      <c r="I227" s="748"/>
      <c r="J227" s="583">
        <v>200000</v>
      </c>
      <c r="K227" s="748"/>
      <c r="L227" s="623"/>
    </row>
    <row r="228" spans="2:12" s="47" customFormat="1" ht="61.5" thickTop="1" thickBot="1" x14ac:dyDescent="0.25">
      <c r="B228" s="578" t="s">
        <v>652</v>
      </c>
      <c r="C228" s="578" t="s">
        <v>215</v>
      </c>
      <c r="D228" s="578" t="s">
        <v>184</v>
      </c>
      <c r="E228" s="578" t="s">
        <v>36</v>
      </c>
      <c r="F228" s="579" t="s">
        <v>1096</v>
      </c>
      <c r="G228" s="747"/>
      <c r="H228" s="583"/>
      <c r="I228" s="748"/>
      <c r="J228" s="739">
        <f>50000+395000</f>
        <v>445000</v>
      </c>
      <c r="K228" s="748"/>
      <c r="L228" s="623"/>
    </row>
    <row r="229" spans="2:12" s="47" customFormat="1" ht="91.5" thickTop="1" thickBot="1" x14ac:dyDescent="0.25">
      <c r="B229" s="420" t="s">
        <v>652</v>
      </c>
      <c r="C229" s="420" t="s">
        <v>215</v>
      </c>
      <c r="D229" s="420" t="s">
        <v>184</v>
      </c>
      <c r="E229" s="420" t="s">
        <v>36</v>
      </c>
      <c r="F229" s="422" t="s">
        <v>665</v>
      </c>
      <c r="G229" s="427" t="s">
        <v>666</v>
      </c>
      <c r="H229" s="424">
        <v>4730960</v>
      </c>
      <c r="I229" s="746">
        <f>(70200+0)/H229</f>
        <v>1.4838426027698396E-2</v>
      </c>
      <c r="J229" s="739">
        <f>-95000+(3500000-3400000)</f>
        <v>5000</v>
      </c>
      <c r="K229" s="746">
        <f>(70200+50000+J229)/H229</f>
        <v>2.6463973485296853E-2</v>
      </c>
      <c r="L229" s="623"/>
    </row>
    <row r="230" spans="2:12" s="47" customFormat="1" ht="138.75" hidden="1" customHeight="1" thickTop="1" thickBot="1" x14ac:dyDescent="0.25">
      <c r="B230" s="420" t="s">
        <v>652</v>
      </c>
      <c r="C230" s="420" t="s">
        <v>215</v>
      </c>
      <c r="D230" s="420" t="s">
        <v>184</v>
      </c>
      <c r="E230" s="420" t="s">
        <v>36</v>
      </c>
      <c r="F230" s="428" t="s">
        <v>601</v>
      </c>
      <c r="G230" s="427" t="s">
        <v>667</v>
      </c>
      <c r="H230" s="424"/>
      <c r="I230" s="746">
        <v>0</v>
      </c>
      <c r="J230" s="738">
        <f>400000-380000-20000</f>
        <v>0</v>
      </c>
      <c r="K230" s="424"/>
      <c r="L230" s="623"/>
    </row>
    <row r="231" spans="2:12" s="47" customFormat="1" ht="123" customHeight="1" thickTop="1" thickBot="1" x14ac:dyDescent="0.25">
      <c r="B231" s="420" t="s">
        <v>652</v>
      </c>
      <c r="C231" s="420" t="s">
        <v>215</v>
      </c>
      <c r="D231" s="420" t="s">
        <v>184</v>
      </c>
      <c r="E231" s="420" t="s">
        <v>36</v>
      </c>
      <c r="F231" s="428" t="s">
        <v>1212</v>
      </c>
      <c r="G231" s="427" t="s">
        <v>667</v>
      </c>
      <c r="H231" s="424"/>
      <c r="I231" s="746">
        <v>0</v>
      </c>
      <c r="J231" s="424">
        <f>380000+470000</f>
        <v>850000</v>
      </c>
      <c r="K231" s="424"/>
      <c r="L231" s="623"/>
    </row>
    <row r="232" spans="2:12" s="47" customFormat="1" ht="100.5" hidden="1" customHeight="1" thickTop="1" thickBot="1" x14ac:dyDescent="0.25">
      <c r="B232" s="420" t="s">
        <v>652</v>
      </c>
      <c r="C232" s="420" t="s">
        <v>215</v>
      </c>
      <c r="D232" s="420" t="s">
        <v>184</v>
      </c>
      <c r="E232" s="420" t="s">
        <v>36</v>
      </c>
      <c r="F232" s="428" t="s">
        <v>1491</v>
      </c>
      <c r="G232" s="427" t="s">
        <v>667</v>
      </c>
      <c r="H232" s="424"/>
      <c r="I232" s="746">
        <v>0</v>
      </c>
      <c r="J232" s="739">
        <f>(50000)-50000</f>
        <v>0</v>
      </c>
      <c r="K232" s="746"/>
      <c r="L232" s="623"/>
    </row>
    <row r="233" spans="2:12" s="47" customFormat="1" ht="95.25" customHeight="1" thickTop="1" thickBot="1" x14ac:dyDescent="0.25">
      <c r="B233" s="420" t="s">
        <v>652</v>
      </c>
      <c r="C233" s="420" t="s">
        <v>215</v>
      </c>
      <c r="D233" s="420" t="s">
        <v>184</v>
      </c>
      <c r="E233" s="420" t="s">
        <v>36</v>
      </c>
      <c r="F233" s="428" t="s">
        <v>1183</v>
      </c>
      <c r="G233" s="427" t="s">
        <v>667</v>
      </c>
      <c r="H233" s="424"/>
      <c r="I233" s="746">
        <v>0</v>
      </c>
      <c r="J233" s="424">
        <v>200000</v>
      </c>
      <c r="K233" s="424"/>
      <c r="L233" s="623"/>
    </row>
    <row r="234" spans="2:12" s="47" customFormat="1" ht="106.5" hidden="1" thickTop="1" thickBot="1" x14ac:dyDescent="0.25">
      <c r="B234" s="420" t="s">
        <v>652</v>
      </c>
      <c r="C234" s="420" t="s">
        <v>215</v>
      </c>
      <c r="D234" s="420" t="s">
        <v>184</v>
      </c>
      <c r="E234" s="420" t="s">
        <v>36</v>
      </c>
      <c r="F234" s="428" t="s">
        <v>1181</v>
      </c>
      <c r="G234" s="427" t="s">
        <v>667</v>
      </c>
      <c r="H234" s="424"/>
      <c r="I234" s="746">
        <v>0</v>
      </c>
      <c r="J234" s="424">
        <f>(50000)-50000</f>
        <v>0</v>
      </c>
      <c r="K234" s="424"/>
      <c r="L234" s="623"/>
    </row>
    <row r="235" spans="2:12" s="47" customFormat="1" ht="106.5" thickTop="1" thickBot="1" x14ac:dyDescent="0.25">
      <c r="B235" s="420" t="s">
        <v>652</v>
      </c>
      <c r="C235" s="420" t="s">
        <v>215</v>
      </c>
      <c r="D235" s="420" t="s">
        <v>184</v>
      </c>
      <c r="E235" s="420" t="s">
        <v>36</v>
      </c>
      <c r="F235" s="428" t="s">
        <v>1314</v>
      </c>
      <c r="G235" s="427" t="s">
        <v>667</v>
      </c>
      <c r="H235" s="424">
        <v>1301922</v>
      </c>
      <c r="I235" s="746">
        <v>0</v>
      </c>
      <c r="J235" s="739">
        <f>(1301922-183000)-19863</f>
        <v>1099059</v>
      </c>
      <c r="K235" s="746">
        <f>J235/H235</f>
        <v>0.84418190951531658</v>
      </c>
      <c r="L235" s="623"/>
    </row>
    <row r="236" spans="2:12" s="47" customFormat="1" ht="76.5" thickTop="1" thickBot="1" x14ac:dyDescent="0.25">
      <c r="B236" s="420" t="s">
        <v>652</v>
      </c>
      <c r="C236" s="420" t="s">
        <v>215</v>
      </c>
      <c r="D236" s="420" t="s">
        <v>184</v>
      </c>
      <c r="E236" s="420" t="s">
        <v>36</v>
      </c>
      <c r="F236" s="428" t="s">
        <v>1366</v>
      </c>
      <c r="G236" s="427" t="s">
        <v>1313</v>
      </c>
      <c r="H236" s="424"/>
      <c r="I236" s="746">
        <v>0</v>
      </c>
      <c r="J236" s="424">
        <v>2000000</v>
      </c>
      <c r="K236" s="746"/>
      <c r="L236" s="623"/>
    </row>
    <row r="237" spans="2:12" s="47" customFormat="1" ht="90.75" customHeight="1" thickTop="1" thickBot="1" x14ac:dyDescent="0.25">
      <c r="B237" s="475" t="s">
        <v>652</v>
      </c>
      <c r="C237" s="475" t="s">
        <v>215</v>
      </c>
      <c r="D237" s="475" t="s">
        <v>184</v>
      </c>
      <c r="E237" s="475" t="s">
        <v>36</v>
      </c>
      <c r="F237" s="641" t="s">
        <v>1497</v>
      </c>
      <c r="G237" s="740"/>
      <c r="H237" s="739"/>
      <c r="I237" s="746"/>
      <c r="J237" s="739">
        <f>(145000)-28000</f>
        <v>117000</v>
      </c>
      <c r="K237" s="745"/>
      <c r="L237" s="623"/>
    </row>
    <row r="238" spans="2:12" s="47" customFormat="1" ht="61.5" thickTop="1" thickBot="1" x14ac:dyDescent="0.25">
      <c r="B238" s="475" t="s">
        <v>652</v>
      </c>
      <c r="C238" s="475" t="s">
        <v>215</v>
      </c>
      <c r="D238" s="475" t="s">
        <v>184</v>
      </c>
      <c r="E238" s="475" t="s">
        <v>36</v>
      </c>
      <c r="F238" s="641" t="s">
        <v>1495</v>
      </c>
      <c r="G238" s="740"/>
      <c r="H238" s="739"/>
      <c r="I238" s="740"/>
      <c r="J238" s="739">
        <v>38000</v>
      </c>
      <c r="K238" s="745"/>
      <c r="L238" s="623"/>
    </row>
    <row r="239" spans="2:12" s="47" customFormat="1" ht="46.5" thickTop="1" thickBot="1" x14ac:dyDescent="0.25">
      <c r="B239" s="475" t="s">
        <v>652</v>
      </c>
      <c r="C239" s="475" t="s">
        <v>215</v>
      </c>
      <c r="D239" s="475" t="s">
        <v>184</v>
      </c>
      <c r="E239" s="475" t="s">
        <v>36</v>
      </c>
      <c r="F239" s="641" t="s">
        <v>1496</v>
      </c>
      <c r="G239" s="740"/>
      <c r="H239" s="739"/>
      <c r="I239" s="740"/>
      <c r="J239" s="739">
        <f>-591100+(790000)</f>
        <v>198900</v>
      </c>
      <c r="K239" s="745"/>
      <c r="L239" s="623"/>
    </row>
    <row r="240" spans="2:12" s="47" customFormat="1" ht="46.5" thickTop="1" thickBot="1" x14ac:dyDescent="0.25">
      <c r="B240" s="420" t="s">
        <v>652</v>
      </c>
      <c r="C240" s="420" t="s">
        <v>215</v>
      </c>
      <c r="D240" s="420" t="s">
        <v>184</v>
      </c>
      <c r="E240" s="420" t="s">
        <v>36</v>
      </c>
      <c r="F240" s="428" t="s">
        <v>1080</v>
      </c>
      <c r="G240" s="427"/>
      <c r="H240" s="424"/>
      <c r="I240" s="427"/>
      <c r="J240" s="424">
        <v>22200</v>
      </c>
      <c r="K240" s="746"/>
      <c r="L240" s="623"/>
    </row>
    <row r="241" spans="2:12" s="47" customFormat="1" ht="46.5" thickTop="1" thickBot="1" x14ac:dyDescent="0.25">
      <c r="B241" s="420" t="s">
        <v>652</v>
      </c>
      <c r="C241" s="420" t="s">
        <v>215</v>
      </c>
      <c r="D241" s="420" t="s">
        <v>184</v>
      </c>
      <c r="E241" s="420" t="s">
        <v>36</v>
      </c>
      <c r="F241" s="428" t="s">
        <v>1312</v>
      </c>
      <c r="G241" s="427"/>
      <c r="H241" s="424"/>
      <c r="I241" s="427"/>
      <c r="J241" s="424">
        <v>6400</v>
      </c>
      <c r="K241" s="746"/>
      <c r="L241" s="623"/>
    </row>
    <row r="242" spans="2:12" s="47" customFormat="1" ht="61.5" thickTop="1" thickBot="1" x14ac:dyDescent="0.25">
      <c r="B242" s="420" t="s">
        <v>652</v>
      </c>
      <c r="C242" s="420" t="s">
        <v>215</v>
      </c>
      <c r="D242" s="420" t="s">
        <v>184</v>
      </c>
      <c r="E242" s="420" t="s">
        <v>36</v>
      </c>
      <c r="F242" s="428" t="s">
        <v>1489</v>
      </c>
      <c r="G242" s="427"/>
      <c r="H242" s="424"/>
      <c r="I242" s="427"/>
      <c r="J242" s="424">
        <v>150000</v>
      </c>
      <c r="K242" s="746"/>
      <c r="L242" s="623"/>
    </row>
    <row r="243" spans="2:12" s="47" customFormat="1" ht="61.5" thickTop="1" thickBot="1" x14ac:dyDescent="0.25">
      <c r="B243" s="420" t="s">
        <v>652</v>
      </c>
      <c r="C243" s="420" t="s">
        <v>215</v>
      </c>
      <c r="D243" s="420" t="s">
        <v>184</v>
      </c>
      <c r="E243" s="420" t="s">
        <v>36</v>
      </c>
      <c r="F243" s="428" t="s">
        <v>1490</v>
      </c>
      <c r="G243" s="427"/>
      <c r="H243" s="424"/>
      <c r="I243" s="427"/>
      <c r="J243" s="424">
        <v>22224</v>
      </c>
      <c r="K243" s="746"/>
      <c r="L243" s="623"/>
    </row>
    <row r="244" spans="2:12" s="47" customFormat="1" ht="61.5" thickTop="1" thickBot="1" x14ac:dyDescent="0.25">
      <c r="B244" s="420" t="s">
        <v>652</v>
      </c>
      <c r="C244" s="420" t="s">
        <v>215</v>
      </c>
      <c r="D244" s="420" t="s">
        <v>184</v>
      </c>
      <c r="E244" s="420" t="s">
        <v>36</v>
      </c>
      <c r="F244" s="428" t="s">
        <v>1081</v>
      </c>
      <c r="G244" s="427"/>
      <c r="H244" s="424"/>
      <c r="I244" s="427"/>
      <c r="J244" s="424">
        <v>350000</v>
      </c>
      <c r="K244" s="746"/>
      <c r="L244" s="623"/>
    </row>
    <row r="245" spans="2:12" s="47" customFormat="1" ht="46.5" thickTop="1" thickBot="1" x14ac:dyDescent="0.25">
      <c r="B245" s="420" t="s">
        <v>652</v>
      </c>
      <c r="C245" s="420" t="s">
        <v>215</v>
      </c>
      <c r="D245" s="420" t="s">
        <v>184</v>
      </c>
      <c r="E245" s="420" t="s">
        <v>36</v>
      </c>
      <c r="F245" s="428" t="s">
        <v>1082</v>
      </c>
      <c r="G245" s="427"/>
      <c r="H245" s="424"/>
      <c r="I245" s="427"/>
      <c r="J245" s="424">
        <v>48590</v>
      </c>
      <c r="K245" s="746"/>
      <c r="L245" s="623"/>
    </row>
    <row r="246" spans="2:12" s="47" customFormat="1" ht="91.5" thickTop="1" thickBot="1" x14ac:dyDescent="0.25">
      <c r="B246" s="420" t="s">
        <v>652</v>
      </c>
      <c r="C246" s="420" t="s">
        <v>215</v>
      </c>
      <c r="D246" s="420" t="s">
        <v>184</v>
      </c>
      <c r="E246" s="420" t="s">
        <v>36</v>
      </c>
      <c r="F246" s="422" t="s">
        <v>1197</v>
      </c>
      <c r="G246" s="427" t="s">
        <v>667</v>
      </c>
      <c r="H246" s="424">
        <v>1050599</v>
      </c>
      <c r="I246" s="746">
        <v>0</v>
      </c>
      <c r="J246" s="739">
        <f>1050599-70414</f>
        <v>980185</v>
      </c>
      <c r="K246" s="746">
        <f>J246/H246</f>
        <v>0.93297728248361178</v>
      </c>
      <c r="L246" s="623"/>
    </row>
    <row r="247" spans="2:12" s="47" customFormat="1" ht="91.5" thickTop="1" thickBot="1" x14ac:dyDescent="0.25">
      <c r="B247" s="420" t="s">
        <v>652</v>
      </c>
      <c r="C247" s="420" t="s">
        <v>215</v>
      </c>
      <c r="D247" s="420" t="s">
        <v>184</v>
      </c>
      <c r="E247" s="420" t="s">
        <v>36</v>
      </c>
      <c r="F247" s="428" t="s">
        <v>668</v>
      </c>
      <c r="G247" s="427" t="s">
        <v>667</v>
      </c>
      <c r="H247" s="424">
        <v>694860</v>
      </c>
      <c r="I247" s="746">
        <v>0</v>
      </c>
      <c r="J247" s="739">
        <f>-99343+(694860-72171)</f>
        <v>523346</v>
      </c>
      <c r="K247" s="746">
        <f>J247/H247</f>
        <v>0.75316754454134649</v>
      </c>
      <c r="L247" s="623"/>
    </row>
    <row r="248" spans="2:12" s="47" customFormat="1" ht="136.5" thickTop="1" thickBot="1" x14ac:dyDescent="0.25">
      <c r="B248" s="420" t="s">
        <v>652</v>
      </c>
      <c r="C248" s="420" t="s">
        <v>215</v>
      </c>
      <c r="D248" s="420" t="s">
        <v>184</v>
      </c>
      <c r="E248" s="420" t="s">
        <v>36</v>
      </c>
      <c r="F248" s="428" t="s">
        <v>669</v>
      </c>
      <c r="G248" s="424" t="s">
        <v>531</v>
      </c>
      <c r="H248" s="424">
        <v>1306212</v>
      </c>
      <c r="I248" s="746">
        <f>(300000+299522)/H248</f>
        <v>0.4589775626008642</v>
      </c>
      <c r="J248" s="424">
        <v>700000</v>
      </c>
      <c r="K248" s="746">
        <f>(300000+300000+J248)/H248</f>
        <v>0.99524426356517937</v>
      </c>
      <c r="L248" s="623"/>
    </row>
    <row r="249" spans="2:12" s="47" customFormat="1" ht="76.5" thickTop="1" thickBot="1" x14ac:dyDescent="0.25">
      <c r="B249" s="420" t="s">
        <v>652</v>
      </c>
      <c r="C249" s="420" t="s">
        <v>215</v>
      </c>
      <c r="D249" s="420" t="s">
        <v>184</v>
      </c>
      <c r="E249" s="420" t="s">
        <v>36</v>
      </c>
      <c r="F249" s="428" t="s">
        <v>670</v>
      </c>
      <c r="G249" s="424" t="s">
        <v>667</v>
      </c>
      <c r="H249" s="424">
        <v>700000</v>
      </c>
      <c r="I249" s="746">
        <v>0</v>
      </c>
      <c r="J249" s="424">
        <f>700000-210000</f>
        <v>490000</v>
      </c>
      <c r="K249" s="746">
        <v>1</v>
      </c>
      <c r="L249" s="623"/>
    </row>
    <row r="250" spans="2:12" s="47" customFormat="1" ht="76.5" thickTop="1" thickBot="1" x14ac:dyDescent="0.25">
      <c r="B250" s="420" t="s">
        <v>652</v>
      </c>
      <c r="C250" s="420" t="s">
        <v>215</v>
      </c>
      <c r="D250" s="420" t="s">
        <v>184</v>
      </c>
      <c r="E250" s="420" t="s">
        <v>36</v>
      </c>
      <c r="F250" s="428" t="s">
        <v>595</v>
      </c>
      <c r="G250" s="424" t="s">
        <v>531</v>
      </c>
      <c r="H250" s="424">
        <v>1978170</v>
      </c>
      <c r="I250" s="746">
        <f>899093.21/H250</f>
        <v>0.45450755496241474</v>
      </c>
      <c r="J250" s="424">
        <v>1078170</v>
      </c>
      <c r="K250" s="746">
        <f>(900000+J250)/H250</f>
        <v>1</v>
      </c>
      <c r="L250" s="623"/>
    </row>
    <row r="251" spans="2:12" s="47" customFormat="1" ht="91.5" thickTop="1" thickBot="1" x14ac:dyDescent="0.25">
      <c r="B251" s="420" t="s">
        <v>652</v>
      </c>
      <c r="C251" s="420" t="s">
        <v>215</v>
      </c>
      <c r="D251" s="420" t="s">
        <v>184</v>
      </c>
      <c r="E251" s="420" t="s">
        <v>36</v>
      </c>
      <c r="F251" s="428" t="s">
        <v>1133</v>
      </c>
      <c r="G251" s="424" t="s">
        <v>667</v>
      </c>
      <c r="H251" s="424">
        <v>3490558</v>
      </c>
      <c r="I251" s="746">
        <v>0</v>
      </c>
      <c r="J251" s="739">
        <f>552666+(100000+1500000+500000)</f>
        <v>2652666</v>
      </c>
      <c r="K251" s="746">
        <v>1</v>
      </c>
      <c r="L251" s="623" t="s">
        <v>1494</v>
      </c>
    </row>
    <row r="252" spans="2:12" s="47" customFormat="1" ht="91.5" hidden="1" thickTop="1" thickBot="1" x14ac:dyDescent="0.25">
      <c r="B252" s="420" t="s">
        <v>652</v>
      </c>
      <c r="C252" s="420" t="s">
        <v>215</v>
      </c>
      <c r="D252" s="420" t="s">
        <v>184</v>
      </c>
      <c r="E252" s="420" t="s">
        <v>36</v>
      </c>
      <c r="F252" s="428" t="s">
        <v>769</v>
      </c>
      <c r="G252" s="424"/>
      <c r="H252" s="424"/>
      <c r="I252" s="746"/>
      <c r="J252" s="424">
        <f>100000-100000</f>
        <v>0</v>
      </c>
      <c r="K252" s="746"/>
      <c r="L252" s="623"/>
    </row>
    <row r="253" spans="2:12" s="47" customFormat="1" ht="91.5" hidden="1" thickTop="1" thickBot="1" x14ac:dyDescent="0.25">
      <c r="B253" s="420" t="s">
        <v>652</v>
      </c>
      <c r="C253" s="420" t="s">
        <v>215</v>
      </c>
      <c r="D253" s="420" t="s">
        <v>184</v>
      </c>
      <c r="E253" s="420" t="s">
        <v>36</v>
      </c>
      <c r="F253" s="428" t="s">
        <v>770</v>
      </c>
      <c r="G253" s="424"/>
      <c r="H253" s="424"/>
      <c r="I253" s="746"/>
      <c r="J253" s="424">
        <f>100000-100000</f>
        <v>0</v>
      </c>
      <c r="K253" s="746"/>
      <c r="L253" s="623"/>
    </row>
    <row r="254" spans="2:12" s="47" customFormat="1" ht="105" customHeight="1" thickTop="1" thickBot="1" x14ac:dyDescent="0.25">
      <c r="B254" s="420" t="s">
        <v>652</v>
      </c>
      <c r="C254" s="420" t="s">
        <v>215</v>
      </c>
      <c r="D254" s="420" t="s">
        <v>184</v>
      </c>
      <c r="E254" s="420" t="s">
        <v>36</v>
      </c>
      <c r="F254" s="428" t="s">
        <v>768</v>
      </c>
      <c r="G254" s="427" t="s">
        <v>1101</v>
      </c>
      <c r="H254" s="424">
        <v>11472055</v>
      </c>
      <c r="I254" s="746">
        <f>(6562194)/H254</f>
        <v>0.57201556303556778</v>
      </c>
      <c r="J254" s="424">
        <f>4571460+102000</f>
        <v>4673460</v>
      </c>
      <c r="K254" s="746">
        <v>1</v>
      </c>
      <c r="L254" s="623"/>
    </row>
    <row r="255" spans="2:12" s="47" customFormat="1" ht="46.5" thickTop="1" thickBot="1" x14ac:dyDescent="0.25">
      <c r="B255" s="420" t="s">
        <v>652</v>
      </c>
      <c r="C255" s="420" t="s">
        <v>215</v>
      </c>
      <c r="D255" s="420" t="s">
        <v>184</v>
      </c>
      <c r="E255" s="420" t="s">
        <v>36</v>
      </c>
      <c r="F255" s="428" t="s">
        <v>1023</v>
      </c>
      <c r="G255" s="427"/>
      <c r="H255" s="424"/>
      <c r="I255" s="746"/>
      <c r="J255" s="424">
        <v>1000000</v>
      </c>
      <c r="K255" s="746"/>
      <c r="L255" s="623"/>
    </row>
    <row r="256" spans="2:12" s="47" customFormat="1" ht="91.5" thickTop="1" thickBot="1" x14ac:dyDescent="0.25">
      <c r="B256" s="420" t="s">
        <v>652</v>
      </c>
      <c r="C256" s="420" t="s">
        <v>215</v>
      </c>
      <c r="D256" s="420" t="s">
        <v>184</v>
      </c>
      <c r="E256" s="420" t="s">
        <v>36</v>
      </c>
      <c r="F256" s="428" t="s">
        <v>1198</v>
      </c>
      <c r="G256" s="740" t="s">
        <v>667</v>
      </c>
      <c r="H256" s="739">
        <v>6455767</v>
      </c>
      <c r="I256" s="745">
        <v>0</v>
      </c>
      <c r="J256" s="739">
        <f>4000000+1940000</f>
        <v>5940000</v>
      </c>
      <c r="K256" s="745">
        <f>J256/H256</f>
        <v>0.92010755654595344</v>
      </c>
      <c r="L256" s="623"/>
    </row>
    <row r="257" spans="2:12" s="47" customFormat="1" ht="121.5" thickTop="1" thickBot="1" x14ac:dyDescent="0.25">
      <c r="B257" s="420" t="s">
        <v>652</v>
      </c>
      <c r="C257" s="420" t="s">
        <v>215</v>
      </c>
      <c r="D257" s="420" t="s">
        <v>184</v>
      </c>
      <c r="E257" s="420" t="s">
        <v>36</v>
      </c>
      <c r="F257" s="428" t="s">
        <v>1087</v>
      </c>
      <c r="G257" s="427" t="s">
        <v>667</v>
      </c>
      <c r="H257" s="424">
        <v>1187842</v>
      </c>
      <c r="I257" s="746">
        <f>0</f>
        <v>0</v>
      </c>
      <c r="J257" s="424">
        <v>593921</v>
      </c>
      <c r="K257" s="746">
        <v>1</v>
      </c>
      <c r="L257" s="623"/>
    </row>
    <row r="258" spans="2:12" s="47" customFormat="1" ht="106.5" thickTop="1" thickBot="1" x14ac:dyDescent="0.25">
      <c r="B258" s="420" t="s">
        <v>652</v>
      </c>
      <c r="C258" s="420" t="s">
        <v>215</v>
      </c>
      <c r="D258" s="420" t="s">
        <v>184</v>
      </c>
      <c r="E258" s="420" t="s">
        <v>36</v>
      </c>
      <c r="F258" s="428" t="s">
        <v>1199</v>
      </c>
      <c r="G258" s="424" t="s">
        <v>667</v>
      </c>
      <c r="H258" s="424">
        <v>1201688</v>
      </c>
      <c r="I258" s="746">
        <f>(310000)/H258</f>
        <v>0.25797045489344989</v>
      </c>
      <c r="J258" s="424">
        <v>891000</v>
      </c>
      <c r="K258" s="746">
        <f>(310000+J258)/H258</f>
        <v>0.99942747202268811</v>
      </c>
      <c r="L258" s="623"/>
    </row>
    <row r="259" spans="2:12" s="47" customFormat="1" ht="91.5" thickTop="1" thickBot="1" x14ac:dyDescent="0.25">
      <c r="B259" s="420" t="s">
        <v>652</v>
      </c>
      <c r="C259" s="420" t="s">
        <v>215</v>
      </c>
      <c r="D259" s="420" t="s">
        <v>184</v>
      </c>
      <c r="E259" s="420" t="s">
        <v>36</v>
      </c>
      <c r="F259" s="428" t="s">
        <v>1097</v>
      </c>
      <c r="G259" s="427" t="s">
        <v>667</v>
      </c>
      <c r="H259" s="424">
        <v>2924077</v>
      </c>
      <c r="I259" s="746">
        <v>0</v>
      </c>
      <c r="J259" s="424">
        <v>100000</v>
      </c>
      <c r="K259" s="746">
        <f>J259/H259</f>
        <v>3.4198825817514385E-2</v>
      </c>
      <c r="L259" s="623"/>
    </row>
    <row r="260" spans="2:12" s="47" customFormat="1" ht="106.5" thickTop="1" thickBot="1" x14ac:dyDescent="0.25">
      <c r="B260" s="420" t="s">
        <v>652</v>
      </c>
      <c r="C260" s="420" t="s">
        <v>215</v>
      </c>
      <c r="D260" s="420" t="s">
        <v>184</v>
      </c>
      <c r="E260" s="420" t="s">
        <v>36</v>
      </c>
      <c r="F260" s="428" t="s">
        <v>1134</v>
      </c>
      <c r="G260" s="424" t="s">
        <v>667</v>
      </c>
      <c r="H260" s="424">
        <v>990371</v>
      </c>
      <c r="I260" s="746">
        <v>0</v>
      </c>
      <c r="J260" s="424">
        <v>495200</v>
      </c>
      <c r="K260" s="746">
        <f>J260/H260</f>
        <v>0.50001464097797699</v>
      </c>
      <c r="L260" s="623"/>
    </row>
    <row r="261" spans="2:12" s="47" customFormat="1" ht="121.5" thickTop="1" thickBot="1" x14ac:dyDescent="0.25">
      <c r="B261" s="420" t="s">
        <v>652</v>
      </c>
      <c r="C261" s="475" t="s">
        <v>215</v>
      </c>
      <c r="D261" s="475" t="s">
        <v>184</v>
      </c>
      <c r="E261" s="475" t="s">
        <v>36</v>
      </c>
      <c r="F261" s="641" t="s">
        <v>1311</v>
      </c>
      <c r="G261" s="739" t="s">
        <v>1313</v>
      </c>
      <c r="H261" s="739">
        <v>3193463</v>
      </c>
      <c r="I261" s="745">
        <v>0</v>
      </c>
      <c r="J261" s="739">
        <v>1000000</v>
      </c>
      <c r="K261" s="746">
        <f>J261/H261</f>
        <v>0.31313968566412076</v>
      </c>
      <c r="L261" s="623"/>
    </row>
    <row r="262" spans="2:12" s="47" customFormat="1" ht="46.5" thickTop="1" thickBot="1" x14ac:dyDescent="0.25">
      <c r="B262" s="420" t="s">
        <v>652</v>
      </c>
      <c r="C262" s="420" t="s">
        <v>215</v>
      </c>
      <c r="D262" s="420" t="s">
        <v>184</v>
      </c>
      <c r="E262" s="420" t="s">
        <v>36</v>
      </c>
      <c r="F262" s="428" t="s">
        <v>1135</v>
      </c>
      <c r="G262" s="420"/>
      <c r="H262" s="420"/>
      <c r="I262" s="420"/>
      <c r="J262" s="424">
        <v>2000000</v>
      </c>
      <c r="K262" s="746"/>
      <c r="L262" s="623"/>
    </row>
    <row r="263" spans="2:12" s="47" customFormat="1" ht="91.5" thickTop="1" thickBot="1" x14ac:dyDescent="0.25">
      <c r="B263" s="420" t="s">
        <v>652</v>
      </c>
      <c r="C263" s="420" t="s">
        <v>215</v>
      </c>
      <c r="D263" s="420" t="s">
        <v>184</v>
      </c>
      <c r="E263" s="420" t="s">
        <v>36</v>
      </c>
      <c r="F263" s="428" t="s">
        <v>1504</v>
      </c>
      <c r="G263" s="424" t="s">
        <v>667</v>
      </c>
      <c r="H263" s="420"/>
      <c r="I263" s="746">
        <v>0</v>
      </c>
      <c r="J263" s="424">
        <v>50000</v>
      </c>
      <c r="K263" s="746"/>
      <c r="L263" s="623"/>
    </row>
    <row r="264" spans="2:12" s="47" customFormat="1" ht="91.5" thickTop="1" thickBot="1" x14ac:dyDescent="0.25">
      <c r="B264" s="420" t="s">
        <v>652</v>
      </c>
      <c r="C264" s="420" t="s">
        <v>215</v>
      </c>
      <c r="D264" s="420" t="s">
        <v>184</v>
      </c>
      <c r="E264" s="420" t="s">
        <v>36</v>
      </c>
      <c r="F264" s="428" t="s">
        <v>1493</v>
      </c>
      <c r="G264" s="424" t="s">
        <v>667</v>
      </c>
      <c r="H264" s="424">
        <v>129481</v>
      </c>
      <c r="I264" s="746">
        <v>0</v>
      </c>
      <c r="J264" s="424">
        <v>129481</v>
      </c>
      <c r="K264" s="746">
        <v>1</v>
      </c>
      <c r="L264" s="623"/>
    </row>
    <row r="265" spans="2:12" s="47" customFormat="1" ht="144.75" customHeight="1" thickTop="1" thickBot="1" x14ac:dyDescent="0.25">
      <c r="B265" s="420" t="s">
        <v>652</v>
      </c>
      <c r="C265" s="420" t="s">
        <v>215</v>
      </c>
      <c r="D265" s="420" t="s">
        <v>184</v>
      </c>
      <c r="E265" s="420" t="s">
        <v>36</v>
      </c>
      <c r="F265" s="428" t="s">
        <v>1077</v>
      </c>
      <c r="G265" s="424" t="s">
        <v>667</v>
      </c>
      <c r="H265" s="424">
        <v>3304175</v>
      </c>
      <c r="I265" s="746">
        <v>0</v>
      </c>
      <c r="J265" s="424">
        <v>3304175</v>
      </c>
      <c r="K265" s="746">
        <v>1</v>
      </c>
      <c r="L265" s="623"/>
    </row>
    <row r="266" spans="2:12" s="47" customFormat="1" ht="91.5" thickTop="1" thickBot="1" x14ac:dyDescent="0.25">
      <c r="B266" s="420" t="s">
        <v>652</v>
      </c>
      <c r="C266" s="420" t="s">
        <v>215</v>
      </c>
      <c r="D266" s="420" t="s">
        <v>184</v>
      </c>
      <c r="E266" s="420" t="s">
        <v>36</v>
      </c>
      <c r="F266" s="428" t="s">
        <v>1200</v>
      </c>
      <c r="G266" s="424" t="s">
        <v>667</v>
      </c>
      <c r="H266" s="424">
        <v>2115430</v>
      </c>
      <c r="I266" s="746">
        <v>0</v>
      </c>
      <c r="J266" s="424">
        <v>2115430</v>
      </c>
      <c r="K266" s="746">
        <v>1</v>
      </c>
      <c r="L266" s="623"/>
    </row>
    <row r="267" spans="2:12" s="47" customFormat="1" ht="76.5" thickTop="1" thickBot="1" x14ac:dyDescent="0.25">
      <c r="B267" s="420" t="s">
        <v>652</v>
      </c>
      <c r="C267" s="420" t="s">
        <v>215</v>
      </c>
      <c r="D267" s="420" t="s">
        <v>184</v>
      </c>
      <c r="E267" s="420" t="s">
        <v>36</v>
      </c>
      <c r="F267" s="428" t="s">
        <v>1201</v>
      </c>
      <c r="G267" s="424" t="s">
        <v>667</v>
      </c>
      <c r="H267" s="424">
        <v>864238</v>
      </c>
      <c r="I267" s="746">
        <v>0</v>
      </c>
      <c r="J267" s="424">
        <v>864238</v>
      </c>
      <c r="K267" s="746">
        <v>1</v>
      </c>
      <c r="L267" s="623"/>
    </row>
    <row r="268" spans="2:12" s="47" customFormat="1" ht="105" customHeight="1" thickTop="1" thickBot="1" x14ac:dyDescent="0.25">
      <c r="B268" s="420" t="s">
        <v>652</v>
      </c>
      <c r="C268" s="420" t="s">
        <v>215</v>
      </c>
      <c r="D268" s="420" t="s">
        <v>184</v>
      </c>
      <c r="E268" s="420" t="s">
        <v>36</v>
      </c>
      <c r="F268" s="428" t="s">
        <v>1078</v>
      </c>
      <c r="G268" s="424" t="s">
        <v>667</v>
      </c>
      <c r="H268" s="424">
        <v>2086056</v>
      </c>
      <c r="I268" s="746">
        <v>0</v>
      </c>
      <c r="J268" s="424">
        <v>2086056</v>
      </c>
      <c r="K268" s="746">
        <v>1</v>
      </c>
      <c r="L268" s="623"/>
    </row>
    <row r="269" spans="2:12" s="47" customFormat="1" ht="106.5" thickTop="1" thickBot="1" x14ac:dyDescent="0.25">
      <c r="B269" s="420" t="s">
        <v>652</v>
      </c>
      <c r="C269" s="420" t="s">
        <v>215</v>
      </c>
      <c r="D269" s="420" t="s">
        <v>184</v>
      </c>
      <c r="E269" s="420" t="s">
        <v>36</v>
      </c>
      <c r="F269" s="428" t="s">
        <v>1079</v>
      </c>
      <c r="G269" s="424" t="s">
        <v>667</v>
      </c>
      <c r="H269" s="424">
        <v>1017106</v>
      </c>
      <c r="I269" s="746">
        <v>0</v>
      </c>
      <c r="J269" s="424">
        <v>1017106</v>
      </c>
      <c r="K269" s="746">
        <v>1</v>
      </c>
      <c r="L269" s="623"/>
    </row>
    <row r="270" spans="2:12" s="47" customFormat="1" ht="31.5" thickTop="1" thickBot="1" x14ac:dyDescent="0.25">
      <c r="B270" s="355" t="s">
        <v>655</v>
      </c>
      <c r="C270" s="352" t="s">
        <v>268</v>
      </c>
      <c r="D270" s="352" t="s">
        <v>269</v>
      </c>
      <c r="E270" s="352" t="s">
        <v>267</v>
      </c>
      <c r="F270" s="358" t="s">
        <v>578</v>
      </c>
      <c r="G270" s="360"/>
      <c r="H270" s="360"/>
      <c r="I270" s="433"/>
      <c r="J270" s="360">
        <v>32000</v>
      </c>
      <c r="K270" s="433"/>
      <c r="L270" s="623"/>
    </row>
    <row r="271" spans="2:12" ht="46.5" thickTop="1" thickBot="1" x14ac:dyDescent="0.25">
      <c r="B271" s="867" t="s">
        <v>25</v>
      </c>
      <c r="C271" s="867"/>
      <c r="D271" s="867"/>
      <c r="E271" s="868" t="s">
        <v>1067</v>
      </c>
      <c r="F271" s="876"/>
      <c r="G271" s="869"/>
      <c r="H271" s="869"/>
      <c r="I271" s="869"/>
      <c r="J271" s="876">
        <f>J272</f>
        <v>263650566.50999999</v>
      </c>
      <c r="K271" s="876"/>
      <c r="L271" s="624">
        <f>L274+L277+L289</f>
        <v>4000000</v>
      </c>
    </row>
    <row r="272" spans="2:12" ht="44.25" thickTop="1" thickBot="1" x14ac:dyDescent="0.25">
      <c r="B272" s="870" t="s">
        <v>26</v>
      </c>
      <c r="C272" s="870"/>
      <c r="D272" s="870"/>
      <c r="E272" s="871" t="s">
        <v>1068</v>
      </c>
      <c r="F272" s="877"/>
      <c r="G272" s="877"/>
      <c r="H272" s="877"/>
      <c r="I272" s="877"/>
      <c r="J272" s="877">
        <f>SUM(J273:J294)</f>
        <v>263650566.50999999</v>
      </c>
      <c r="K272" s="877"/>
      <c r="L272" s="624"/>
    </row>
    <row r="273" spans="2:12" ht="73.5" customHeight="1" thickTop="1" thickBot="1" x14ac:dyDescent="0.25">
      <c r="B273" s="429" t="s">
        <v>463</v>
      </c>
      <c r="C273" s="429" t="s">
        <v>465</v>
      </c>
      <c r="D273" s="429" t="s">
        <v>213</v>
      </c>
      <c r="E273" s="429" t="s">
        <v>464</v>
      </c>
      <c r="F273" s="358" t="s">
        <v>498</v>
      </c>
      <c r="G273" s="357" t="s">
        <v>468</v>
      </c>
      <c r="H273" s="357">
        <f>282861499</f>
        <v>282861499</v>
      </c>
      <c r="I273" s="418">
        <f>(122740173.92)/H273</f>
        <v>0.43392322516115917</v>
      </c>
      <c r="J273" s="360">
        <f>((8000000+2000000+7000000)+70000000+25000000)</f>
        <v>112000000</v>
      </c>
      <c r="K273" s="418">
        <f>(122740173.92+J273)/H273</f>
        <v>0.82987672323690831</v>
      </c>
      <c r="L273" s="624"/>
    </row>
    <row r="274" spans="2:12" ht="78" hidden="1" customHeight="1" thickTop="1" thickBot="1" x14ac:dyDescent="0.25">
      <c r="B274" s="429" t="s">
        <v>333</v>
      </c>
      <c r="C274" s="429" t="s">
        <v>334</v>
      </c>
      <c r="D274" s="429" t="s">
        <v>323</v>
      </c>
      <c r="E274" s="429" t="s">
        <v>332</v>
      </c>
      <c r="F274" s="655" t="s">
        <v>638</v>
      </c>
      <c r="G274" s="357" t="s">
        <v>468</v>
      </c>
      <c r="H274" s="357">
        <v>30010059</v>
      </c>
      <c r="I274" s="418">
        <f>(11364795.14+7640000)/H274</f>
        <v>0.6332808322702731</v>
      </c>
      <c r="J274" s="357">
        <v>0</v>
      </c>
      <c r="K274" s="418">
        <f>(11364795.14+7640000+J274)/H274</f>
        <v>0.6332808322702731</v>
      </c>
      <c r="L274" s="624">
        <v>1000000</v>
      </c>
    </row>
    <row r="275" spans="2:12" ht="151.5" customHeight="1" thickTop="1" thickBot="1" x14ac:dyDescent="0.25">
      <c r="B275" s="429" t="s">
        <v>1153</v>
      </c>
      <c r="C275" s="429" t="s">
        <v>324</v>
      </c>
      <c r="D275" s="429" t="s">
        <v>323</v>
      </c>
      <c r="E275" s="429" t="s">
        <v>506</v>
      </c>
      <c r="F275" s="535" t="s">
        <v>1152</v>
      </c>
      <c r="G275" s="357"/>
      <c r="H275" s="357"/>
      <c r="I275" s="418"/>
      <c r="J275" s="357">
        <f>(36872.51)+43702</f>
        <v>80574.510000000009</v>
      </c>
      <c r="K275" s="418"/>
      <c r="L275" s="624"/>
    </row>
    <row r="276" spans="2:12" ht="55.5" customHeight="1" thickTop="1" thickBot="1" x14ac:dyDescent="0.25">
      <c r="B276" s="429" t="s">
        <v>333</v>
      </c>
      <c r="C276" s="429" t="s">
        <v>334</v>
      </c>
      <c r="D276" s="429" t="s">
        <v>323</v>
      </c>
      <c r="E276" s="429" t="s">
        <v>332</v>
      </c>
      <c r="F276" s="535" t="s">
        <v>1246</v>
      </c>
      <c r="G276" s="360" t="s">
        <v>1141</v>
      </c>
      <c r="H276" s="360">
        <v>56437448</v>
      </c>
      <c r="I276" s="433">
        <f>(28071676.14)/H276</f>
        <v>0.49739449841885125</v>
      </c>
      <c r="J276" s="360">
        <f>3512869+10010000+1600000</f>
        <v>15122869</v>
      </c>
      <c r="K276" s="433">
        <f>(28071676.14+2857360+J276+1500000)/H276</f>
        <v>0.8425594498886626</v>
      </c>
      <c r="L276" s="624"/>
    </row>
    <row r="277" spans="2:12" ht="76.5" thickTop="1" thickBot="1" x14ac:dyDescent="0.25">
      <c r="B277" s="429" t="s">
        <v>333</v>
      </c>
      <c r="C277" s="429" t="s">
        <v>334</v>
      </c>
      <c r="D277" s="429" t="s">
        <v>323</v>
      </c>
      <c r="E277" s="429" t="s">
        <v>332</v>
      </c>
      <c r="F277" s="535" t="s">
        <v>1202</v>
      </c>
      <c r="G277" s="360" t="s">
        <v>639</v>
      </c>
      <c r="H277" s="357">
        <f>9300000+10829899</f>
        <v>20129899</v>
      </c>
      <c r="I277" s="418">
        <f>(6879597.52)/H277</f>
        <v>0.34176016084333061</v>
      </c>
      <c r="J277" s="357">
        <f>(700000)-6693</f>
        <v>693307</v>
      </c>
      <c r="K277" s="418">
        <f>(6879597.52+J277)/H277</f>
        <v>0.37620181402797898</v>
      </c>
      <c r="L277" s="624">
        <v>1000000</v>
      </c>
    </row>
    <row r="278" spans="2:12" ht="82.5" customHeight="1" thickTop="1" thickBot="1" x14ac:dyDescent="0.25">
      <c r="B278" s="429" t="s">
        <v>333</v>
      </c>
      <c r="C278" s="429" t="s">
        <v>334</v>
      </c>
      <c r="D278" s="429" t="s">
        <v>323</v>
      </c>
      <c r="E278" s="429" t="s">
        <v>332</v>
      </c>
      <c r="F278" s="535" t="s">
        <v>1286</v>
      </c>
      <c r="G278" s="360" t="s">
        <v>468</v>
      </c>
      <c r="H278" s="360">
        <v>34056704</v>
      </c>
      <c r="I278" s="418">
        <f>(13051785.82)/H278</f>
        <v>0.38323690454601833</v>
      </c>
      <c r="J278" s="360">
        <f>400000+(2443118+5992910-1087940)</f>
        <v>7748088</v>
      </c>
      <c r="K278" s="418">
        <f>(13051785.82+1007090+1087940+J278)/H278</f>
        <v>0.6722583553593442</v>
      </c>
      <c r="L278" s="624"/>
    </row>
    <row r="279" spans="2:12" ht="76.5" thickTop="1" thickBot="1" x14ac:dyDescent="0.25">
      <c r="B279" s="429" t="s">
        <v>333</v>
      </c>
      <c r="C279" s="429" t="s">
        <v>334</v>
      </c>
      <c r="D279" s="429" t="s">
        <v>323</v>
      </c>
      <c r="E279" s="429" t="s">
        <v>332</v>
      </c>
      <c r="F279" s="535" t="s">
        <v>1203</v>
      </c>
      <c r="G279" s="357"/>
      <c r="H279" s="357"/>
      <c r="I279" s="357"/>
      <c r="J279" s="357">
        <v>200000</v>
      </c>
      <c r="K279" s="418"/>
      <c r="L279" s="624"/>
    </row>
    <row r="280" spans="2:12" ht="61.5" thickTop="1" thickBot="1" x14ac:dyDescent="0.25">
      <c r="B280" s="429" t="s">
        <v>333</v>
      </c>
      <c r="C280" s="429" t="s">
        <v>334</v>
      </c>
      <c r="D280" s="429" t="s">
        <v>323</v>
      </c>
      <c r="E280" s="429" t="s">
        <v>332</v>
      </c>
      <c r="F280" s="535" t="s">
        <v>1498</v>
      </c>
      <c r="G280" s="357"/>
      <c r="H280" s="357"/>
      <c r="I280" s="357"/>
      <c r="J280" s="357">
        <v>50000</v>
      </c>
      <c r="K280" s="418"/>
      <c r="L280" s="624"/>
    </row>
    <row r="281" spans="2:12" ht="66.75" customHeight="1" thickTop="1" thickBot="1" x14ac:dyDescent="0.25">
      <c r="B281" s="429" t="s">
        <v>563</v>
      </c>
      <c r="C281" s="429" t="s">
        <v>564</v>
      </c>
      <c r="D281" s="429" t="s">
        <v>323</v>
      </c>
      <c r="E281" s="429" t="s">
        <v>886</v>
      </c>
      <c r="F281" s="535" t="s">
        <v>596</v>
      </c>
      <c r="G281" s="360" t="s">
        <v>1209</v>
      </c>
      <c r="H281" s="357">
        <v>21098584</v>
      </c>
      <c r="I281" s="418">
        <f>(529041.07)/H281</f>
        <v>2.5074719232342793E-2</v>
      </c>
      <c r="J281" s="357">
        <v>200000</v>
      </c>
      <c r="K281" s="418">
        <f>(529041.07+J281)/H281</f>
        <v>3.4554028365126305E-2</v>
      </c>
      <c r="L281" s="624"/>
    </row>
    <row r="282" spans="2:12" ht="61.5" thickTop="1" thickBot="1" x14ac:dyDescent="0.25">
      <c r="B282" s="429" t="s">
        <v>337</v>
      </c>
      <c r="C282" s="429" t="s">
        <v>338</v>
      </c>
      <c r="D282" s="429" t="s">
        <v>323</v>
      </c>
      <c r="E282" s="429" t="s">
        <v>499</v>
      </c>
      <c r="F282" s="656" t="s">
        <v>1248</v>
      </c>
      <c r="G282" s="360" t="s">
        <v>1210</v>
      </c>
      <c r="H282" s="357">
        <v>15423995</v>
      </c>
      <c r="I282" s="418">
        <f>111261.75/H282</f>
        <v>7.2135494079192839E-3</v>
      </c>
      <c r="J282" s="360">
        <v>100000</v>
      </c>
      <c r="K282" s="418">
        <f>(111261.75+J282)/H282</f>
        <v>1.3696953999271913E-2</v>
      </c>
      <c r="L282" s="624"/>
    </row>
    <row r="283" spans="2:12" ht="104.25" customHeight="1" thickTop="1" thickBot="1" x14ac:dyDescent="0.25">
      <c r="B283" s="429" t="s">
        <v>337</v>
      </c>
      <c r="C283" s="429" t="s">
        <v>338</v>
      </c>
      <c r="D283" s="429" t="s">
        <v>323</v>
      </c>
      <c r="E283" s="429" t="s">
        <v>499</v>
      </c>
      <c r="F283" s="656" t="s">
        <v>1249</v>
      </c>
      <c r="G283" s="360" t="s">
        <v>468</v>
      </c>
      <c r="H283" s="360">
        <v>10111121</v>
      </c>
      <c r="I283" s="433">
        <f>(7825154.66)/H283</f>
        <v>0.77391563803855179</v>
      </c>
      <c r="J283" s="360">
        <f>2206836-1581020</f>
        <v>625816</v>
      </c>
      <c r="K283" s="418">
        <f>(7825154.66+J283)/H283</f>
        <v>0.83580946761491626</v>
      </c>
      <c r="L283" s="624"/>
    </row>
    <row r="284" spans="2:12" ht="46.5" thickTop="1" thickBot="1" x14ac:dyDescent="0.25">
      <c r="B284" s="429" t="s">
        <v>337</v>
      </c>
      <c r="C284" s="429" t="s">
        <v>338</v>
      </c>
      <c r="D284" s="429" t="s">
        <v>323</v>
      </c>
      <c r="E284" s="429" t="s">
        <v>499</v>
      </c>
      <c r="F284" s="656" t="s">
        <v>1251</v>
      </c>
      <c r="G284" s="360" t="s">
        <v>640</v>
      </c>
      <c r="H284" s="357">
        <v>20249401</v>
      </c>
      <c r="I284" s="418">
        <f>(14384713.31)/H284</f>
        <v>0.71037722597325226</v>
      </c>
      <c r="J284" s="360">
        <f>420000+68629</f>
        <v>488629</v>
      </c>
      <c r="K284" s="418">
        <f>(14384713.31+J284)/H284</f>
        <v>0.73450776692110553</v>
      </c>
      <c r="L284" s="624"/>
    </row>
    <row r="285" spans="2:12" ht="76.5" thickTop="1" thickBot="1" x14ac:dyDescent="0.25">
      <c r="B285" s="429" t="s">
        <v>337</v>
      </c>
      <c r="C285" s="429" t="s">
        <v>338</v>
      </c>
      <c r="D285" s="429" t="s">
        <v>323</v>
      </c>
      <c r="E285" s="429" t="s">
        <v>499</v>
      </c>
      <c r="F285" s="656" t="s">
        <v>1250</v>
      </c>
      <c r="G285" s="360" t="s">
        <v>1208</v>
      </c>
      <c r="H285" s="357">
        <v>53314687</v>
      </c>
      <c r="I285" s="418">
        <f>(1418673.51)/H285</f>
        <v>2.6609431468668288E-2</v>
      </c>
      <c r="J285" s="360">
        <v>200000</v>
      </c>
      <c r="K285" s="418">
        <f>(1418673.51+J285)/H285</f>
        <v>3.0360742997515865E-2</v>
      </c>
      <c r="L285" s="624"/>
    </row>
    <row r="286" spans="2:12" ht="46.5" thickTop="1" thickBot="1" x14ac:dyDescent="0.25">
      <c r="B286" s="429" t="s">
        <v>337</v>
      </c>
      <c r="C286" s="429" t="s">
        <v>338</v>
      </c>
      <c r="D286" s="429" t="s">
        <v>323</v>
      </c>
      <c r="E286" s="429" t="s">
        <v>499</v>
      </c>
      <c r="F286" s="431" t="s">
        <v>1254</v>
      </c>
      <c r="G286" s="357" t="s">
        <v>602</v>
      </c>
      <c r="H286" s="357">
        <v>65017720</v>
      </c>
      <c r="I286" s="418">
        <f>(4855726.3)/H286</f>
        <v>7.4683121770495797E-2</v>
      </c>
      <c r="J286" s="357">
        <f>(5700000+5000000+2000000)+2000000</f>
        <v>14700000</v>
      </c>
      <c r="K286" s="418">
        <f>(4855726.3+J286)/H286</f>
        <v>0.30077533170957088</v>
      </c>
      <c r="L286" s="624"/>
    </row>
    <row r="287" spans="2:12" ht="102" customHeight="1" thickTop="1" thickBot="1" x14ac:dyDescent="0.25">
      <c r="B287" s="429" t="s">
        <v>337</v>
      </c>
      <c r="C287" s="429" t="s">
        <v>338</v>
      </c>
      <c r="D287" s="429" t="s">
        <v>323</v>
      </c>
      <c r="E287" s="429" t="s">
        <v>499</v>
      </c>
      <c r="F287" s="756" t="s">
        <v>1367</v>
      </c>
      <c r="G287" s="357" t="s">
        <v>1307</v>
      </c>
      <c r="H287" s="357"/>
      <c r="I287" s="418">
        <v>0</v>
      </c>
      <c r="J287" s="357">
        <v>120000</v>
      </c>
      <c r="K287" s="418">
        <v>1</v>
      </c>
      <c r="L287" s="624"/>
    </row>
    <row r="288" spans="2:12" ht="91.5" thickTop="1" thickBot="1" x14ac:dyDescent="0.25">
      <c r="B288" s="432" t="s">
        <v>337</v>
      </c>
      <c r="C288" s="432" t="s">
        <v>338</v>
      </c>
      <c r="D288" s="432" t="s">
        <v>323</v>
      </c>
      <c r="E288" s="432" t="s">
        <v>499</v>
      </c>
      <c r="F288" s="431" t="s">
        <v>1259</v>
      </c>
      <c r="G288" s="360"/>
      <c r="H288" s="360"/>
      <c r="I288" s="433"/>
      <c r="J288" s="360">
        <v>50000</v>
      </c>
      <c r="K288" s="433"/>
      <c r="L288" s="624"/>
    </row>
    <row r="289" spans="1:12" ht="76.5" thickTop="1" thickBot="1" x14ac:dyDescent="0.25">
      <c r="B289" s="432" t="s">
        <v>337</v>
      </c>
      <c r="C289" s="432" t="s">
        <v>338</v>
      </c>
      <c r="D289" s="432" t="s">
        <v>323</v>
      </c>
      <c r="E289" s="432" t="s">
        <v>499</v>
      </c>
      <c r="F289" s="431" t="s">
        <v>1204</v>
      </c>
      <c r="G289" s="360"/>
      <c r="H289" s="360"/>
      <c r="I289" s="433"/>
      <c r="J289" s="360">
        <v>50000</v>
      </c>
      <c r="K289" s="433"/>
      <c r="L289" s="624">
        <v>2000000</v>
      </c>
    </row>
    <row r="290" spans="1:12" ht="102" customHeight="1" thickTop="1" thickBot="1" x14ac:dyDescent="0.25">
      <c r="B290" s="429" t="s">
        <v>337</v>
      </c>
      <c r="C290" s="429" t="s">
        <v>338</v>
      </c>
      <c r="D290" s="429" t="s">
        <v>323</v>
      </c>
      <c r="E290" s="429" t="s">
        <v>499</v>
      </c>
      <c r="F290" s="431" t="s">
        <v>1205</v>
      </c>
      <c r="G290" s="357"/>
      <c r="H290" s="357"/>
      <c r="I290" s="418"/>
      <c r="J290" s="360">
        <f>(100000)-87009</f>
        <v>12991</v>
      </c>
      <c r="K290" s="418"/>
      <c r="L290" s="624"/>
    </row>
    <row r="291" spans="1:12" ht="110.25" customHeight="1" thickTop="1" thickBot="1" x14ac:dyDescent="0.25">
      <c r="B291" s="429" t="s">
        <v>337</v>
      </c>
      <c r="C291" s="429" t="s">
        <v>338</v>
      </c>
      <c r="D291" s="429" t="s">
        <v>323</v>
      </c>
      <c r="E291" s="429" t="s">
        <v>499</v>
      </c>
      <c r="F291" s="431" t="s">
        <v>1206</v>
      </c>
      <c r="G291" s="357"/>
      <c r="H291" s="357"/>
      <c r="I291" s="418"/>
      <c r="J291" s="360">
        <f>(300000)+395970+61020</f>
        <v>756990</v>
      </c>
      <c r="K291" s="418"/>
      <c r="L291" s="624"/>
    </row>
    <row r="292" spans="1:12" ht="110.25" hidden="1" customHeight="1" thickTop="1" thickBot="1" x14ac:dyDescent="0.25">
      <c r="B292" s="429" t="s">
        <v>337</v>
      </c>
      <c r="C292" s="429" t="s">
        <v>338</v>
      </c>
      <c r="D292" s="429" t="s">
        <v>323</v>
      </c>
      <c r="E292" s="432" t="s">
        <v>499</v>
      </c>
      <c r="F292" s="431" t="s">
        <v>1207</v>
      </c>
      <c r="G292" s="357"/>
      <c r="H292" s="357"/>
      <c r="I292" s="418"/>
      <c r="J292" s="360">
        <f>(400000)-400000</f>
        <v>0</v>
      </c>
      <c r="K292" s="418"/>
      <c r="L292" s="624"/>
    </row>
    <row r="293" spans="1:12" ht="96.75" customHeight="1" thickTop="1" thickBot="1" x14ac:dyDescent="0.25">
      <c r="B293" s="429" t="s">
        <v>337</v>
      </c>
      <c r="C293" s="429" t="s">
        <v>338</v>
      </c>
      <c r="D293" s="429" t="s">
        <v>323</v>
      </c>
      <c r="E293" s="429" t="s">
        <v>499</v>
      </c>
      <c r="F293" s="535" t="s">
        <v>1252</v>
      </c>
      <c r="G293" s="360" t="s">
        <v>602</v>
      </c>
      <c r="H293" s="360">
        <v>37427012</v>
      </c>
      <c r="I293" s="433">
        <f>(17243634.19)/H293</f>
        <v>0.46072697948743546</v>
      </c>
      <c r="J293" s="360">
        <v>370000</v>
      </c>
      <c r="K293" s="433">
        <f>(17243634.19+J293)/H293</f>
        <v>0.47061288755832287</v>
      </c>
      <c r="L293" s="624"/>
    </row>
    <row r="294" spans="1:12" ht="54" customHeight="1" thickTop="1" thickBot="1" x14ac:dyDescent="0.25">
      <c r="B294" s="429" t="s">
        <v>469</v>
      </c>
      <c r="C294" s="429" t="s">
        <v>376</v>
      </c>
      <c r="D294" s="429" t="s">
        <v>184</v>
      </c>
      <c r="E294" s="429" t="s">
        <v>280</v>
      </c>
      <c r="F294" s="656" t="s">
        <v>1245</v>
      </c>
      <c r="G294" s="357" t="s">
        <v>1253</v>
      </c>
      <c r="H294" s="357">
        <v>204203314</v>
      </c>
      <c r="I294" s="433">
        <f>(40567842.39+53857912)/H294</f>
        <v>0.46241048952809843</v>
      </c>
      <c r="J294" s="360">
        <f>((23737852+6343450)+20000000)+60000000</f>
        <v>110081302</v>
      </c>
      <c r="K294" s="433">
        <f>(40567842.39+53857912+J294)/H294</f>
        <v>1.0014874508353964</v>
      </c>
      <c r="L294" s="624">
        <f>(40567842.39+53857912)</f>
        <v>94425754.390000001</v>
      </c>
    </row>
    <row r="295" spans="1:12" ht="46.5" thickTop="1" thickBot="1" x14ac:dyDescent="0.25">
      <c r="B295" s="867" t="s">
        <v>174</v>
      </c>
      <c r="C295" s="867"/>
      <c r="D295" s="867"/>
      <c r="E295" s="868" t="s">
        <v>1069</v>
      </c>
      <c r="F295" s="876"/>
      <c r="G295" s="869"/>
      <c r="H295" s="869"/>
      <c r="I295" s="869"/>
      <c r="J295" s="876">
        <f>J296</f>
        <v>837700</v>
      </c>
      <c r="K295" s="876"/>
      <c r="L295" s="618"/>
    </row>
    <row r="296" spans="1:12" ht="78" customHeight="1" thickTop="1" thickBot="1" x14ac:dyDescent="0.25">
      <c r="B296" s="870" t="s">
        <v>175</v>
      </c>
      <c r="C296" s="870"/>
      <c r="D296" s="870"/>
      <c r="E296" s="871" t="s">
        <v>1088</v>
      </c>
      <c r="F296" s="877"/>
      <c r="G296" s="877"/>
      <c r="H296" s="877"/>
      <c r="I296" s="877"/>
      <c r="J296" s="877">
        <f>SUM(J297:J300)</f>
        <v>837700</v>
      </c>
      <c r="K296" s="877"/>
      <c r="L296" s="618"/>
    </row>
    <row r="297" spans="1:12" ht="57" customHeight="1" thickTop="1" thickBot="1" x14ac:dyDescent="0.25">
      <c r="B297" s="355" t="s">
        <v>447</v>
      </c>
      <c r="C297" s="355" t="s">
        <v>254</v>
      </c>
      <c r="D297" s="355" t="s">
        <v>252</v>
      </c>
      <c r="E297" s="355" t="s">
        <v>253</v>
      </c>
      <c r="F297" s="353" t="s">
        <v>578</v>
      </c>
      <c r="G297" s="357"/>
      <c r="H297" s="357"/>
      <c r="I297" s="418"/>
      <c r="J297" s="357">
        <f>63700+((140000)+36000)</f>
        <v>239700</v>
      </c>
      <c r="K297" s="418"/>
      <c r="L297" s="618"/>
    </row>
    <row r="298" spans="1:12" ht="76.5" thickTop="1" thickBot="1" x14ac:dyDescent="0.25">
      <c r="B298" s="352" t="s">
        <v>1117</v>
      </c>
      <c r="C298" s="352" t="s">
        <v>1118</v>
      </c>
      <c r="D298" s="352" t="s">
        <v>323</v>
      </c>
      <c r="E298" s="352" t="s">
        <v>1119</v>
      </c>
      <c r="F298" s="353" t="s">
        <v>1120</v>
      </c>
      <c r="G298" s="357" t="s">
        <v>667</v>
      </c>
      <c r="H298" s="357"/>
      <c r="I298" s="418">
        <v>0</v>
      </c>
      <c r="J298" s="357">
        <f>211000-13000</f>
        <v>198000</v>
      </c>
      <c r="K298" s="418">
        <v>1</v>
      </c>
      <c r="L298" s="618"/>
    </row>
    <row r="299" spans="1:12" ht="61.5" thickTop="1" thickBot="1" x14ac:dyDescent="0.25">
      <c r="B299" s="352" t="s">
        <v>1117</v>
      </c>
      <c r="C299" s="352" t="s">
        <v>1118</v>
      </c>
      <c r="D299" s="352" t="s">
        <v>323</v>
      </c>
      <c r="E299" s="352" t="s">
        <v>1119</v>
      </c>
      <c r="F299" s="544" t="s">
        <v>1121</v>
      </c>
      <c r="G299" s="357" t="s">
        <v>667</v>
      </c>
      <c r="H299" s="357"/>
      <c r="I299" s="418">
        <v>0</v>
      </c>
      <c r="J299" s="545">
        <f>(400000+13000)-13000</f>
        <v>400000</v>
      </c>
      <c r="K299" s="418">
        <v>1</v>
      </c>
      <c r="L299" s="618"/>
    </row>
    <row r="300" spans="1:12" ht="63.75" hidden="1" customHeight="1" thickTop="1" thickBot="1" x14ac:dyDescent="0.25">
      <c r="B300" s="352" t="s">
        <v>1117</v>
      </c>
      <c r="C300" s="352" t="s">
        <v>1118</v>
      </c>
      <c r="D300" s="352" t="s">
        <v>323</v>
      </c>
      <c r="E300" s="352" t="s">
        <v>1119</v>
      </c>
      <c r="F300" s="710" t="s">
        <v>1287</v>
      </c>
      <c r="G300" s="357" t="s">
        <v>667</v>
      </c>
      <c r="H300" s="357"/>
      <c r="I300" s="418">
        <v>0</v>
      </c>
      <c r="J300" s="608"/>
      <c r="K300" s="418">
        <v>1</v>
      </c>
      <c r="L300" s="618"/>
    </row>
    <row r="301" spans="1:12" ht="46.5" thickTop="1" thickBot="1" x14ac:dyDescent="0.25">
      <c r="B301" s="867" t="s">
        <v>477</v>
      </c>
      <c r="C301" s="867"/>
      <c r="D301" s="867"/>
      <c r="E301" s="868" t="s">
        <v>479</v>
      </c>
      <c r="F301" s="876"/>
      <c r="G301" s="869"/>
      <c r="H301" s="869"/>
      <c r="I301" s="869"/>
      <c r="J301" s="876">
        <f>J302</f>
        <v>36000</v>
      </c>
      <c r="K301" s="876"/>
    </row>
    <row r="302" spans="1:12" ht="44.25" thickTop="1" thickBot="1" x14ac:dyDescent="0.25">
      <c r="B302" s="870" t="s">
        <v>478</v>
      </c>
      <c r="C302" s="870"/>
      <c r="D302" s="870"/>
      <c r="E302" s="871" t="s">
        <v>480</v>
      </c>
      <c r="F302" s="877"/>
      <c r="G302" s="877"/>
      <c r="H302" s="877"/>
      <c r="I302" s="877"/>
      <c r="J302" s="877">
        <f>J303</f>
        <v>36000</v>
      </c>
      <c r="K302" s="877"/>
    </row>
    <row r="303" spans="1:12" ht="61.5" thickTop="1" thickBot="1" x14ac:dyDescent="0.25">
      <c r="B303" s="355" t="s">
        <v>481</v>
      </c>
      <c r="C303" s="355" t="s">
        <v>254</v>
      </c>
      <c r="D303" s="355" t="s">
        <v>252</v>
      </c>
      <c r="E303" s="355" t="s">
        <v>253</v>
      </c>
      <c r="F303" s="353" t="s">
        <v>578</v>
      </c>
      <c r="G303" s="434"/>
      <c r="H303" s="435"/>
      <c r="I303" s="434"/>
      <c r="J303" s="354">
        <f>(18000)+18000</f>
        <v>36000</v>
      </c>
      <c r="K303" s="354"/>
    </row>
    <row r="304" spans="1:12" ht="31.5" thickTop="1" thickBot="1" x14ac:dyDescent="0.25">
      <c r="A304" s="625"/>
      <c r="B304" s="867" t="s">
        <v>180</v>
      </c>
      <c r="C304" s="867"/>
      <c r="D304" s="867"/>
      <c r="E304" s="868" t="s">
        <v>380</v>
      </c>
      <c r="F304" s="876"/>
      <c r="G304" s="869"/>
      <c r="H304" s="869"/>
      <c r="I304" s="869"/>
      <c r="J304" s="876">
        <f>J305</f>
        <v>1909885</v>
      </c>
      <c r="K304" s="876"/>
    </row>
    <row r="305" spans="1:12" ht="44.25" thickTop="1" thickBot="1" x14ac:dyDescent="0.25">
      <c r="A305" s="625"/>
      <c r="B305" s="870" t="s">
        <v>181</v>
      </c>
      <c r="C305" s="870"/>
      <c r="D305" s="870"/>
      <c r="E305" s="871" t="s">
        <v>381</v>
      </c>
      <c r="F305" s="877"/>
      <c r="G305" s="877"/>
      <c r="H305" s="877"/>
      <c r="I305" s="877"/>
      <c r="J305" s="877">
        <f>SUM(J306:J307)</f>
        <v>1909885</v>
      </c>
      <c r="K305" s="877"/>
    </row>
    <row r="306" spans="1:12" ht="31.5" thickTop="1" thickBot="1" x14ac:dyDescent="0.25">
      <c r="B306" s="355" t="s">
        <v>274</v>
      </c>
      <c r="C306" s="355" t="s">
        <v>275</v>
      </c>
      <c r="D306" s="355" t="s">
        <v>184</v>
      </c>
      <c r="E306" s="355" t="s">
        <v>273</v>
      </c>
      <c r="F306" s="356" t="s">
        <v>61</v>
      </c>
      <c r="G306" s="356"/>
      <c r="H306" s="357"/>
      <c r="I306" s="356"/>
      <c r="J306" s="357">
        <f>(400000)-190115</f>
        <v>209885</v>
      </c>
      <c r="K306" s="357"/>
    </row>
    <row r="307" spans="1:12" ht="91.5" thickTop="1" thickBot="1" x14ac:dyDescent="0.25">
      <c r="B307" s="352" t="s">
        <v>1104</v>
      </c>
      <c r="C307" s="352" t="s">
        <v>389</v>
      </c>
      <c r="D307" s="352" t="s">
        <v>45</v>
      </c>
      <c r="E307" s="352" t="s">
        <v>390</v>
      </c>
      <c r="F307" s="353" t="s">
        <v>1105</v>
      </c>
      <c r="G307" s="356"/>
      <c r="H307" s="357"/>
      <c r="I307" s="356"/>
      <c r="J307" s="357">
        <f>(1000000)+700000</f>
        <v>1700000</v>
      </c>
      <c r="K307" s="357"/>
    </row>
    <row r="308" spans="1:12" ht="61.5" thickTop="1" thickBot="1" x14ac:dyDescent="0.25">
      <c r="B308" s="867" t="s">
        <v>178</v>
      </c>
      <c r="C308" s="867"/>
      <c r="D308" s="867"/>
      <c r="E308" s="868" t="s">
        <v>1062</v>
      </c>
      <c r="F308" s="876"/>
      <c r="G308" s="869"/>
      <c r="H308" s="869"/>
      <c r="I308" s="869"/>
      <c r="J308" s="876">
        <f>J309</f>
        <v>64000</v>
      </c>
      <c r="K308" s="876"/>
    </row>
    <row r="309" spans="1:12" ht="58.5" thickTop="1" thickBot="1" x14ac:dyDescent="0.25">
      <c r="B309" s="870" t="s">
        <v>179</v>
      </c>
      <c r="C309" s="870"/>
      <c r="D309" s="870"/>
      <c r="E309" s="871" t="s">
        <v>1063</v>
      </c>
      <c r="F309" s="877"/>
      <c r="G309" s="877"/>
      <c r="H309" s="877"/>
      <c r="I309" s="877"/>
      <c r="J309" s="877">
        <f>J310</f>
        <v>64000</v>
      </c>
      <c r="K309" s="877"/>
    </row>
    <row r="310" spans="1:12" ht="61.5" thickTop="1" thickBot="1" x14ac:dyDescent="0.25">
      <c r="B310" s="355" t="s">
        <v>450</v>
      </c>
      <c r="C310" s="355" t="s">
        <v>254</v>
      </c>
      <c r="D310" s="355" t="s">
        <v>252</v>
      </c>
      <c r="E310" s="355" t="s">
        <v>253</v>
      </c>
      <c r="F310" s="353" t="s">
        <v>578</v>
      </c>
      <c r="G310" s="356"/>
      <c r="H310" s="357"/>
      <c r="I310" s="356"/>
      <c r="J310" s="354">
        <f>(18000)+46000</f>
        <v>64000</v>
      </c>
      <c r="K310" s="357"/>
    </row>
    <row r="311" spans="1:12" ht="46.5" thickTop="1" thickBot="1" x14ac:dyDescent="0.25">
      <c r="B311" s="867" t="s">
        <v>176</v>
      </c>
      <c r="C311" s="867"/>
      <c r="D311" s="867"/>
      <c r="E311" s="868" t="s">
        <v>1071</v>
      </c>
      <c r="F311" s="876"/>
      <c r="G311" s="869"/>
      <c r="H311" s="869"/>
      <c r="I311" s="869"/>
      <c r="J311" s="876">
        <f>J312</f>
        <v>350000</v>
      </c>
      <c r="K311" s="876"/>
    </row>
    <row r="312" spans="1:12" ht="44.25" thickTop="1" thickBot="1" x14ac:dyDescent="0.25">
      <c r="B312" s="870" t="s">
        <v>177</v>
      </c>
      <c r="C312" s="870"/>
      <c r="D312" s="870"/>
      <c r="E312" s="871" t="s">
        <v>1072</v>
      </c>
      <c r="F312" s="877"/>
      <c r="G312" s="877"/>
      <c r="H312" s="877"/>
      <c r="I312" s="877"/>
      <c r="J312" s="877">
        <f>SUM(J313:J316)</f>
        <v>350000</v>
      </c>
      <c r="K312" s="877"/>
    </row>
    <row r="313" spans="1:12" ht="61.5" thickTop="1" thickBot="1" x14ac:dyDescent="0.25">
      <c r="B313" s="355" t="s">
        <v>446</v>
      </c>
      <c r="C313" s="355" t="s">
        <v>254</v>
      </c>
      <c r="D313" s="355" t="s">
        <v>252</v>
      </c>
      <c r="E313" s="355" t="s">
        <v>253</v>
      </c>
      <c r="F313" s="353" t="s">
        <v>578</v>
      </c>
      <c r="G313" s="356"/>
      <c r="H313" s="357"/>
      <c r="I313" s="356"/>
      <c r="J313" s="354">
        <v>100000</v>
      </c>
      <c r="K313" s="357"/>
    </row>
    <row r="314" spans="1:12" ht="31.5" thickTop="1" thickBot="1" x14ac:dyDescent="0.25">
      <c r="B314" s="355" t="s">
        <v>325</v>
      </c>
      <c r="C314" s="355" t="s">
        <v>326</v>
      </c>
      <c r="D314" s="355" t="s">
        <v>327</v>
      </c>
      <c r="E314" s="355" t="s">
        <v>497</v>
      </c>
      <c r="F314" s="430" t="s">
        <v>34</v>
      </c>
      <c r="G314" s="356"/>
      <c r="H314" s="357"/>
      <c r="I314" s="356"/>
      <c r="J314" s="354">
        <v>20000</v>
      </c>
      <c r="K314" s="357"/>
    </row>
    <row r="315" spans="1:12" ht="31.5" thickTop="1" thickBot="1" x14ac:dyDescent="0.25">
      <c r="B315" s="355" t="s">
        <v>325</v>
      </c>
      <c r="C315" s="355" t="s">
        <v>326</v>
      </c>
      <c r="D315" s="355" t="s">
        <v>327</v>
      </c>
      <c r="E315" s="355" t="s">
        <v>497</v>
      </c>
      <c r="F315" s="430" t="s">
        <v>35</v>
      </c>
      <c r="G315" s="356"/>
      <c r="H315" s="357"/>
      <c r="I315" s="356"/>
      <c r="J315" s="354">
        <v>180000</v>
      </c>
      <c r="K315" s="357"/>
    </row>
    <row r="316" spans="1:12" ht="46.5" thickTop="1" thickBot="1" x14ac:dyDescent="0.25">
      <c r="B316" s="355" t="s">
        <v>394</v>
      </c>
      <c r="C316" s="355" t="s">
        <v>395</v>
      </c>
      <c r="D316" s="355" t="s">
        <v>184</v>
      </c>
      <c r="E316" s="355" t="s">
        <v>396</v>
      </c>
      <c r="F316" s="430" t="s">
        <v>342</v>
      </c>
      <c r="G316" s="356"/>
      <c r="H316" s="357"/>
      <c r="I316" s="356"/>
      <c r="J316" s="354">
        <v>50000</v>
      </c>
      <c r="K316" s="357"/>
    </row>
    <row r="317" spans="1:12" ht="31.5" thickTop="1" thickBot="1" x14ac:dyDescent="0.25">
      <c r="B317" s="867" t="s">
        <v>182</v>
      </c>
      <c r="C317" s="867"/>
      <c r="D317" s="867"/>
      <c r="E317" s="868" t="s">
        <v>27</v>
      </c>
      <c r="F317" s="876"/>
      <c r="G317" s="869"/>
      <c r="H317" s="869"/>
      <c r="I317" s="869"/>
      <c r="J317" s="876">
        <f>J318</f>
        <v>40000</v>
      </c>
      <c r="K317" s="876"/>
    </row>
    <row r="318" spans="1:12" ht="44.25" thickTop="1" thickBot="1" x14ac:dyDescent="0.25">
      <c r="B318" s="870" t="s">
        <v>183</v>
      </c>
      <c r="C318" s="870"/>
      <c r="D318" s="870"/>
      <c r="E318" s="871" t="s">
        <v>42</v>
      </c>
      <c r="F318" s="877"/>
      <c r="G318" s="877"/>
      <c r="H318" s="877"/>
      <c r="I318" s="877"/>
      <c r="J318" s="877">
        <f>J319</f>
        <v>40000</v>
      </c>
      <c r="K318" s="877"/>
    </row>
    <row r="319" spans="1:12" ht="61.5" thickTop="1" thickBot="1" x14ac:dyDescent="0.25">
      <c r="B319" s="352" t="s">
        <v>448</v>
      </c>
      <c r="C319" s="352" t="s">
        <v>254</v>
      </c>
      <c r="D319" s="352" t="s">
        <v>252</v>
      </c>
      <c r="E319" s="352" t="s">
        <v>253</v>
      </c>
      <c r="F319" s="353" t="s">
        <v>578</v>
      </c>
      <c r="G319" s="356"/>
      <c r="H319" s="357"/>
      <c r="I319" s="356"/>
      <c r="J319" s="354">
        <v>40000</v>
      </c>
      <c r="K319" s="357"/>
    </row>
    <row r="320" spans="1:12" ht="34.5" customHeight="1" thickTop="1" thickBot="1" x14ac:dyDescent="0.25">
      <c r="A320" s="617"/>
      <c r="B320" s="249" t="s">
        <v>408</v>
      </c>
      <c r="C320" s="249" t="s">
        <v>408</v>
      </c>
      <c r="D320" s="249" t="s">
        <v>408</v>
      </c>
      <c r="E320" s="259" t="s">
        <v>418</v>
      </c>
      <c r="F320" s="249" t="s">
        <v>408</v>
      </c>
      <c r="G320" s="249" t="s">
        <v>408</v>
      </c>
      <c r="H320" s="249" t="s">
        <v>408</v>
      </c>
      <c r="I320" s="249" t="s">
        <v>408</v>
      </c>
      <c r="J320" s="249">
        <f>J12+J19+J158+J93+J116+J145+J311+J304+J302+J295+J308+J271+J188+J174+J317</f>
        <v>583404942.64999998</v>
      </c>
      <c r="K320" s="249" t="s">
        <v>408</v>
      </c>
      <c r="L320" s="260" t="b">
        <f>J320='d3'!K356</f>
        <v>1</v>
      </c>
    </row>
    <row r="321" spans="2:18" ht="16.5" thickTop="1" x14ac:dyDescent="0.2">
      <c r="B321" s="1136" t="s">
        <v>597</v>
      </c>
      <c r="C321" s="1137"/>
      <c r="D321" s="1137"/>
      <c r="E321" s="1137"/>
      <c r="F321" s="1137"/>
      <c r="G321" s="1137"/>
      <c r="H321" s="1137"/>
      <c r="I321" s="1137"/>
      <c r="J321" s="1137"/>
      <c r="K321" s="1137"/>
      <c r="L321" s="1138"/>
      <c r="M321" s="1138"/>
      <c r="N321" s="1138"/>
      <c r="O321" s="1138"/>
      <c r="P321" s="1138"/>
      <c r="Q321" s="1138"/>
      <c r="R321" s="1138"/>
    </row>
    <row r="322" spans="2:18" ht="12" customHeight="1" x14ac:dyDescent="0.2">
      <c r="B322" s="1139"/>
      <c r="C322" s="1139"/>
      <c r="D322" s="1139"/>
      <c r="E322" s="1139"/>
      <c r="F322" s="1139"/>
      <c r="G322" s="1139"/>
      <c r="H322" s="1139"/>
      <c r="I322" s="1139"/>
      <c r="J322" s="1139"/>
      <c r="K322" s="1139"/>
    </row>
    <row r="323" spans="2:18" ht="26.45" hidden="1" customHeight="1" x14ac:dyDescent="0.2">
      <c r="B323" s="677"/>
      <c r="C323" s="677"/>
      <c r="D323" s="677" t="s">
        <v>610</v>
      </c>
      <c r="E323" s="677"/>
      <c r="F323" s="677"/>
      <c r="G323" s="677"/>
      <c r="H323" s="677"/>
      <c r="I323" s="677"/>
      <c r="J323" s="677" t="s">
        <v>605</v>
      </c>
      <c r="K323" s="677"/>
    </row>
    <row r="324" spans="2:18" ht="15" x14ac:dyDescent="0.25">
      <c r="D324" s="1086" t="s">
        <v>1508</v>
      </c>
      <c r="E324" s="1134"/>
      <c r="F324" s="759"/>
      <c r="G324" s="759" t="s">
        <v>1509</v>
      </c>
      <c r="H324" s="759"/>
      <c r="I324" s="148"/>
      <c r="J324" s="148"/>
      <c r="K324" s="147"/>
    </row>
    <row r="325" spans="2:18" ht="15" x14ac:dyDescent="0.25">
      <c r="D325" s="145"/>
      <c r="E325" s="759"/>
      <c r="F325" s="664"/>
      <c r="G325" s="759"/>
      <c r="H325" s="759"/>
      <c r="I325" s="759"/>
      <c r="J325" s="626"/>
      <c r="K325" s="626"/>
    </row>
    <row r="326" spans="2:18" ht="15" x14ac:dyDescent="0.25">
      <c r="D326" s="145" t="s">
        <v>606</v>
      </c>
      <c r="E326" s="759"/>
      <c r="F326" s="664"/>
      <c r="G326" s="147" t="s">
        <v>607</v>
      </c>
      <c r="H326" s="147"/>
      <c r="I326" s="148"/>
      <c r="J326" s="148"/>
      <c r="K326" s="147"/>
    </row>
    <row r="338" spans="7:11" ht="46.5" x14ac:dyDescent="0.2">
      <c r="K338" s="106"/>
    </row>
    <row r="341" spans="7:11" ht="46.5" x14ac:dyDescent="0.2">
      <c r="G341" s="106"/>
      <c r="K341" s="106"/>
    </row>
    <row r="360" spans="12:12" ht="90" x14ac:dyDescent="1.1499999999999999">
      <c r="L360" s="73"/>
    </row>
  </sheetData>
  <mergeCells count="55">
    <mergeCell ref="D324:E324"/>
    <mergeCell ref="I84:I85"/>
    <mergeCell ref="J84:J85"/>
    <mergeCell ref="K84:K85"/>
    <mergeCell ref="B321:R321"/>
    <mergeCell ref="B322:K322"/>
    <mergeCell ref="F84:F85"/>
    <mergeCell ref="G84:G85"/>
    <mergeCell ref="H84:H85"/>
    <mergeCell ref="B125:B127"/>
    <mergeCell ref="C125:C127"/>
    <mergeCell ref="D125:D127"/>
    <mergeCell ref="F125:F127"/>
    <mergeCell ref="G125:G127"/>
    <mergeCell ref="H125:H127"/>
    <mergeCell ref="K125:K127"/>
    <mergeCell ref="B1:K1"/>
    <mergeCell ref="G2:K2"/>
    <mergeCell ref="B4:K4"/>
    <mergeCell ref="B5:K5"/>
    <mergeCell ref="B7:C7"/>
    <mergeCell ref="B8:C8"/>
    <mergeCell ref="B84:B85"/>
    <mergeCell ref="C84:C85"/>
    <mergeCell ref="D84:D85"/>
    <mergeCell ref="E84:E85"/>
    <mergeCell ref="J125:J127"/>
    <mergeCell ref="I125:I127"/>
    <mergeCell ref="B128:B131"/>
    <mergeCell ref="C128:C131"/>
    <mergeCell ref="D128:D131"/>
    <mergeCell ref="F128:F131"/>
    <mergeCell ref="J128:J131"/>
    <mergeCell ref="G128:G131"/>
    <mergeCell ref="H128:H131"/>
    <mergeCell ref="I128:I131"/>
    <mergeCell ref="K128:K131"/>
    <mergeCell ref="B132:B134"/>
    <mergeCell ref="C132:C134"/>
    <mergeCell ref="D132:D134"/>
    <mergeCell ref="F132:F134"/>
    <mergeCell ref="J132:J134"/>
    <mergeCell ref="G132:G134"/>
    <mergeCell ref="H132:H134"/>
    <mergeCell ref="I132:I134"/>
    <mergeCell ref="K132:K134"/>
    <mergeCell ref="H135:H137"/>
    <mergeCell ref="I135:I137"/>
    <mergeCell ref="J135:J137"/>
    <mergeCell ref="K135:K137"/>
    <mergeCell ref="B135:B137"/>
    <mergeCell ref="C135:C137"/>
    <mergeCell ref="D135:D137"/>
    <mergeCell ref="F135:F137"/>
    <mergeCell ref="G135:G137"/>
  </mergeCells>
  <printOptions horizontalCentered="1"/>
  <pageMargins left="0.82677165354330717" right="0" top="0.31496062992125984" bottom="0.31496062992125984" header="0.23622047244094491" footer="0.19685039370078741"/>
  <pageSetup paperSize="9" scale="63" fitToHeight="0" orientation="landscape" r:id="rId1"/>
  <headerFooter alignWithMargins="0">
    <oddFooter>&amp;R&amp;P</oddFooter>
  </headerFooter>
  <rowBreaks count="3" manualBreakCount="3">
    <brk id="20" min="1" max="10" man="1"/>
    <brk id="39" min="1" max="10" man="1"/>
    <brk id="268" min="1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2"/>
  <sheetViews>
    <sheetView view="pageBreakPreview" zoomScale="10" zoomScaleNormal="25" zoomScaleSheetLayoutView="10" zoomScalePageLayoutView="10" workbookViewId="0">
      <pane ySplit="14" topLeftCell="A239" activePane="bottomLeft" state="frozen"/>
      <selection activeCell="F175" sqref="F175"/>
      <selection pane="bottomLeft" activeCell="I2" sqref="I2:J2"/>
    </sheetView>
  </sheetViews>
  <sheetFormatPr defaultColWidth="9.140625" defaultRowHeight="12.75" x14ac:dyDescent="0.2"/>
  <cols>
    <col min="1" max="1" width="48" style="1" customWidth="1"/>
    <col min="2" max="2" width="52.5703125" style="1" customWidth="1"/>
    <col min="3" max="3" width="65.7109375" style="1" customWidth="1"/>
    <col min="4" max="4" width="106.28515625" style="1" customWidth="1"/>
    <col min="5" max="5" width="113.85546875" style="5" customWidth="1"/>
    <col min="6" max="6" width="114" style="1" customWidth="1"/>
    <col min="7" max="7" width="55.42578125" style="1" customWidth="1"/>
    <col min="8" max="8" width="63.5703125" style="1" customWidth="1"/>
    <col min="9" max="9" width="62.140625" style="1" customWidth="1"/>
    <col min="10" max="10" width="70.28515625" style="5" customWidth="1"/>
    <col min="11" max="11" width="62.28515625" style="187" customWidth="1"/>
    <col min="12" max="12" width="60.140625" style="187" bestFit="1" customWidth="1"/>
    <col min="13" max="13" width="63" style="187" bestFit="1" customWidth="1"/>
    <col min="14" max="16" width="9.140625" style="187"/>
    <col min="17" max="17" width="70.28515625" style="187" customWidth="1"/>
    <col min="18" max="16384" width="9.140625" style="132"/>
  </cols>
  <sheetData>
    <row r="1" spans="1:17" ht="45.75" x14ac:dyDescent="0.2">
      <c r="D1" s="134"/>
      <c r="E1" s="135"/>
      <c r="F1" s="133"/>
      <c r="G1" s="135"/>
      <c r="H1" s="135"/>
      <c r="I1" s="1059" t="s">
        <v>726</v>
      </c>
      <c r="J1" s="1059"/>
    </row>
    <row r="2" spans="1:17" ht="45.75" x14ac:dyDescent="0.2">
      <c r="A2" s="134"/>
      <c r="B2" s="134"/>
      <c r="C2" s="134"/>
      <c r="D2" s="134"/>
      <c r="E2" s="135"/>
      <c r="F2" s="133"/>
      <c r="G2" s="135"/>
      <c r="H2" s="135"/>
      <c r="I2" s="1059" t="s">
        <v>1519</v>
      </c>
      <c r="J2" s="1061"/>
    </row>
    <row r="3" spans="1:17" ht="40.700000000000003" customHeight="1" x14ac:dyDescent="0.2">
      <c r="A3" s="134"/>
      <c r="B3" s="134"/>
      <c r="C3" s="134"/>
      <c r="D3" s="134"/>
      <c r="E3" s="135"/>
      <c r="F3" s="133"/>
      <c r="G3" s="135"/>
      <c r="H3" s="135"/>
      <c r="I3" s="1059"/>
      <c r="J3" s="1061"/>
    </row>
    <row r="4" spans="1:17" ht="45.75" hidden="1" x14ac:dyDescent="0.2">
      <c r="A4" s="134"/>
      <c r="B4" s="134"/>
      <c r="C4" s="134"/>
      <c r="D4" s="134"/>
      <c r="E4" s="135"/>
      <c r="F4" s="133"/>
      <c r="G4" s="135"/>
      <c r="H4" s="135"/>
      <c r="I4" s="134"/>
      <c r="J4" s="133"/>
    </row>
    <row r="5" spans="1:17" ht="45" x14ac:dyDescent="0.2">
      <c r="A5" s="1062" t="s">
        <v>680</v>
      </c>
      <c r="B5" s="1062"/>
      <c r="C5" s="1062"/>
      <c r="D5" s="1062"/>
      <c r="E5" s="1062"/>
      <c r="F5" s="1062"/>
      <c r="G5" s="1062"/>
      <c r="H5" s="1062"/>
      <c r="I5" s="1062"/>
      <c r="J5" s="1062"/>
    </row>
    <row r="6" spans="1:17" s="158" customFormat="1" ht="45" x14ac:dyDescent="0.2">
      <c r="A6" s="1062" t="s">
        <v>681</v>
      </c>
      <c r="B6" s="1062"/>
      <c r="C6" s="1062"/>
      <c r="D6" s="1062"/>
      <c r="E6" s="1062"/>
      <c r="F6" s="1062"/>
      <c r="G6" s="1062"/>
      <c r="H6" s="1062"/>
      <c r="I6" s="1062"/>
      <c r="J6" s="1062"/>
      <c r="K6" s="187"/>
      <c r="L6" s="187"/>
      <c r="M6" s="187"/>
      <c r="N6" s="187"/>
      <c r="O6" s="187"/>
      <c r="P6" s="187"/>
      <c r="Q6" s="187"/>
    </row>
    <row r="7" spans="1:17" ht="45" x14ac:dyDescent="0.2">
      <c r="A7" s="135"/>
      <c r="B7" s="135"/>
      <c r="C7" s="135"/>
      <c r="D7" s="135"/>
      <c r="E7" s="135"/>
      <c r="F7" s="135"/>
      <c r="G7" s="135"/>
      <c r="H7" s="135"/>
      <c r="I7" s="135"/>
      <c r="J7" s="135"/>
    </row>
    <row r="8" spans="1:17" ht="45" x14ac:dyDescent="0.2">
      <c r="A8" s="1062"/>
      <c r="B8" s="1062"/>
      <c r="C8" s="1062"/>
      <c r="D8" s="1062"/>
      <c r="E8" s="1062"/>
      <c r="F8" s="1062"/>
      <c r="G8" s="1062"/>
      <c r="H8" s="1062"/>
      <c r="I8" s="1062"/>
      <c r="J8" s="1062"/>
    </row>
    <row r="9" spans="1:17" ht="45.75" x14ac:dyDescent="0.65">
      <c r="A9" s="1063">
        <v>22564000000</v>
      </c>
      <c r="B9" s="1064"/>
      <c r="C9" s="1003"/>
      <c r="D9" s="1003"/>
      <c r="E9" s="1003"/>
      <c r="F9" s="1003"/>
      <c r="G9" s="1003"/>
      <c r="H9" s="1003"/>
      <c r="I9" s="1003"/>
      <c r="J9" s="1003"/>
    </row>
    <row r="10" spans="1:17" ht="45.75" x14ac:dyDescent="0.2">
      <c r="A10" s="1068" t="s">
        <v>535</v>
      </c>
      <c r="B10" s="1069"/>
      <c r="C10" s="1003"/>
      <c r="D10" s="1003"/>
      <c r="E10" s="1003"/>
      <c r="F10" s="1003"/>
      <c r="G10" s="1003"/>
      <c r="H10" s="1003"/>
      <c r="I10" s="1003"/>
      <c r="J10" s="1003"/>
    </row>
    <row r="11" spans="1:17" ht="53.45" customHeight="1" thickBot="1" x14ac:dyDescent="0.25">
      <c r="A11" s="135"/>
      <c r="B11" s="135"/>
      <c r="C11" s="135"/>
      <c r="D11" s="135"/>
      <c r="E11" s="135"/>
      <c r="F11" s="133"/>
      <c r="G11" s="135"/>
      <c r="H11" s="135"/>
      <c r="I11" s="135"/>
      <c r="J11" s="6" t="s">
        <v>431</v>
      </c>
    </row>
    <row r="12" spans="1:17" ht="104.25" customHeight="1" thickTop="1" thickBot="1" x14ac:dyDescent="0.25">
      <c r="A12" s="1067" t="s">
        <v>536</v>
      </c>
      <c r="B12" s="1067" t="s">
        <v>537</v>
      </c>
      <c r="C12" s="1067" t="s">
        <v>417</v>
      </c>
      <c r="D12" s="1067" t="s">
        <v>682</v>
      </c>
      <c r="E12" s="1067" t="s">
        <v>540</v>
      </c>
      <c r="F12" s="1067" t="s">
        <v>541</v>
      </c>
      <c r="G12" s="1067" t="s">
        <v>410</v>
      </c>
      <c r="H12" s="1067" t="s">
        <v>12</v>
      </c>
      <c r="I12" s="1065" t="s">
        <v>57</v>
      </c>
      <c r="J12" s="1066"/>
    </row>
    <row r="13" spans="1:17" ht="406.5" customHeight="1" thickTop="1" thickBot="1" x14ac:dyDescent="0.25">
      <c r="A13" s="1065"/>
      <c r="B13" s="1070"/>
      <c r="C13" s="1070"/>
      <c r="D13" s="1065"/>
      <c r="E13" s="1065"/>
      <c r="F13" s="1065"/>
      <c r="G13" s="1065"/>
      <c r="H13" s="1065"/>
      <c r="I13" s="172" t="s">
        <v>411</v>
      </c>
      <c r="J13" s="172" t="s">
        <v>412</v>
      </c>
    </row>
    <row r="14" spans="1:17" s="2" customFormat="1" ht="46.5" thickTop="1" thickBot="1" x14ac:dyDescent="0.25">
      <c r="A14" s="173" t="s">
        <v>2</v>
      </c>
      <c r="B14" s="173" t="s">
        <v>3</v>
      </c>
      <c r="C14" s="173" t="s">
        <v>14</v>
      </c>
      <c r="D14" s="173" t="s">
        <v>5</v>
      </c>
      <c r="E14" s="173" t="s">
        <v>419</v>
      </c>
      <c r="F14" s="173" t="s">
        <v>420</v>
      </c>
      <c r="G14" s="173" t="s">
        <v>421</v>
      </c>
      <c r="H14" s="173" t="s">
        <v>422</v>
      </c>
      <c r="I14" s="173" t="s">
        <v>423</v>
      </c>
      <c r="J14" s="173" t="s">
        <v>424</v>
      </c>
      <c r="K14" s="190"/>
      <c r="L14" s="190"/>
      <c r="M14" s="190"/>
      <c r="N14" s="190"/>
      <c r="O14" s="190"/>
      <c r="P14" s="190"/>
      <c r="Q14" s="190"/>
    </row>
    <row r="15" spans="1:17" s="2" customFormat="1" ht="148.69999999999999" customHeight="1" thickTop="1" thickBot="1" x14ac:dyDescent="0.25">
      <c r="A15" s="853" t="s">
        <v>162</v>
      </c>
      <c r="B15" s="853"/>
      <c r="C15" s="853"/>
      <c r="D15" s="854" t="s">
        <v>164</v>
      </c>
      <c r="E15" s="855"/>
      <c r="F15" s="856"/>
      <c r="G15" s="856">
        <f>G16</f>
        <v>29788437.170000002</v>
      </c>
      <c r="H15" s="856">
        <f t="shared" ref="H15:J15" si="0">H16</f>
        <v>20067292.59</v>
      </c>
      <c r="I15" s="855">
        <f>I16</f>
        <v>9721144.5800000001</v>
      </c>
      <c r="J15" s="855">
        <f t="shared" si="0"/>
        <v>6046500</v>
      </c>
      <c r="K15" s="232" t="b">
        <f>H16='d3'!F17-'d3'!F19-'d3'!F20+'d7'!H17+'d7'!H19</f>
        <v>1</v>
      </c>
      <c r="L15" s="232" t="b">
        <f>I16='d3'!J17-'d3'!J19-'d3'!J20+'d7'!I17+'d7'!I19+I18</f>
        <v>1</v>
      </c>
      <c r="M15" s="232" t="b">
        <f>J16='d3'!K17-'d3'!K19-'d3'!K20+'d7'!J17+'d7'!J19+J18</f>
        <v>1</v>
      </c>
      <c r="N15" s="190"/>
      <c r="O15" s="190"/>
      <c r="P15" s="190"/>
      <c r="Q15" s="190"/>
    </row>
    <row r="16" spans="1:17" s="2" customFormat="1" ht="157.69999999999999" customHeight="1" thickTop="1" thickBot="1" x14ac:dyDescent="0.25">
      <c r="A16" s="878" t="s">
        <v>163</v>
      </c>
      <c r="B16" s="878"/>
      <c r="C16" s="878"/>
      <c r="D16" s="879" t="s">
        <v>165</v>
      </c>
      <c r="E16" s="880"/>
      <c r="F16" s="880"/>
      <c r="G16" s="880">
        <f>SUM(G17:G39)</f>
        <v>29788437.170000002</v>
      </c>
      <c r="H16" s="880">
        <f>SUM(H17:H39)</f>
        <v>20067292.59</v>
      </c>
      <c r="I16" s="880">
        <f>SUM(I17:I39)</f>
        <v>9721144.5800000001</v>
      </c>
      <c r="J16" s="880">
        <f>SUM(J17:J39)</f>
        <v>6046500</v>
      </c>
      <c r="K16" s="190"/>
      <c r="L16" s="190"/>
      <c r="M16" s="190"/>
      <c r="N16" s="190"/>
      <c r="O16" s="190"/>
      <c r="P16" s="190"/>
      <c r="Q16" s="190"/>
    </row>
    <row r="17" spans="1:17" ht="367.5" thickTop="1" thickBot="1" x14ac:dyDescent="0.25">
      <c r="A17" s="228" t="s">
        <v>250</v>
      </c>
      <c r="B17" s="228" t="s">
        <v>251</v>
      </c>
      <c r="C17" s="228" t="s">
        <v>252</v>
      </c>
      <c r="D17" s="228" t="s">
        <v>249</v>
      </c>
      <c r="E17" s="305" t="s">
        <v>1386</v>
      </c>
      <c r="F17" s="485" t="s">
        <v>1024</v>
      </c>
      <c r="G17" s="229">
        <f t="shared" ref="G17:G26" si="1">H17+I17</f>
        <v>2236000</v>
      </c>
      <c r="H17" s="310"/>
      <c r="I17" s="229">
        <f>(300000+300000+330000+15000)+336000+900000+55000</f>
        <v>2236000</v>
      </c>
      <c r="J17" s="229">
        <f>(300000+300000+330000+15000)+336000+900000+55000</f>
        <v>2236000</v>
      </c>
      <c r="K17" s="221"/>
      <c r="L17" s="232" t="b">
        <f>I17+I19+I18='d3'!J19</f>
        <v>1</v>
      </c>
      <c r="M17" s="232" t="b">
        <f>J17+J19+J18='d3'!K19</f>
        <v>1</v>
      </c>
    </row>
    <row r="18" spans="1:17" s="889" customFormat="1" ht="409.6" thickTop="1" thickBot="1" x14ac:dyDescent="0.25">
      <c r="A18" s="909" t="s">
        <v>250</v>
      </c>
      <c r="B18" s="909" t="s">
        <v>251</v>
      </c>
      <c r="C18" s="909" t="s">
        <v>252</v>
      </c>
      <c r="D18" s="909" t="s">
        <v>249</v>
      </c>
      <c r="E18" s="895" t="s">
        <v>1188</v>
      </c>
      <c r="F18" s="899" t="s">
        <v>1028</v>
      </c>
      <c r="G18" s="229">
        <f t="shared" si="1"/>
        <v>352000</v>
      </c>
      <c r="H18" s="310"/>
      <c r="I18" s="229">
        <v>352000</v>
      </c>
      <c r="J18" s="229">
        <v>352000</v>
      </c>
      <c r="K18" s="939"/>
      <c r="L18" s="334"/>
      <c r="M18" s="334"/>
      <c r="N18" s="910"/>
      <c r="O18" s="910"/>
      <c r="P18" s="910"/>
      <c r="Q18" s="910"/>
    </row>
    <row r="19" spans="1:17" s="169" customFormat="1" ht="367.5" thickTop="1" thickBot="1" x14ac:dyDescent="0.25">
      <c r="A19" s="228" t="s">
        <v>250</v>
      </c>
      <c r="B19" s="228" t="s">
        <v>251</v>
      </c>
      <c r="C19" s="228" t="s">
        <v>252</v>
      </c>
      <c r="D19" s="228" t="s">
        <v>249</v>
      </c>
      <c r="E19" s="305" t="s">
        <v>1045</v>
      </c>
      <c r="F19" s="488" t="s">
        <v>1046</v>
      </c>
      <c r="G19" s="229">
        <f t="shared" si="1"/>
        <v>638500</v>
      </c>
      <c r="H19" s="310">
        <v>20000</v>
      </c>
      <c r="I19" s="229">
        <v>618500</v>
      </c>
      <c r="J19" s="229">
        <v>618500</v>
      </c>
      <c r="K19" s="222"/>
      <c r="L19" s="223"/>
      <c r="M19" s="187"/>
      <c r="N19" s="187"/>
      <c r="O19" s="187"/>
      <c r="P19" s="187"/>
      <c r="Q19" s="187"/>
    </row>
    <row r="20" spans="1:17" s="301" customFormat="1" ht="409.6" thickTop="1" thickBot="1" x14ac:dyDescent="0.25">
      <c r="A20" s="306" t="s">
        <v>777</v>
      </c>
      <c r="B20" s="306" t="s">
        <v>388</v>
      </c>
      <c r="C20" s="306" t="s">
        <v>778</v>
      </c>
      <c r="D20" s="306" t="s">
        <v>779</v>
      </c>
      <c r="E20" s="305" t="s">
        <v>1058</v>
      </c>
      <c r="F20" s="508" t="s">
        <v>1059</v>
      </c>
      <c r="G20" s="229">
        <f t="shared" si="1"/>
        <v>49000</v>
      </c>
      <c r="H20" s="310">
        <f>'d3'!E21</f>
        <v>49000</v>
      </c>
      <c r="I20" s="229"/>
      <c r="J20" s="229"/>
      <c r="K20" s="222"/>
      <c r="L20" s="223"/>
      <c r="M20" s="302"/>
      <c r="N20" s="302"/>
      <c r="O20" s="302"/>
      <c r="P20" s="302"/>
      <c r="Q20" s="302"/>
    </row>
    <row r="21" spans="1:17" ht="184.5" thickTop="1" thickBot="1" x14ac:dyDescent="0.25">
      <c r="A21" s="228" t="s">
        <v>265</v>
      </c>
      <c r="B21" s="228" t="s">
        <v>45</v>
      </c>
      <c r="C21" s="228" t="s">
        <v>44</v>
      </c>
      <c r="D21" s="228" t="s">
        <v>266</v>
      </c>
      <c r="E21" s="493" t="s">
        <v>1025</v>
      </c>
      <c r="F21" s="485" t="s">
        <v>1026</v>
      </c>
      <c r="G21" s="229">
        <f t="shared" si="1"/>
        <v>1300000</v>
      </c>
      <c r="H21" s="310">
        <f>(1500000)-200000</f>
        <v>1300000</v>
      </c>
      <c r="I21" s="229"/>
      <c r="J21" s="229"/>
      <c r="K21" s="1148" t="b">
        <f>H21+H22='d3'!E22</f>
        <v>1</v>
      </c>
      <c r="L21" s="1148"/>
      <c r="M21" s="1148"/>
    </row>
    <row r="22" spans="1:17" ht="184.5" customHeight="1" thickTop="1" thickBot="1" x14ac:dyDescent="0.25">
      <c r="A22" s="228" t="s">
        <v>265</v>
      </c>
      <c r="B22" s="228" t="s">
        <v>45</v>
      </c>
      <c r="C22" s="228" t="s">
        <v>44</v>
      </c>
      <c r="D22" s="228" t="s">
        <v>266</v>
      </c>
      <c r="E22" s="305" t="s">
        <v>1029</v>
      </c>
      <c r="F22" s="485" t="s">
        <v>1030</v>
      </c>
      <c r="G22" s="229">
        <f t="shared" si="1"/>
        <v>1635750</v>
      </c>
      <c r="H22" s="310">
        <f>(20000+41000+1549750)+25000</f>
        <v>1635750</v>
      </c>
      <c r="I22" s="229"/>
      <c r="J22" s="229"/>
      <c r="K22" s="1031"/>
      <c r="L22" s="1031"/>
      <c r="M22" s="1031"/>
    </row>
    <row r="23" spans="1:17" ht="138.75" thickTop="1" thickBot="1" x14ac:dyDescent="0.25">
      <c r="A23" s="228" t="s">
        <v>256</v>
      </c>
      <c r="B23" s="228" t="s">
        <v>257</v>
      </c>
      <c r="C23" s="228" t="s">
        <v>258</v>
      </c>
      <c r="D23" s="228" t="s">
        <v>255</v>
      </c>
      <c r="E23" s="305" t="s">
        <v>1386</v>
      </c>
      <c r="F23" s="485" t="s">
        <v>1024</v>
      </c>
      <c r="G23" s="229">
        <f t="shared" si="1"/>
        <v>5892400</v>
      </c>
      <c r="H23" s="229">
        <f>'d3'!E25</f>
        <v>4392400</v>
      </c>
      <c r="I23" s="229">
        <f>'d3'!J25</f>
        <v>1500000</v>
      </c>
      <c r="J23" s="229">
        <f>'d3'!K25</f>
        <v>1500000</v>
      </c>
      <c r="K23" s="232" t="b">
        <f>H23='d3'!E25</f>
        <v>1</v>
      </c>
      <c r="L23" s="233" t="b">
        <f>I23='d3'!J25</f>
        <v>1</v>
      </c>
      <c r="M23" s="234" t="b">
        <f>J23='d3'!K25</f>
        <v>1</v>
      </c>
    </row>
    <row r="24" spans="1:17" s="703" customFormat="1" ht="276" thickTop="1" thickBot="1" x14ac:dyDescent="0.25">
      <c r="A24" s="707" t="s">
        <v>1288</v>
      </c>
      <c r="B24" s="707" t="s">
        <v>1289</v>
      </c>
      <c r="C24" s="707" t="s">
        <v>258</v>
      </c>
      <c r="D24" s="707" t="s">
        <v>1290</v>
      </c>
      <c r="E24" s="305" t="s">
        <v>1386</v>
      </c>
      <c r="F24" s="704" t="s">
        <v>1024</v>
      </c>
      <c r="G24" s="229">
        <f t="shared" si="1"/>
        <v>250000</v>
      </c>
      <c r="H24" s="229">
        <f>'d3'!E26</f>
        <v>250000</v>
      </c>
      <c r="I24" s="229">
        <f>'d3'!J26</f>
        <v>0</v>
      </c>
      <c r="J24" s="229">
        <f>'d3'!K26</f>
        <v>0</v>
      </c>
      <c r="K24" s="232" t="b">
        <f>H24='d3'!E26</f>
        <v>1</v>
      </c>
      <c r="L24" s="233" t="b">
        <f>I24='d3'!J26</f>
        <v>1</v>
      </c>
      <c r="M24" s="234" t="b">
        <f>J24='d3'!K26</f>
        <v>1</v>
      </c>
      <c r="N24" s="709"/>
      <c r="O24" s="709"/>
      <c r="P24" s="709"/>
      <c r="Q24" s="709"/>
    </row>
    <row r="25" spans="1:17" ht="230.25" thickTop="1" thickBot="1" x14ac:dyDescent="0.25">
      <c r="A25" s="306" t="s">
        <v>318</v>
      </c>
      <c r="B25" s="306" t="s">
        <v>319</v>
      </c>
      <c r="C25" s="306" t="s">
        <v>184</v>
      </c>
      <c r="D25" s="306" t="s">
        <v>475</v>
      </c>
      <c r="E25" s="305" t="s">
        <v>1029</v>
      </c>
      <c r="F25" s="485" t="s">
        <v>1030</v>
      </c>
      <c r="G25" s="229">
        <f t="shared" si="1"/>
        <v>290200</v>
      </c>
      <c r="H25" s="229">
        <f>'d3'!E28</f>
        <v>290200</v>
      </c>
      <c r="I25" s="229">
        <f>'d3'!J28</f>
        <v>0</v>
      </c>
      <c r="J25" s="229">
        <f>'d3'!K28</f>
        <v>0</v>
      </c>
      <c r="K25" s="232" t="b">
        <f>H25='d3'!E28</f>
        <v>1</v>
      </c>
      <c r="L25" s="233" t="b">
        <f>I25='d3'!J28</f>
        <v>1</v>
      </c>
      <c r="M25" s="234" t="b">
        <f>J25='d3'!K28</f>
        <v>1</v>
      </c>
    </row>
    <row r="26" spans="1:17" ht="364.5" customHeight="1" thickTop="1" thickBot="1" x14ac:dyDescent="0.7">
      <c r="A26" s="1151" t="s">
        <v>364</v>
      </c>
      <c r="B26" s="1151" t="s">
        <v>363</v>
      </c>
      <c r="C26" s="1151" t="s">
        <v>184</v>
      </c>
      <c r="D26" s="311" t="s">
        <v>473</v>
      </c>
      <c r="E26" s="1151" t="s">
        <v>1029</v>
      </c>
      <c r="F26" s="1151" t="s">
        <v>1030</v>
      </c>
      <c r="G26" s="1153">
        <f t="shared" si="1"/>
        <v>3674644.58</v>
      </c>
      <c r="H26" s="1153">
        <f>'d3'!E30</f>
        <v>0</v>
      </c>
      <c r="I26" s="1153">
        <f>'d3'!J30</f>
        <v>3674644.58</v>
      </c>
      <c r="J26" s="1153">
        <f>'d3'!K30</f>
        <v>0</v>
      </c>
      <c r="K26" s="232" t="b">
        <f>H26='d3'!E30</f>
        <v>1</v>
      </c>
      <c r="L26" s="233" t="b">
        <f>I26='d3'!J30</f>
        <v>1</v>
      </c>
      <c r="M26" s="234" t="b">
        <f>J26='d3'!K30</f>
        <v>1</v>
      </c>
    </row>
    <row r="27" spans="1:17" ht="184.5" thickTop="1" thickBot="1" x14ac:dyDescent="0.25">
      <c r="A27" s="1152"/>
      <c r="B27" s="1152"/>
      <c r="C27" s="1152"/>
      <c r="D27" s="312" t="s">
        <v>474</v>
      </c>
      <c r="E27" s="1152"/>
      <c r="F27" s="1152"/>
      <c r="G27" s="1154"/>
      <c r="H27" s="1154"/>
      <c r="I27" s="1154"/>
      <c r="J27" s="1154"/>
      <c r="K27" s="79"/>
      <c r="L27" s="79"/>
      <c r="M27" s="79"/>
    </row>
    <row r="28" spans="1:17" s="546" customFormat="1" ht="321.75" thickTop="1" thickBot="1" x14ac:dyDescent="0.25">
      <c r="A28" s="548" t="s">
        <v>1122</v>
      </c>
      <c r="B28" s="548" t="s">
        <v>275</v>
      </c>
      <c r="C28" s="548" t="s">
        <v>184</v>
      </c>
      <c r="D28" s="548" t="s">
        <v>273</v>
      </c>
      <c r="E28" s="547" t="s">
        <v>482</v>
      </c>
      <c r="F28" s="280" t="s">
        <v>458</v>
      </c>
      <c r="G28" s="229">
        <f>H28+I28</f>
        <v>1600542.59</v>
      </c>
      <c r="H28" s="229">
        <f>'d3'!E32</f>
        <v>1600542.59</v>
      </c>
      <c r="I28" s="229">
        <f>'d3'!J32</f>
        <v>0</v>
      </c>
      <c r="J28" s="229">
        <f>'d3'!K32</f>
        <v>0</v>
      </c>
      <c r="K28" s="79"/>
      <c r="L28" s="79"/>
      <c r="M28" s="79"/>
      <c r="N28" s="550"/>
      <c r="O28" s="550"/>
      <c r="P28" s="550"/>
      <c r="Q28" s="550"/>
    </row>
    <row r="29" spans="1:17" ht="255.75" customHeight="1" thickTop="1" thickBot="1" x14ac:dyDescent="0.25">
      <c r="A29" s="228" t="s">
        <v>259</v>
      </c>
      <c r="B29" s="228" t="s">
        <v>260</v>
      </c>
      <c r="C29" s="228" t="s">
        <v>261</v>
      </c>
      <c r="D29" s="228" t="s">
        <v>262</v>
      </c>
      <c r="E29" s="229" t="s">
        <v>1064</v>
      </c>
      <c r="F29" s="508" t="s">
        <v>1065</v>
      </c>
      <c r="G29" s="229">
        <f>H29+I29</f>
        <v>6359300</v>
      </c>
      <c r="H29" s="229">
        <f>'d3'!E35</f>
        <v>6359300</v>
      </c>
      <c r="I29" s="229">
        <f>'d3'!J35</f>
        <v>0</v>
      </c>
      <c r="J29" s="229">
        <f>'d3'!K35</f>
        <v>0</v>
      </c>
      <c r="K29" s="232" t="b">
        <f>H29='d3'!E35</f>
        <v>1</v>
      </c>
      <c r="L29" s="233" t="b">
        <f>I29='d3'!J35</f>
        <v>1</v>
      </c>
      <c r="M29" s="234" t="b">
        <f>J29='d3'!K35</f>
        <v>1</v>
      </c>
    </row>
    <row r="30" spans="1:17" ht="321.75" thickTop="1" thickBot="1" x14ac:dyDescent="0.25">
      <c r="A30" s="279" t="s">
        <v>263</v>
      </c>
      <c r="B30" s="279" t="s">
        <v>264</v>
      </c>
      <c r="C30" s="279" t="s">
        <v>45</v>
      </c>
      <c r="D30" s="279" t="s">
        <v>476</v>
      </c>
      <c r="E30" s="305" t="s">
        <v>1029</v>
      </c>
      <c r="F30" s="485" t="s">
        <v>1030</v>
      </c>
      <c r="G30" s="289">
        <f>H30+I30</f>
        <v>300000</v>
      </c>
      <c r="H30" s="314">
        <f>'d3'!E38</f>
        <v>300000</v>
      </c>
      <c r="I30" s="289">
        <f>'d3'!J38</f>
        <v>0</v>
      </c>
      <c r="J30" s="289">
        <f>'d3'!K38</f>
        <v>0</v>
      </c>
      <c r="K30" s="232" t="b">
        <f>H30='d3'!E38</f>
        <v>1</v>
      </c>
      <c r="L30" s="233" t="b">
        <f>I30='d3'!J38</f>
        <v>1</v>
      </c>
      <c r="M30" s="233" t="b">
        <f>J30='d3'!K38</f>
        <v>1</v>
      </c>
    </row>
    <row r="31" spans="1:17" s="185" customFormat="1" ht="230.25" thickTop="1" thickBot="1" x14ac:dyDescent="0.25">
      <c r="A31" s="300" t="s">
        <v>695</v>
      </c>
      <c r="B31" s="300" t="s">
        <v>389</v>
      </c>
      <c r="C31" s="300" t="s">
        <v>45</v>
      </c>
      <c r="D31" s="300" t="s">
        <v>390</v>
      </c>
      <c r="E31" s="305" t="s">
        <v>1029</v>
      </c>
      <c r="F31" s="485" t="s">
        <v>1030</v>
      </c>
      <c r="G31" s="289">
        <f>H31+I31</f>
        <v>120100</v>
      </c>
      <c r="H31" s="314">
        <f>'d3'!E39</f>
        <v>120100</v>
      </c>
      <c r="I31" s="289">
        <f>'d3'!J39</f>
        <v>0</v>
      </c>
      <c r="J31" s="289">
        <f>'d3'!K39</f>
        <v>0</v>
      </c>
      <c r="K31" s="232" t="b">
        <f>H31='d3'!E39</f>
        <v>1</v>
      </c>
      <c r="L31" s="233" t="b">
        <f>I31='d3'!J39</f>
        <v>1</v>
      </c>
      <c r="M31" s="233" t="b">
        <f>J31='d3'!K39</f>
        <v>1</v>
      </c>
      <c r="N31" s="209"/>
      <c r="O31" s="209"/>
      <c r="P31" s="209"/>
      <c r="Q31" s="209"/>
    </row>
    <row r="32" spans="1:17" ht="321.75" thickTop="1" thickBot="1" x14ac:dyDescent="0.25">
      <c r="A32" s="602" t="s">
        <v>560</v>
      </c>
      <c r="B32" s="602" t="s">
        <v>561</v>
      </c>
      <c r="C32" s="602" t="s">
        <v>45</v>
      </c>
      <c r="D32" s="602" t="s">
        <v>562</v>
      </c>
      <c r="E32" s="599" t="s">
        <v>1232</v>
      </c>
      <c r="F32" s="280" t="s">
        <v>1187</v>
      </c>
      <c r="G32" s="599">
        <f t="shared" ref="G32:G39" si="2">H32+I32</f>
        <v>1800000</v>
      </c>
      <c r="H32" s="599">
        <f>120000+(400000+80000+400000+80000+60000+200000+80000)</f>
        <v>1420000</v>
      </c>
      <c r="I32" s="599">
        <f>80000+300000</f>
        <v>380000</v>
      </c>
      <c r="J32" s="599">
        <f>80000+300000</f>
        <v>380000</v>
      </c>
      <c r="K32" s="232" t="b">
        <f>H32+H33+H34+H35+H36+H37+H39+H38='d3'!E40</f>
        <v>1</v>
      </c>
      <c r="L32" s="233" t="b">
        <f>I32+I33+I34+I35+I36+I37+I39='d3'!J40</f>
        <v>1</v>
      </c>
      <c r="M32" s="233" t="b">
        <f>J32+J33+J34+J35+J36+J37+J39='d3'!K40</f>
        <v>1</v>
      </c>
    </row>
    <row r="33" spans="1:17" s="598" customFormat="1" ht="409.6" thickTop="1" thickBot="1" x14ac:dyDescent="0.25">
      <c r="A33" s="602" t="s">
        <v>560</v>
      </c>
      <c r="B33" s="602" t="s">
        <v>561</v>
      </c>
      <c r="C33" s="602" t="s">
        <v>45</v>
      </c>
      <c r="D33" s="602" t="s">
        <v>562</v>
      </c>
      <c r="E33" s="895" t="s">
        <v>1188</v>
      </c>
      <c r="F33" s="599" t="s">
        <v>1028</v>
      </c>
      <c r="G33" s="599">
        <f t="shared" si="2"/>
        <v>1000000</v>
      </c>
      <c r="H33" s="599">
        <f>(500000)+500000</f>
        <v>1000000</v>
      </c>
      <c r="I33" s="599">
        <v>0</v>
      </c>
      <c r="J33" s="599">
        <v>0</v>
      </c>
      <c r="K33" s="221"/>
      <c r="L33" s="224"/>
      <c r="M33" s="225"/>
      <c r="N33" s="607"/>
      <c r="O33" s="607"/>
      <c r="P33" s="607"/>
      <c r="Q33" s="607"/>
    </row>
    <row r="34" spans="1:17" s="598" customFormat="1" ht="409.6" thickTop="1" thickBot="1" x14ac:dyDescent="0.25">
      <c r="A34" s="602" t="s">
        <v>560</v>
      </c>
      <c r="B34" s="602" t="s">
        <v>561</v>
      </c>
      <c r="C34" s="602" t="s">
        <v>45</v>
      </c>
      <c r="D34" s="602" t="s">
        <v>562</v>
      </c>
      <c r="E34" s="599" t="s">
        <v>1393</v>
      </c>
      <c r="F34" s="599" t="s">
        <v>1189</v>
      </c>
      <c r="G34" s="599">
        <f t="shared" si="2"/>
        <v>880000</v>
      </c>
      <c r="H34" s="599">
        <f>(500000)+300000+80000</f>
        <v>880000</v>
      </c>
      <c r="I34" s="599">
        <v>0</v>
      </c>
      <c r="J34" s="599">
        <v>0</v>
      </c>
      <c r="K34" s="221"/>
      <c r="L34" s="224"/>
      <c r="M34" s="225"/>
      <c r="N34" s="607"/>
      <c r="O34" s="607"/>
      <c r="P34" s="607"/>
      <c r="Q34" s="607"/>
    </row>
    <row r="35" spans="1:17" s="598" customFormat="1" ht="276" thickTop="1" thickBot="1" x14ac:dyDescent="0.25">
      <c r="A35" s="602" t="s">
        <v>560</v>
      </c>
      <c r="B35" s="602" t="s">
        <v>561</v>
      </c>
      <c r="C35" s="602" t="s">
        <v>45</v>
      </c>
      <c r="D35" s="602" t="s">
        <v>562</v>
      </c>
      <c r="E35" s="642" t="s">
        <v>1225</v>
      </c>
      <c r="F35" s="642" t="s">
        <v>1226</v>
      </c>
      <c r="G35" s="599">
        <f t="shared" si="2"/>
        <v>300000</v>
      </c>
      <c r="H35" s="599">
        <v>300000</v>
      </c>
      <c r="I35" s="599">
        <v>0</v>
      </c>
      <c r="J35" s="599">
        <v>0</v>
      </c>
      <c r="K35" s="221"/>
      <c r="L35" s="224"/>
      <c r="M35" s="225"/>
      <c r="N35" s="607"/>
      <c r="O35" s="607"/>
      <c r="P35" s="607"/>
      <c r="Q35" s="607"/>
    </row>
    <row r="36" spans="1:17" s="598" customFormat="1" ht="409.6" thickTop="1" thickBot="1" x14ac:dyDescent="0.25">
      <c r="A36" s="602" t="s">
        <v>560</v>
      </c>
      <c r="B36" s="602" t="s">
        <v>561</v>
      </c>
      <c r="C36" s="602" t="s">
        <v>45</v>
      </c>
      <c r="D36" s="602" t="s">
        <v>562</v>
      </c>
      <c r="E36" s="642" t="s">
        <v>1227</v>
      </c>
      <c r="F36" s="642" t="s">
        <v>1228</v>
      </c>
      <c r="G36" s="599">
        <f t="shared" si="2"/>
        <v>880000</v>
      </c>
      <c r="H36" s="599">
        <v>0</v>
      </c>
      <c r="I36" s="599">
        <f>(500000)+380000</f>
        <v>880000</v>
      </c>
      <c r="J36" s="599">
        <f>(500000)+380000</f>
        <v>880000</v>
      </c>
      <c r="K36" s="221"/>
      <c r="L36" s="224"/>
      <c r="M36" s="225"/>
      <c r="N36" s="607"/>
      <c r="O36" s="607"/>
      <c r="P36" s="607"/>
      <c r="Q36" s="607"/>
    </row>
    <row r="37" spans="1:17" s="598" customFormat="1" ht="367.5" thickTop="1" thickBot="1" x14ac:dyDescent="0.25">
      <c r="A37" s="602" t="s">
        <v>560</v>
      </c>
      <c r="B37" s="602" t="s">
        <v>561</v>
      </c>
      <c r="C37" s="602" t="s">
        <v>45</v>
      </c>
      <c r="D37" s="602" t="s">
        <v>562</v>
      </c>
      <c r="E37" s="642" t="s">
        <v>1240</v>
      </c>
      <c r="F37" s="642" t="s">
        <v>1229</v>
      </c>
      <c r="G37" s="599">
        <f t="shared" si="2"/>
        <v>80000</v>
      </c>
      <c r="H37" s="599">
        <v>0</v>
      </c>
      <c r="I37" s="599">
        <v>80000</v>
      </c>
      <c r="J37" s="599">
        <v>80000</v>
      </c>
      <c r="K37" s="221"/>
      <c r="L37" s="224"/>
      <c r="M37" s="225"/>
      <c r="N37" s="607"/>
      <c r="O37" s="607"/>
      <c r="P37" s="607"/>
      <c r="Q37" s="607"/>
    </row>
    <row r="38" spans="1:17" s="721" customFormat="1" ht="409.6" thickTop="1" thickBot="1" x14ac:dyDescent="0.25">
      <c r="A38" s="725" t="s">
        <v>560</v>
      </c>
      <c r="B38" s="725" t="s">
        <v>561</v>
      </c>
      <c r="C38" s="725" t="s">
        <v>45</v>
      </c>
      <c r="D38" s="725" t="s">
        <v>562</v>
      </c>
      <c r="E38" s="724" t="s">
        <v>1385</v>
      </c>
      <c r="F38" s="771" t="s">
        <v>1387</v>
      </c>
      <c r="G38" s="727">
        <f t="shared" si="2"/>
        <v>50000</v>
      </c>
      <c r="H38" s="727">
        <v>50000</v>
      </c>
      <c r="I38" s="727"/>
      <c r="J38" s="727"/>
      <c r="K38" s="221"/>
      <c r="L38" s="224"/>
      <c r="M38" s="225"/>
      <c r="N38" s="731"/>
      <c r="O38" s="731"/>
      <c r="P38" s="731"/>
      <c r="Q38" s="731"/>
    </row>
    <row r="39" spans="1:17" s="598" customFormat="1" ht="276" thickTop="1" thickBot="1" x14ac:dyDescent="0.25">
      <c r="A39" s="602" t="s">
        <v>560</v>
      </c>
      <c r="B39" s="602" t="s">
        <v>561</v>
      </c>
      <c r="C39" s="602" t="s">
        <v>45</v>
      </c>
      <c r="D39" s="602" t="s">
        <v>562</v>
      </c>
      <c r="E39" s="642" t="s">
        <v>1230</v>
      </c>
      <c r="F39" s="642" t="s">
        <v>1231</v>
      </c>
      <c r="G39" s="599">
        <f t="shared" si="2"/>
        <v>100000</v>
      </c>
      <c r="H39" s="599">
        <v>100000</v>
      </c>
      <c r="I39" s="599">
        <v>0</v>
      </c>
      <c r="J39" s="599">
        <v>0</v>
      </c>
      <c r="K39" s="221"/>
      <c r="L39" s="224"/>
      <c r="M39" s="225"/>
      <c r="N39" s="607"/>
      <c r="O39" s="607"/>
      <c r="P39" s="607"/>
      <c r="Q39" s="607"/>
    </row>
    <row r="40" spans="1:17" ht="181.5" thickTop="1" thickBot="1" x14ac:dyDescent="0.25">
      <c r="A40" s="853" t="s">
        <v>166</v>
      </c>
      <c r="B40" s="853"/>
      <c r="C40" s="853"/>
      <c r="D40" s="854" t="s">
        <v>0</v>
      </c>
      <c r="E40" s="855"/>
      <c r="F40" s="856"/>
      <c r="G40" s="856">
        <f>G41</f>
        <v>1827523433.2</v>
      </c>
      <c r="H40" s="856">
        <f t="shared" ref="H40:J40" si="3">H41</f>
        <v>1621102272.95</v>
      </c>
      <c r="I40" s="855">
        <f t="shared" si="3"/>
        <v>206421160.25</v>
      </c>
      <c r="J40" s="855">
        <f t="shared" si="3"/>
        <v>58955496.250000007</v>
      </c>
      <c r="K40" s="232" t="b">
        <f>H40='d3'!E42</f>
        <v>1</v>
      </c>
      <c r="L40" s="233" t="b">
        <f>I40='d3'!J42</f>
        <v>1</v>
      </c>
      <c r="M40" s="234" t="b">
        <f>J40='d3'!K41</f>
        <v>1</v>
      </c>
    </row>
    <row r="41" spans="1:17" ht="172.5" customHeight="1" thickTop="1" thickBot="1" x14ac:dyDescent="0.25">
      <c r="A41" s="878" t="s">
        <v>167</v>
      </c>
      <c r="B41" s="878"/>
      <c r="C41" s="878"/>
      <c r="D41" s="879" t="s">
        <v>1</v>
      </c>
      <c r="E41" s="880"/>
      <c r="F41" s="880"/>
      <c r="G41" s="880">
        <f>SUM(G42:G73)</f>
        <v>1827523433.2</v>
      </c>
      <c r="H41" s="880">
        <f>SUM(H42:H73)</f>
        <v>1621102272.95</v>
      </c>
      <c r="I41" s="880">
        <f>SUM(I42:I73)</f>
        <v>206421160.25</v>
      </c>
      <c r="J41" s="880">
        <f>SUM(J42:J73)</f>
        <v>58955496.250000007</v>
      </c>
    </row>
    <row r="42" spans="1:17" ht="230.25" thickTop="1" thickBot="1" x14ac:dyDescent="0.25">
      <c r="A42" s="350" t="s">
        <v>216</v>
      </c>
      <c r="B42" s="350" t="s">
        <v>217</v>
      </c>
      <c r="C42" s="350" t="s">
        <v>219</v>
      </c>
      <c r="D42" s="350" t="s">
        <v>220</v>
      </c>
      <c r="E42" s="171" t="s">
        <v>704</v>
      </c>
      <c r="F42" s="349" t="s">
        <v>439</v>
      </c>
      <c r="G42" s="349">
        <f t="shared" ref="G42:G54" si="4">H42+I42</f>
        <v>549781257.37</v>
      </c>
      <c r="H42" s="349">
        <f>'d3'!E44-H43</f>
        <v>476906842</v>
      </c>
      <c r="I42" s="349">
        <f>'d3'!J44-I43</f>
        <v>72874415.370000005</v>
      </c>
      <c r="J42" s="349">
        <f>'d3'!K44-J43</f>
        <v>8328695.3700000001</v>
      </c>
      <c r="K42" s="232" t="b">
        <f>H42+H43='d3'!E44</f>
        <v>1</v>
      </c>
      <c r="L42" s="233" t="b">
        <f>I42+I43='d3'!J44</f>
        <v>1</v>
      </c>
      <c r="M42" s="233" t="b">
        <f>J42+J43='d3'!K44</f>
        <v>1</v>
      </c>
    </row>
    <row r="43" spans="1:17" s="230" customFormat="1" ht="230.25" thickTop="1" thickBot="1" x14ac:dyDescent="0.25">
      <c r="A43" s="350" t="s">
        <v>216</v>
      </c>
      <c r="B43" s="350" t="s">
        <v>217</v>
      </c>
      <c r="C43" s="350" t="s">
        <v>219</v>
      </c>
      <c r="D43" s="350" t="s">
        <v>220</v>
      </c>
      <c r="E43" s="171" t="s">
        <v>485</v>
      </c>
      <c r="F43" s="280" t="s">
        <v>486</v>
      </c>
      <c r="G43" s="349">
        <f>H43+I43</f>
        <v>590000</v>
      </c>
      <c r="H43" s="349">
        <f>(37683.94+102316.06+90274+29393+150000+101020+33980)-228977.94+274310.94</f>
        <v>590000</v>
      </c>
      <c r="I43" s="349">
        <f>(30333+15000)-45333</f>
        <v>0</v>
      </c>
      <c r="J43" s="349">
        <f>(30333+15000)-45333</f>
        <v>0</v>
      </c>
      <c r="K43" s="231"/>
      <c r="L43" s="231"/>
      <c r="M43" s="231"/>
      <c r="N43" s="231"/>
      <c r="O43" s="231"/>
      <c r="P43" s="231"/>
      <c r="Q43" s="231"/>
    </row>
    <row r="44" spans="1:17" ht="230.25" thickTop="1" thickBot="1" x14ac:dyDescent="0.25">
      <c r="A44" s="370" t="s">
        <v>799</v>
      </c>
      <c r="B44" s="370" t="s">
        <v>800</v>
      </c>
      <c r="C44" s="370" t="s">
        <v>222</v>
      </c>
      <c r="D44" s="370" t="s">
        <v>801</v>
      </c>
      <c r="E44" s="171" t="s">
        <v>704</v>
      </c>
      <c r="F44" s="371" t="s">
        <v>439</v>
      </c>
      <c r="G44" s="371">
        <f t="shared" si="4"/>
        <v>363591932.02999997</v>
      </c>
      <c r="H44" s="371">
        <f>'d3'!E46-H45-H46</f>
        <v>286067467.13999999</v>
      </c>
      <c r="I44" s="371">
        <f>'d3'!J46-I45-I46</f>
        <v>77524464.890000001</v>
      </c>
      <c r="J44" s="371">
        <f>'d3'!K46-J45-J46</f>
        <v>24779444.890000004</v>
      </c>
      <c r="K44" s="232" t="b">
        <f>H44+H45+H46='d3'!E46</f>
        <v>1</v>
      </c>
      <c r="L44" s="233" t="b">
        <f>I44+I45+I46='d3'!J46</f>
        <v>1</v>
      </c>
      <c r="M44" s="233" t="b">
        <f>J44+J45+J46='d3'!K46</f>
        <v>1</v>
      </c>
    </row>
    <row r="45" spans="1:17" ht="230.25" thickTop="1" thickBot="1" x14ac:dyDescent="0.25">
      <c r="A45" s="370" t="s">
        <v>799</v>
      </c>
      <c r="B45" s="370" t="s">
        <v>800</v>
      </c>
      <c r="C45" s="370" t="s">
        <v>222</v>
      </c>
      <c r="D45" s="370" t="s">
        <v>801</v>
      </c>
      <c r="E45" s="171" t="s">
        <v>705</v>
      </c>
      <c r="F45" s="371" t="s">
        <v>435</v>
      </c>
      <c r="G45" s="371">
        <f t="shared" si="4"/>
        <v>7730217</v>
      </c>
      <c r="H45" s="371">
        <v>7730217</v>
      </c>
      <c r="I45" s="371">
        <v>0</v>
      </c>
      <c r="J45" s="371">
        <v>0</v>
      </c>
      <c r="K45" s="171" t="s">
        <v>676</v>
      </c>
    </row>
    <row r="46" spans="1:17" ht="230.25" thickTop="1" thickBot="1" x14ac:dyDescent="0.25">
      <c r="A46" s="370" t="s">
        <v>799</v>
      </c>
      <c r="B46" s="370" t="s">
        <v>800</v>
      </c>
      <c r="C46" s="370" t="s">
        <v>222</v>
      </c>
      <c r="D46" s="370" t="s">
        <v>801</v>
      </c>
      <c r="E46" s="171" t="s">
        <v>485</v>
      </c>
      <c r="F46" s="280" t="s">
        <v>486</v>
      </c>
      <c r="G46" s="371">
        <f>H46+I46</f>
        <v>150000</v>
      </c>
      <c r="H46" s="371">
        <f>(45200+12350)</f>
        <v>57550</v>
      </c>
      <c r="I46" s="371">
        <f>92450</f>
        <v>92450</v>
      </c>
      <c r="J46" s="371">
        <v>92450</v>
      </c>
    </row>
    <row r="47" spans="1:17" ht="321.75" thickTop="1" thickBot="1" x14ac:dyDescent="0.25">
      <c r="A47" s="370" t="s">
        <v>809</v>
      </c>
      <c r="B47" s="370" t="s">
        <v>810</v>
      </c>
      <c r="C47" s="370" t="s">
        <v>225</v>
      </c>
      <c r="D47" s="370" t="s">
        <v>543</v>
      </c>
      <c r="E47" s="171" t="s">
        <v>704</v>
      </c>
      <c r="F47" s="371" t="s">
        <v>439</v>
      </c>
      <c r="G47" s="371">
        <f t="shared" si="4"/>
        <v>18384731</v>
      </c>
      <c r="H47" s="371">
        <f>'d3'!E47-H48</f>
        <v>17467378</v>
      </c>
      <c r="I47" s="371">
        <f>'d3'!J47-I48</f>
        <v>917353</v>
      </c>
      <c r="J47" s="371">
        <f>'d3'!K47-J48</f>
        <v>865453</v>
      </c>
      <c r="K47" s="232" t="b">
        <f>H47+H48='d3'!E47</f>
        <v>1</v>
      </c>
      <c r="L47" s="232" t="b">
        <f>I47+I48='d3'!J47</f>
        <v>1</v>
      </c>
      <c r="M47" s="232" t="b">
        <f>J47+J48='d3'!K47</f>
        <v>1</v>
      </c>
    </row>
    <row r="48" spans="1:17" ht="321.75" thickTop="1" thickBot="1" x14ac:dyDescent="0.25">
      <c r="A48" s="370" t="s">
        <v>809</v>
      </c>
      <c r="B48" s="370" t="s">
        <v>810</v>
      </c>
      <c r="C48" s="370" t="s">
        <v>225</v>
      </c>
      <c r="D48" s="370" t="s">
        <v>543</v>
      </c>
      <c r="E48" s="171" t="s">
        <v>705</v>
      </c>
      <c r="F48" s="371" t="s">
        <v>435</v>
      </c>
      <c r="G48" s="371">
        <f t="shared" si="4"/>
        <v>2868354</v>
      </c>
      <c r="H48" s="371">
        <f>(2866404)+1950</f>
        <v>2868354</v>
      </c>
      <c r="I48" s="371"/>
      <c r="J48" s="371"/>
      <c r="K48" s="171" t="s">
        <v>677</v>
      </c>
    </row>
    <row r="49" spans="1:17" s="711" customFormat="1" ht="230.25" thickTop="1" thickBot="1" x14ac:dyDescent="0.25">
      <c r="A49" s="713" t="s">
        <v>1318</v>
      </c>
      <c r="B49" s="713" t="s">
        <v>1319</v>
      </c>
      <c r="C49" s="713" t="s">
        <v>225</v>
      </c>
      <c r="D49" s="713" t="s">
        <v>1320</v>
      </c>
      <c r="E49" s="171" t="s">
        <v>704</v>
      </c>
      <c r="F49" s="712" t="s">
        <v>439</v>
      </c>
      <c r="G49" s="712">
        <f t="shared" si="4"/>
        <v>8654732.8200000003</v>
      </c>
      <c r="H49" s="712">
        <f>'d3'!E48</f>
        <v>8654732.8200000003</v>
      </c>
      <c r="I49" s="712">
        <f>'d3'!J48</f>
        <v>0</v>
      </c>
      <c r="J49" s="712">
        <f>'d3'!K48</f>
        <v>0</v>
      </c>
      <c r="K49" s="381"/>
      <c r="L49" s="719"/>
      <c r="M49" s="719"/>
      <c r="N49" s="719"/>
      <c r="O49" s="719"/>
      <c r="P49" s="719"/>
      <c r="Q49" s="719"/>
    </row>
    <row r="50" spans="1:17" s="372" customFormat="1" ht="230.25" thickTop="1" thickBot="1" x14ac:dyDescent="0.25">
      <c r="A50" s="374" t="s">
        <v>818</v>
      </c>
      <c r="B50" s="374" t="s">
        <v>819</v>
      </c>
      <c r="C50" s="374" t="s">
        <v>222</v>
      </c>
      <c r="D50" s="374" t="s">
        <v>801</v>
      </c>
      <c r="E50" s="171" t="s">
        <v>704</v>
      </c>
      <c r="F50" s="373" t="s">
        <v>439</v>
      </c>
      <c r="G50" s="373">
        <f t="shared" si="4"/>
        <v>608795058</v>
      </c>
      <c r="H50" s="373">
        <f>'d3'!E50</f>
        <v>608795058</v>
      </c>
      <c r="I50" s="373">
        <f>'d3'!J50</f>
        <v>0</v>
      </c>
      <c r="J50" s="373">
        <f>'d3'!K50</f>
        <v>0</v>
      </c>
      <c r="K50" s="381"/>
      <c r="L50" s="375"/>
      <c r="M50" s="375"/>
      <c r="N50" s="375"/>
      <c r="O50" s="375"/>
      <c r="P50" s="375"/>
      <c r="Q50" s="375"/>
    </row>
    <row r="51" spans="1:17" s="584" customFormat="1" ht="230.25" thickTop="1" thickBot="1" x14ac:dyDescent="0.25">
      <c r="A51" s="588" t="s">
        <v>1170</v>
      </c>
      <c r="B51" s="588" t="s">
        <v>1171</v>
      </c>
      <c r="C51" s="588" t="s">
        <v>222</v>
      </c>
      <c r="D51" s="588" t="s">
        <v>1174</v>
      </c>
      <c r="E51" s="171" t="s">
        <v>704</v>
      </c>
      <c r="F51" s="585" t="s">
        <v>439</v>
      </c>
      <c r="G51" s="585">
        <f t="shared" si="4"/>
        <v>6197509.9900000002</v>
      </c>
      <c r="H51" s="585">
        <f>'d3'!E53</f>
        <v>0</v>
      </c>
      <c r="I51" s="585">
        <f>'d3'!J53</f>
        <v>6197509.9900000002</v>
      </c>
      <c r="J51" s="585">
        <f>'d3'!K53</f>
        <v>6197509.9900000002</v>
      </c>
      <c r="K51" s="597"/>
      <c r="L51" s="594"/>
      <c r="M51" s="594"/>
      <c r="N51" s="594"/>
      <c r="O51" s="594"/>
      <c r="P51" s="594"/>
      <c r="Q51" s="594"/>
    </row>
    <row r="52" spans="1:17" ht="230.25" thickTop="1" thickBot="1" x14ac:dyDescent="0.25">
      <c r="A52" s="378" t="s">
        <v>820</v>
      </c>
      <c r="B52" s="378" t="s">
        <v>224</v>
      </c>
      <c r="C52" s="378" t="s">
        <v>199</v>
      </c>
      <c r="D52" s="378" t="s">
        <v>545</v>
      </c>
      <c r="E52" s="171" t="s">
        <v>704</v>
      </c>
      <c r="F52" s="379" t="s">
        <v>439</v>
      </c>
      <c r="G52" s="379">
        <f t="shared" si="4"/>
        <v>39184558</v>
      </c>
      <c r="H52" s="379">
        <f>'d3'!E54</f>
        <v>32055658</v>
      </c>
      <c r="I52" s="379">
        <f>'d3'!J54</f>
        <v>7128900</v>
      </c>
      <c r="J52" s="379">
        <f>'d3'!K54</f>
        <v>1529350</v>
      </c>
    </row>
    <row r="53" spans="1:17" s="377" customFormat="1" ht="230.25" thickTop="1" thickBot="1" x14ac:dyDescent="0.25">
      <c r="A53" s="378" t="s">
        <v>821</v>
      </c>
      <c r="B53" s="378" t="s">
        <v>822</v>
      </c>
      <c r="C53" s="378" t="s">
        <v>227</v>
      </c>
      <c r="D53" s="378" t="s">
        <v>823</v>
      </c>
      <c r="E53" s="171" t="s">
        <v>704</v>
      </c>
      <c r="F53" s="379" t="s">
        <v>439</v>
      </c>
      <c r="G53" s="379">
        <f t="shared" si="4"/>
        <v>139116163.99000001</v>
      </c>
      <c r="H53" s="379">
        <f>'d3'!E56</f>
        <v>112959072.98999999</v>
      </c>
      <c r="I53" s="379">
        <f>'d3'!J56</f>
        <v>26157091</v>
      </c>
      <c r="J53" s="379">
        <f>'d3'!K56</f>
        <v>2048217</v>
      </c>
      <c r="K53" s="380"/>
      <c r="L53" s="380"/>
      <c r="M53" s="380"/>
      <c r="N53" s="380"/>
      <c r="O53" s="380"/>
      <c r="P53" s="380"/>
      <c r="Q53" s="380"/>
    </row>
    <row r="54" spans="1:17" s="377" customFormat="1" ht="230.25" thickTop="1" thickBot="1" x14ac:dyDescent="0.25">
      <c r="A54" s="378" t="s">
        <v>825</v>
      </c>
      <c r="B54" s="378" t="s">
        <v>824</v>
      </c>
      <c r="C54" s="378" t="s">
        <v>227</v>
      </c>
      <c r="D54" s="378" t="s">
        <v>826</v>
      </c>
      <c r="E54" s="171" t="s">
        <v>704</v>
      </c>
      <c r="F54" s="379" t="s">
        <v>439</v>
      </c>
      <c r="G54" s="379">
        <f t="shared" si="4"/>
        <v>17771100</v>
      </c>
      <c r="H54" s="379">
        <f>'d3'!E57</f>
        <v>17771100</v>
      </c>
      <c r="I54" s="379">
        <f>'d3'!J57</f>
        <v>0</v>
      </c>
      <c r="J54" s="379">
        <f>'d3'!K57</f>
        <v>0</v>
      </c>
      <c r="K54" s="380"/>
      <c r="L54" s="380"/>
      <c r="M54" s="380"/>
      <c r="N54" s="380"/>
      <c r="O54" s="380"/>
      <c r="P54" s="380"/>
      <c r="Q54" s="380"/>
    </row>
    <row r="55" spans="1:17" s="377" customFormat="1" ht="230.25" thickTop="1" thickBot="1" x14ac:dyDescent="0.25">
      <c r="A55" s="385" t="s">
        <v>830</v>
      </c>
      <c r="B55" s="385" t="s">
        <v>831</v>
      </c>
      <c r="C55" s="385" t="s">
        <v>228</v>
      </c>
      <c r="D55" s="385" t="s">
        <v>548</v>
      </c>
      <c r="E55" s="171" t="s">
        <v>704</v>
      </c>
      <c r="F55" s="383" t="s">
        <v>439</v>
      </c>
      <c r="G55" s="383">
        <f t="shared" ref="G55" si="5">H55+I55</f>
        <v>26823042</v>
      </c>
      <c r="H55" s="383">
        <f>'d3'!E59</f>
        <v>26408442</v>
      </c>
      <c r="I55" s="383">
        <f>'d3'!J59</f>
        <v>414600</v>
      </c>
      <c r="J55" s="383">
        <f>'d3'!K59</f>
        <v>0</v>
      </c>
      <c r="K55" s="380"/>
      <c r="L55" s="380"/>
      <c r="M55" s="380"/>
      <c r="N55" s="380"/>
      <c r="O55" s="380"/>
      <c r="P55" s="380"/>
      <c r="Q55" s="380"/>
    </row>
    <row r="56" spans="1:17" s="377" customFormat="1" ht="230.25" thickTop="1" thickBot="1" x14ac:dyDescent="0.25">
      <c r="A56" s="385" t="s">
        <v>832</v>
      </c>
      <c r="B56" s="385" t="s">
        <v>833</v>
      </c>
      <c r="C56" s="385" t="s">
        <v>228</v>
      </c>
      <c r="D56" s="385" t="s">
        <v>362</v>
      </c>
      <c r="E56" s="171" t="s">
        <v>704</v>
      </c>
      <c r="F56" s="383" t="s">
        <v>439</v>
      </c>
      <c r="G56" s="383">
        <f>H56+I56</f>
        <v>167420</v>
      </c>
      <c r="H56" s="383">
        <f>'d3'!E60-H57</f>
        <v>167420</v>
      </c>
      <c r="I56" s="383">
        <f>'d3'!J60-I57</f>
        <v>0</v>
      </c>
      <c r="J56" s="383">
        <f>'d3'!K60-J57</f>
        <v>0</v>
      </c>
      <c r="K56" s="394" t="b">
        <f>H56+H57='d3'!E60</f>
        <v>1</v>
      </c>
      <c r="L56" s="395" t="b">
        <f>I56+I57='d3'!J60</f>
        <v>1</v>
      </c>
      <c r="M56" s="395" t="b">
        <f>J56+J57='d3'!K60</f>
        <v>1</v>
      </c>
      <c r="N56" s="380"/>
      <c r="O56" s="380"/>
      <c r="P56" s="380"/>
      <c r="Q56" s="380"/>
    </row>
    <row r="57" spans="1:17" s="377" customFormat="1" ht="230.25" thickTop="1" thickBot="1" x14ac:dyDescent="0.25">
      <c r="A57" s="385" t="s">
        <v>832</v>
      </c>
      <c r="B57" s="385" t="s">
        <v>833</v>
      </c>
      <c r="C57" s="385" t="s">
        <v>228</v>
      </c>
      <c r="D57" s="385" t="s">
        <v>362</v>
      </c>
      <c r="E57" s="171" t="s">
        <v>705</v>
      </c>
      <c r="F57" s="383" t="s">
        <v>435</v>
      </c>
      <c r="G57" s="383">
        <f>H57+I57</f>
        <v>39820</v>
      </c>
      <c r="H57" s="383">
        <f>32580+7240</f>
        <v>39820</v>
      </c>
      <c r="I57" s="383"/>
      <c r="J57" s="383"/>
      <c r="K57" s="171" t="s">
        <v>678</v>
      </c>
      <c r="L57" s="380"/>
      <c r="M57" s="380"/>
      <c r="N57" s="380"/>
      <c r="O57" s="380"/>
      <c r="P57" s="380"/>
      <c r="Q57" s="380"/>
    </row>
    <row r="58" spans="1:17" s="377" customFormat="1" ht="230.25" thickTop="1" thickBot="1" x14ac:dyDescent="0.25">
      <c r="A58" s="385" t="s">
        <v>836</v>
      </c>
      <c r="B58" s="385" t="s">
        <v>837</v>
      </c>
      <c r="C58" s="385" t="s">
        <v>228</v>
      </c>
      <c r="D58" s="385" t="s">
        <v>838</v>
      </c>
      <c r="E58" s="171" t="s">
        <v>704</v>
      </c>
      <c r="F58" s="383" t="s">
        <v>439</v>
      </c>
      <c r="G58" s="383">
        <f t="shared" ref="G58:G59" si="6">H58+I58</f>
        <v>1100685</v>
      </c>
      <c r="H58" s="379">
        <f>'d3'!E62</f>
        <v>1050685</v>
      </c>
      <c r="I58" s="379">
        <f>'d3'!J62</f>
        <v>50000</v>
      </c>
      <c r="J58" s="383">
        <f>'d3'!K62</f>
        <v>50000</v>
      </c>
      <c r="K58" s="380"/>
      <c r="L58" s="380"/>
      <c r="M58" s="380"/>
      <c r="N58" s="380"/>
      <c r="O58" s="380"/>
      <c r="P58" s="380"/>
      <c r="Q58" s="380"/>
    </row>
    <row r="59" spans="1:17" s="377" customFormat="1" ht="230.25" thickTop="1" thickBot="1" x14ac:dyDescent="0.25">
      <c r="A59" s="385" t="s">
        <v>839</v>
      </c>
      <c r="B59" s="385" t="s">
        <v>840</v>
      </c>
      <c r="C59" s="385" t="s">
        <v>228</v>
      </c>
      <c r="D59" s="385" t="s">
        <v>841</v>
      </c>
      <c r="E59" s="171" t="s">
        <v>704</v>
      </c>
      <c r="F59" s="383" t="s">
        <v>439</v>
      </c>
      <c r="G59" s="383">
        <f t="shared" si="6"/>
        <v>3886800</v>
      </c>
      <c r="H59" s="383">
        <f>'d3'!E63</f>
        <v>3886800</v>
      </c>
      <c r="I59" s="383">
        <f>'d3'!J63</f>
        <v>0</v>
      </c>
      <c r="J59" s="383">
        <f>'d3'!K63</f>
        <v>0</v>
      </c>
      <c r="K59" s="380"/>
      <c r="L59" s="380"/>
      <c r="M59" s="380"/>
      <c r="N59" s="380"/>
      <c r="O59" s="380"/>
      <c r="P59" s="380"/>
      <c r="Q59" s="380"/>
    </row>
    <row r="60" spans="1:17" s="341" customFormat="1" ht="230.25" thickTop="1" thickBot="1" x14ac:dyDescent="0.25">
      <c r="A60" s="343" t="s">
        <v>806</v>
      </c>
      <c r="B60" s="343" t="s">
        <v>807</v>
      </c>
      <c r="C60" s="343" t="s">
        <v>228</v>
      </c>
      <c r="D60" s="343" t="s">
        <v>808</v>
      </c>
      <c r="E60" s="171" t="s">
        <v>704</v>
      </c>
      <c r="F60" s="342" t="s">
        <v>439</v>
      </c>
      <c r="G60" s="342">
        <f t="shared" ref="G60:G61" si="7">H60+I60</f>
        <v>1900615</v>
      </c>
      <c r="H60" s="342">
        <f>'d3'!E64</f>
        <v>1850615</v>
      </c>
      <c r="I60" s="342">
        <f>'d3'!J64</f>
        <v>50000</v>
      </c>
      <c r="J60" s="342">
        <f>'d3'!K64</f>
        <v>50000</v>
      </c>
      <c r="K60" s="345"/>
      <c r="L60" s="345"/>
      <c r="M60" s="345"/>
      <c r="N60" s="345"/>
      <c r="O60" s="345"/>
      <c r="P60" s="345"/>
      <c r="Q60" s="345"/>
    </row>
    <row r="61" spans="1:17" s="79" customFormat="1" ht="409.6" thickTop="1" thickBot="1" x14ac:dyDescent="0.25">
      <c r="A61" s="385" t="s">
        <v>814</v>
      </c>
      <c r="B61" s="385" t="s">
        <v>815</v>
      </c>
      <c r="C61" s="385" t="s">
        <v>228</v>
      </c>
      <c r="D61" s="385" t="s">
        <v>816</v>
      </c>
      <c r="E61" s="171" t="s">
        <v>704</v>
      </c>
      <c r="F61" s="383" t="s">
        <v>439</v>
      </c>
      <c r="G61" s="383">
        <f t="shared" si="7"/>
        <v>6479806</v>
      </c>
      <c r="H61" s="383">
        <f>'d3'!E66</f>
        <v>4362735</v>
      </c>
      <c r="I61" s="383">
        <f>'d3'!J66</f>
        <v>2117071</v>
      </c>
      <c r="J61" s="383">
        <f>'d3'!K66</f>
        <v>2117071</v>
      </c>
      <c r="K61" s="387"/>
      <c r="L61" s="387"/>
      <c r="M61" s="387"/>
      <c r="N61" s="387"/>
      <c r="O61" s="387"/>
      <c r="P61" s="387"/>
      <c r="Q61" s="387"/>
    </row>
    <row r="62" spans="1:17" s="79" customFormat="1" ht="409.6" thickTop="1" thickBot="1" x14ac:dyDescent="0.25">
      <c r="A62" s="705" t="s">
        <v>1291</v>
      </c>
      <c r="B62" s="705" t="s">
        <v>1292</v>
      </c>
      <c r="C62" s="705" t="s">
        <v>228</v>
      </c>
      <c r="D62" s="705" t="s">
        <v>1293</v>
      </c>
      <c r="E62" s="171" t="s">
        <v>704</v>
      </c>
      <c r="F62" s="704" t="s">
        <v>439</v>
      </c>
      <c r="G62" s="704">
        <f t="shared" ref="G62" si="8">H62+I62</f>
        <v>6063695</v>
      </c>
      <c r="H62" s="704">
        <f>'d3'!E67</f>
        <v>4680566</v>
      </c>
      <c r="I62" s="704">
        <f>'d3'!J67</f>
        <v>1383129</v>
      </c>
      <c r="J62" s="704">
        <f>'d3'!K67</f>
        <v>1383129</v>
      </c>
      <c r="K62" s="709"/>
      <c r="L62" s="709"/>
      <c r="M62" s="709"/>
      <c r="N62" s="709"/>
      <c r="O62" s="709"/>
      <c r="P62" s="709"/>
      <c r="Q62" s="709"/>
    </row>
    <row r="63" spans="1:17" s="79" customFormat="1" ht="409.6" hidden="1" thickTop="1" thickBot="1" x14ac:dyDescent="0.25">
      <c r="A63" s="713" t="s">
        <v>1322</v>
      </c>
      <c r="B63" s="713" t="s">
        <v>1324</v>
      </c>
      <c r="C63" s="713" t="s">
        <v>228</v>
      </c>
      <c r="D63" s="713" t="s">
        <v>1326</v>
      </c>
      <c r="E63" s="171" t="s">
        <v>704</v>
      </c>
      <c r="F63" s="712" t="s">
        <v>439</v>
      </c>
      <c r="G63" s="712">
        <f>H63+I63</f>
        <v>0</v>
      </c>
      <c r="H63" s="712">
        <f>'d3'!E69</f>
        <v>0</v>
      </c>
      <c r="I63" s="712">
        <f>'d3'!J69</f>
        <v>0</v>
      </c>
      <c r="J63" s="712">
        <f>'d3'!K69</f>
        <v>0</v>
      </c>
      <c r="K63" s="719"/>
      <c r="L63" s="719"/>
      <c r="M63" s="719"/>
      <c r="N63" s="719"/>
      <c r="O63" s="719"/>
      <c r="P63" s="719"/>
      <c r="Q63" s="719"/>
    </row>
    <row r="64" spans="1:17" s="79" customFormat="1" ht="409.6" hidden="1" customHeight="1" thickTop="1" x14ac:dyDescent="0.2">
      <c r="A64" s="1051" t="s">
        <v>1350</v>
      </c>
      <c r="B64" s="1051" t="s">
        <v>1351</v>
      </c>
      <c r="C64" s="1051" t="s">
        <v>228</v>
      </c>
      <c r="D64" s="1051" t="s">
        <v>1352</v>
      </c>
      <c r="E64" s="1051" t="s">
        <v>704</v>
      </c>
      <c r="F64" s="1051" t="s">
        <v>439</v>
      </c>
      <c r="G64" s="1149">
        <f>H64+I64</f>
        <v>0</v>
      </c>
      <c r="H64" s="1149">
        <f>'d3'!E70</f>
        <v>0</v>
      </c>
      <c r="I64" s="1149">
        <f>'d3'!J70</f>
        <v>0</v>
      </c>
      <c r="J64" s="1149">
        <f>'d3'!K70</f>
        <v>0</v>
      </c>
      <c r="K64" s="731"/>
      <c r="L64" s="731"/>
      <c r="M64" s="731"/>
      <c r="N64" s="731"/>
      <c r="O64" s="731"/>
      <c r="P64" s="731"/>
      <c r="Q64" s="731"/>
    </row>
    <row r="65" spans="1:17" s="79" customFormat="1" ht="122.25" hidden="1" customHeight="1" thickBot="1" x14ac:dyDescent="0.25">
      <c r="A65" s="1026"/>
      <c r="B65" s="1026"/>
      <c r="C65" s="1026"/>
      <c r="D65" s="1026"/>
      <c r="E65" s="1026"/>
      <c r="F65" s="1026"/>
      <c r="G65" s="1026"/>
      <c r="H65" s="1026"/>
      <c r="I65" s="1026">
        <f>'d3'!J71</f>
        <v>0</v>
      </c>
      <c r="J65" s="1026">
        <f>'d3'!K71</f>
        <v>0</v>
      </c>
      <c r="K65" s="731"/>
      <c r="L65" s="731"/>
      <c r="M65" s="731"/>
      <c r="N65" s="731"/>
      <c r="O65" s="731"/>
      <c r="P65" s="731"/>
      <c r="Q65" s="731"/>
    </row>
    <row r="66" spans="1:17" s="341" customFormat="1" ht="321.75" thickTop="1" thickBot="1" x14ac:dyDescent="0.25">
      <c r="A66" s="343" t="s">
        <v>803</v>
      </c>
      <c r="B66" s="343" t="s">
        <v>804</v>
      </c>
      <c r="C66" s="343" t="s">
        <v>228</v>
      </c>
      <c r="D66" s="343" t="s">
        <v>805</v>
      </c>
      <c r="E66" s="171" t="s">
        <v>704</v>
      </c>
      <c r="F66" s="342" t="s">
        <v>439</v>
      </c>
      <c r="G66" s="342">
        <f t="shared" ref="G66:G73" si="9">H66+I66</f>
        <v>7118182</v>
      </c>
      <c r="H66" s="342">
        <f>'d3'!E72</f>
        <v>4721984</v>
      </c>
      <c r="I66" s="342">
        <f>'d3'!J72</f>
        <v>2396198</v>
      </c>
      <c r="J66" s="342">
        <f>'d3'!K72</f>
        <v>2396198</v>
      </c>
      <c r="K66" s="345"/>
      <c r="L66" s="345"/>
      <c r="M66" s="345"/>
      <c r="N66" s="345"/>
      <c r="O66" s="345"/>
      <c r="P66" s="345"/>
      <c r="Q66" s="345"/>
    </row>
    <row r="67" spans="1:17" s="634" customFormat="1" ht="367.5" thickTop="1" thickBot="1" x14ac:dyDescent="0.25">
      <c r="A67" s="636" t="s">
        <v>1213</v>
      </c>
      <c r="B67" s="636" t="s">
        <v>1214</v>
      </c>
      <c r="C67" s="636" t="s">
        <v>228</v>
      </c>
      <c r="D67" s="636" t="s">
        <v>1215</v>
      </c>
      <c r="E67" s="171" t="s">
        <v>704</v>
      </c>
      <c r="F67" s="635" t="s">
        <v>439</v>
      </c>
      <c r="G67" s="635">
        <f t="shared" si="9"/>
        <v>2120589</v>
      </c>
      <c r="H67" s="635">
        <f>'d3'!E73</f>
        <v>1371699</v>
      </c>
      <c r="I67" s="635">
        <f>'d3'!J73</f>
        <v>748890</v>
      </c>
      <c r="J67" s="635">
        <f>'d3'!K73</f>
        <v>748890</v>
      </c>
      <c r="K67" s="640"/>
      <c r="L67" s="640"/>
      <c r="M67" s="640"/>
      <c r="N67" s="640"/>
      <c r="O67" s="640"/>
      <c r="P67" s="640"/>
      <c r="Q67" s="640"/>
    </row>
    <row r="68" spans="1:17" s="711" customFormat="1" ht="409.6" thickTop="1" thickBot="1" x14ac:dyDescent="0.25">
      <c r="A68" s="713" t="s">
        <v>1328</v>
      </c>
      <c r="B68" s="713" t="s">
        <v>1330</v>
      </c>
      <c r="C68" s="713" t="s">
        <v>228</v>
      </c>
      <c r="D68" s="713" t="s">
        <v>1332</v>
      </c>
      <c r="E68" s="171" t="s">
        <v>704</v>
      </c>
      <c r="F68" s="712" t="s">
        <v>439</v>
      </c>
      <c r="G68" s="712">
        <f t="shared" si="9"/>
        <v>1500000</v>
      </c>
      <c r="H68" s="712">
        <f>'d3'!E77</f>
        <v>0</v>
      </c>
      <c r="I68" s="712">
        <f>'d3'!J77</f>
        <v>1500000</v>
      </c>
      <c r="J68" s="712">
        <f>'d3'!K77</f>
        <v>1500000</v>
      </c>
      <c r="K68" s="719"/>
      <c r="L68" s="719"/>
      <c r="M68" s="719"/>
      <c r="N68" s="719"/>
      <c r="O68" s="719"/>
      <c r="P68" s="719"/>
      <c r="Q68" s="719"/>
    </row>
    <row r="69" spans="1:17" s="815" customFormat="1" ht="367.5" thickTop="1" thickBot="1" x14ac:dyDescent="0.25">
      <c r="A69" s="817" t="s">
        <v>1403</v>
      </c>
      <c r="B69" s="817" t="s">
        <v>1404</v>
      </c>
      <c r="C69" s="817" t="s">
        <v>228</v>
      </c>
      <c r="D69" s="817" t="s">
        <v>1402</v>
      </c>
      <c r="E69" s="171" t="s">
        <v>704</v>
      </c>
      <c r="F69" s="818" t="s">
        <v>439</v>
      </c>
      <c r="G69" s="818">
        <f t="shared" si="9"/>
        <v>2520000</v>
      </c>
      <c r="H69" s="818">
        <f>'d3'!E78</f>
        <v>553900</v>
      </c>
      <c r="I69" s="818">
        <f>'d3'!J78</f>
        <v>1966100</v>
      </c>
      <c r="J69" s="818">
        <f>'d3'!K78</f>
        <v>1966100</v>
      </c>
      <c r="K69" s="819"/>
      <c r="L69" s="819"/>
      <c r="M69" s="819"/>
      <c r="N69" s="819"/>
      <c r="O69" s="819"/>
      <c r="P69" s="819"/>
      <c r="Q69" s="819"/>
    </row>
    <row r="70" spans="1:17" ht="367.5" hidden="1" thickTop="1" thickBot="1" x14ac:dyDescent="0.25">
      <c r="A70" s="384" t="s">
        <v>461</v>
      </c>
      <c r="B70" s="384" t="s">
        <v>462</v>
      </c>
      <c r="C70" s="384" t="s">
        <v>203</v>
      </c>
      <c r="D70" s="384" t="s">
        <v>460</v>
      </c>
      <c r="E70" s="171" t="s">
        <v>705</v>
      </c>
      <c r="F70" s="383" t="s">
        <v>435</v>
      </c>
      <c r="G70" s="383">
        <f t="shared" si="9"/>
        <v>0</v>
      </c>
      <c r="H70" s="383">
        <f>'d3'!E75</f>
        <v>0</v>
      </c>
      <c r="I70" s="383">
        <f>'d3'!J75</f>
        <v>0</v>
      </c>
      <c r="J70" s="383">
        <f>'d3'!K75</f>
        <v>0</v>
      </c>
    </row>
    <row r="71" spans="1:17" s="889" customFormat="1" ht="230.25" thickTop="1" thickBot="1" x14ac:dyDescent="0.25">
      <c r="A71" s="921" t="s">
        <v>1485</v>
      </c>
      <c r="B71" s="365" t="s">
        <v>334</v>
      </c>
      <c r="C71" s="921" t="s">
        <v>323</v>
      </c>
      <c r="D71" s="927" t="s">
        <v>781</v>
      </c>
      <c r="E71" s="171" t="s">
        <v>704</v>
      </c>
      <c r="F71" s="899" t="s">
        <v>439</v>
      </c>
      <c r="G71" s="899">
        <f t="shared" si="9"/>
        <v>200000</v>
      </c>
      <c r="H71" s="899">
        <f>'d3'!E82</f>
        <v>0</v>
      </c>
      <c r="I71" s="899">
        <f>'d3'!J82</f>
        <v>200000</v>
      </c>
      <c r="J71" s="899">
        <f>'d3'!K82</f>
        <v>200000</v>
      </c>
      <c r="K71" s="910"/>
      <c r="L71" s="910"/>
      <c r="M71" s="910"/>
      <c r="N71" s="910"/>
      <c r="O71" s="910"/>
      <c r="P71" s="910"/>
      <c r="Q71" s="910"/>
    </row>
    <row r="72" spans="1:17" s="889" customFormat="1" ht="230.25" thickTop="1" thickBot="1" x14ac:dyDescent="0.25">
      <c r="A72" s="893" t="s">
        <v>1471</v>
      </c>
      <c r="B72" s="365" t="s">
        <v>230</v>
      </c>
      <c r="C72" s="893" t="s">
        <v>231</v>
      </c>
      <c r="D72" s="893" t="s">
        <v>43</v>
      </c>
      <c r="E72" s="171" t="s">
        <v>704</v>
      </c>
      <c r="F72" s="899" t="s">
        <v>439</v>
      </c>
      <c r="G72" s="899">
        <f t="shared" si="9"/>
        <v>84177</v>
      </c>
      <c r="H72" s="899">
        <f>'d3'!E84</f>
        <v>84177</v>
      </c>
      <c r="I72" s="899">
        <f>'d3'!J84</f>
        <v>0</v>
      </c>
      <c r="J72" s="899">
        <f>'d3'!K84</f>
        <v>0</v>
      </c>
      <c r="K72" s="910"/>
      <c r="L72" s="910"/>
      <c r="M72" s="910"/>
      <c r="N72" s="910"/>
      <c r="O72" s="910"/>
      <c r="P72" s="910"/>
      <c r="Q72" s="910"/>
    </row>
    <row r="73" spans="1:17" s="764" customFormat="1" ht="230.25" thickTop="1" thickBot="1" x14ac:dyDescent="0.25">
      <c r="A73" s="767" t="s">
        <v>1375</v>
      </c>
      <c r="B73" s="767" t="s">
        <v>389</v>
      </c>
      <c r="C73" s="767" t="s">
        <v>45</v>
      </c>
      <c r="D73" s="767" t="s">
        <v>390</v>
      </c>
      <c r="E73" s="171" t="s">
        <v>704</v>
      </c>
      <c r="F73" s="768" t="s">
        <v>439</v>
      </c>
      <c r="G73" s="768">
        <f t="shared" si="9"/>
        <v>4702988</v>
      </c>
      <c r="H73" s="768">
        <f>'d3'!E87</f>
        <v>0</v>
      </c>
      <c r="I73" s="768">
        <f>'d3'!J87</f>
        <v>4702988</v>
      </c>
      <c r="J73" s="768">
        <f>'d3'!K87</f>
        <v>4702988</v>
      </c>
      <c r="K73" s="770"/>
      <c r="L73" s="770"/>
      <c r="M73" s="770"/>
      <c r="N73" s="770"/>
      <c r="O73" s="770"/>
      <c r="P73" s="770"/>
      <c r="Q73" s="770"/>
    </row>
    <row r="74" spans="1:17" ht="181.5" thickTop="1" thickBot="1" x14ac:dyDescent="0.25">
      <c r="A74" s="853" t="s">
        <v>168</v>
      </c>
      <c r="B74" s="853"/>
      <c r="C74" s="853"/>
      <c r="D74" s="854" t="s">
        <v>18</v>
      </c>
      <c r="E74" s="855"/>
      <c r="F74" s="856"/>
      <c r="G74" s="856">
        <f>G75</f>
        <v>106510997</v>
      </c>
      <c r="H74" s="856">
        <f t="shared" ref="H74:J74" si="10">H75</f>
        <v>81406577</v>
      </c>
      <c r="I74" s="855">
        <f t="shared" si="10"/>
        <v>25104420</v>
      </c>
      <c r="J74" s="855">
        <f t="shared" si="10"/>
        <v>25082420</v>
      </c>
      <c r="K74" s="232" t="b">
        <f>H74='d3'!E88-'d3'!F91</f>
        <v>1</v>
      </c>
      <c r="L74" s="233" t="b">
        <f>I74='d3'!J88-'d3'!J91</f>
        <v>1</v>
      </c>
      <c r="M74" s="233" t="b">
        <f>J74='d3'!K88-'d3'!K91</f>
        <v>1</v>
      </c>
    </row>
    <row r="75" spans="1:17" ht="172.5" customHeight="1" thickTop="1" thickBot="1" x14ac:dyDescent="0.25">
      <c r="A75" s="878" t="s">
        <v>169</v>
      </c>
      <c r="B75" s="878"/>
      <c r="C75" s="878"/>
      <c r="D75" s="879" t="s">
        <v>38</v>
      </c>
      <c r="E75" s="880"/>
      <c r="F75" s="880"/>
      <c r="G75" s="880">
        <f>SUM(G76:G99)</f>
        <v>106510997</v>
      </c>
      <c r="H75" s="880">
        <f>SUM(H76:H99)</f>
        <v>81406577</v>
      </c>
      <c r="I75" s="880">
        <f>SUM(I76:I99)</f>
        <v>25104420</v>
      </c>
      <c r="J75" s="880">
        <f>SUM(J76:J99)</f>
        <v>25082420</v>
      </c>
    </row>
    <row r="76" spans="1:17" ht="184.5" thickTop="1" thickBot="1" x14ac:dyDescent="0.25">
      <c r="A76" s="279" t="s">
        <v>232</v>
      </c>
      <c r="B76" s="279" t="s">
        <v>229</v>
      </c>
      <c r="C76" s="279" t="s">
        <v>233</v>
      </c>
      <c r="D76" s="279" t="s">
        <v>19</v>
      </c>
      <c r="E76" s="289" t="s">
        <v>467</v>
      </c>
      <c r="F76" s="289" t="s">
        <v>438</v>
      </c>
      <c r="G76" s="1149">
        <f>H76+I76</f>
        <v>17173455</v>
      </c>
      <c r="H76" s="1149">
        <f>'d3'!E93</f>
        <v>17173455</v>
      </c>
      <c r="I76" s="1149">
        <f>'d3'!J93</f>
        <v>0</v>
      </c>
      <c r="J76" s="1149">
        <f>'d3'!K93</f>
        <v>0</v>
      </c>
    </row>
    <row r="77" spans="1:17" ht="405.75" customHeight="1" thickTop="1" thickBot="1" x14ac:dyDescent="0.25">
      <c r="A77" s="279" t="s">
        <v>232</v>
      </c>
      <c r="B77" s="279" t="s">
        <v>229</v>
      </c>
      <c r="C77" s="279" t="s">
        <v>233</v>
      </c>
      <c r="D77" s="279" t="s">
        <v>19</v>
      </c>
      <c r="E77" s="570" t="s">
        <v>1043</v>
      </c>
      <c r="F77" s="489" t="s">
        <v>1044</v>
      </c>
      <c r="G77" s="1150"/>
      <c r="H77" s="1150"/>
      <c r="I77" s="1150"/>
      <c r="J77" s="1150"/>
    </row>
    <row r="78" spans="1:17" ht="184.5" thickTop="1" thickBot="1" x14ac:dyDescent="0.25">
      <c r="A78" s="279" t="s">
        <v>552</v>
      </c>
      <c r="B78" s="279" t="s">
        <v>555</v>
      </c>
      <c r="C78" s="279" t="s">
        <v>554</v>
      </c>
      <c r="D78" s="279" t="s">
        <v>553</v>
      </c>
      <c r="E78" s="289" t="s">
        <v>467</v>
      </c>
      <c r="F78" s="289" t="s">
        <v>438</v>
      </c>
      <c r="G78" s="1149">
        <f>H78+I78</f>
        <v>7867407</v>
      </c>
      <c r="H78" s="1149">
        <f>'d3'!E94</f>
        <v>7867407</v>
      </c>
      <c r="I78" s="1149">
        <f>'d3'!J94</f>
        <v>0</v>
      </c>
      <c r="J78" s="1149">
        <f>'d3'!K94</f>
        <v>0</v>
      </c>
    </row>
    <row r="79" spans="1:17" ht="409.6" thickTop="1" thickBot="1" x14ac:dyDescent="0.25">
      <c r="A79" s="279" t="s">
        <v>552</v>
      </c>
      <c r="B79" s="279" t="s">
        <v>555</v>
      </c>
      <c r="C79" s="279" t="s">
        <v>554</v>
      </c>
      <c r="D79" s="279" t="s">
        <v>553</v>
      </c>
      <c r="E79" s="570" t="s">
        <v>1043</v>
      </c>
      <c r="F79" s="489" t="s">
        <v>1044</v>
      </c>
      <c r="G79" s="1150"/>
      <c r="H79" s="1150"/>
      <c r="I79" s="1150"/>
      <c r="J79" s="1150"/>
    </row>
    <row r="80" spans="1:17" ht="184.5" thickTop="1" thickBot="1" x14ac:dyDescent="0.25">
      <c r="A80" s="279" t="s">
        <v>234</v>
      </c>
      <c r="B80" s="279" t="s">
        <v>235</v>
      </c>
      <c r="C80" s="279" t="s">
        <v>236</v>
      </c>
      <c r="D80" s="279" t="s">
        <v>237</v>
      </c>
      <c r="E80" s="289" t="s">
        <v>467</v>
      </c>
      <c r="F80" s="289" t="s">
        <v>438</v>
      </c>
      <c r="G80" s="1149">
        <f t="shared" ref="G80:G91" si="11">H80+I80</f>
        <v>6699850</v>
      </c>
      <c r="H80" s="1149">
        <f>'d3'!E95</f>
        <v>6699850</v>
      </c>
      <c r="I80" s="1149">
        <f>'d3'!J95</f>
        <v>0</v>
      </c>
      <c r="J80" s="1149">
        <f>'d3'!K95</f>
        <v>0</v>
      </c>
    </row>
    <row r="81" spans="1:17" ht="409.6" thickTop="1" thickBot="1" x14ac:dyDescent="0.25">
      <c r="A81" s="279" t="s">
        <v>234</v>
      </c>
      <c r="B81" s="279" t="s">
        <v>235</v>
      </c>
      <c r="C81" s="279" t="s">
        <v>236</v>
      </c>
      <c r="D81" s="279" t="s">
        <v>237</v>
      </c>
      <c r="E81" s="570" t="s">
        <v>1043</v>
      </c>
      <c r="F81" s="489" t="s">
        <v>1044</v>
      </c>
      <c r="G81" s="1150"/>
      <c r="H81" s="1150"/>
      <c r="I81" s="1150"/>
      <c r="J81" s="1150"/>
    </row>
    <row r="82" spans="1:17" ht="184.5" thickTop="1" thickBot="1" x14ac:dyDescent="0.25">
      <c r="A82" s="279" t="s">
        <v>238</v>
      </c>
      <c r="B82" s="279" t="s">
        <v>239</v>
      </c>
      <c r="C82" s="279" t="s">
        <v>240</v>
      </c>
      <c r="D82" s="279" t="s">
        <v>371</v>
      </c>
      <c r="E82" s="289" t="s">
        <v>467</v>
      </c>
      <c r="F82" s="289" t="s">
        <v>438</v>
      </c>
      <c r="G82" s="1149">
        <f t="shared" si="11"/>
        <v>10948590</v>
      </c>
      <c r="H82" s="1149">
        <f>'d3'!E96</f>
        <v>10948590</v>
      </c>
      <c r="I82" s="1149">
        <f>'d3'!J96</f>
        <v>0</v>
      </c>
      <c r="J82" s="1149">
        <f>'d3'!K96</f>
        <v>0</v>
      </c>
    </row>
    <row r="83" spans="1:17" ht="409.6" thickTop="1" thickBot="1" x14ac:dyDescent="0.25">
      <c r="A83" s="279" t="s">
        <v>238</v>
      </c>
      <c r="B83" s="279" t="s">
        <v>239</v>
      </c>
      <c r="C83" s="279" t="s">
        <v>240</v>
      </c>
      <c r="D83" s="279" t="s">
        <v>371</v>
      </c>
      <c r="E83" s="570" t="s">
        <v>1043</v>
      </c>
      <c r="F83" s="489" t="s">
        <v>1044</v>
      </c>
      <c r="G83" s="1150"/>
      <c r="H83" s="1150"/>
      <c r="I83" s="1150"/>
      <c r="J83" s="1150"/>
    </row>
    <row r="84" spans="1:17" ht="172.5" customHeight="1" thickTop="1" thickBot="1" x14ac:dyDescent="0.25">
      <c r="A84" s="279" t="s">
        <v>241</v>
      </c>
      <c r="B84" s="279" t="s">
        <v>242</v>
      </c>
      <c r="C84" s="279" t="s">
        <v>243</v>
      </c>
      <c r="D84" s="279" t="s">
        <v>244</v>
      </c>
      <c r="E84" s="289" t="s">
        <v>467</v>
      </c>
      <c r="F84" s="289" t="s">
        <v>438</v>
      </c>
      <c r="G84" s="1149">
        <f t="shared" si="11"/>
        <v>5776335</v>
      </c>
      <c r="H84" s="1149">
        <f>'d3'!E97-H86</f>
        <v>5776335</v>
      </c>
      <c r="I84" s="1149">
        <f>'d3'!J97-I86</f>
        <v>0</v>
      </c>
      <c r="J84" s="1149">
        <f>'d3'!K97-J86</f>
        <v>0</v>
      </c>
    </row>
    <row r="85" spans="1:17" ht="409.6" thickTop="1" thickBot="1" x14ac:dyDescent="0.25">
      <c r="A85" s="279" t="s">
        <v>241</v>
      </c>
      <c r="B85" s="279" t="s">
        <v>242</v>
      </c>
      <c r="C85" s="279" t="s">
        <v>243</v>
      </c>
      <c r="D85" s="279" t="s">
        <v>244</v>
      </c>
      <c r="E85" s="570" t="s">
        <v>1043</v>
      </c>
      <c r="F85" s="489" t="s">
        <v>1044</v>
      </c>
      <c r="G85" s="1150"/>
      <c r="H85" s="1150"/>
      <c r="I85" s="1150"/>
      <c r="J85" s="1150"/>
    </row>
    <row r="86" spans="1:17" ht="230.25" thickTop="1" thickBot="1" x14ac:dyDescent="0.25">
      <c r="A86" s="279" t="s">
        <v>241</v>
      </c>
      <c r="B86" s="279" t="s">
        <v>242</v>
      </c>
      <c r="C86" s="279" t="s">
        <v>243</v>
      </c>
      <c r="D86" s="279" t="s">
        <v>244</v>
      </c>
      <c r="E86" s="333" t="s">
        <v>1039</v>
      </c>
      <c r="F86" s="488" t="s">
        <v>1040</v>
      </c>
      <c r="G86" s="289">
        <f t="shared" si="11"/>
        <v>1287600</v>
      </c>
      <c r="H86" s="289">
        <v>1287600</v>
      </c>
      <c r="I86" s="289"/>
      <c r="J86" s="289"/>
    </row>
    <row r="87" spans="1:17" ht="230.25" thickTop="1" thickBot="1" x14ac:dyDescent="0.25">
      <c r="A87" s="279" t="s">
        <v>245</v>
      </c>
      <c r="B87" s="279" t="s">
        <v>246</v>
      </c>
      <c r="C87" s="279" t="s">
        <v>372</v>
      </c>
      <c r="D87" s="279" t="s">
        <v>247</v>
      </c>
      <c r="E87" s="289" t="s">
        <v>467</v>
      </c>
      <c r="F87" s="289" t="s">
        <v>438</v>
      </c>
      <c r="G87" s="1149">
        <f t="shared" si="11"/>
        <v>10853915</v>
      </c>
      <c r="H87" s="1149">
        <f>'d3'!E99</f>
        <v>10853915</v>
      </c>
      <c r="I87" s="1149">
        <f>'d3'!J99</f>
        <v>0</v>
      </c>
      <c r="J87" s="1149">
        <f>'d3'!K99</f>
        <v>0</v>
      </c>
    </row>
    <row r="88" spans="1:17" ht="409.6" thickTop="1" thickBot="1" x14ac:dyDescent="0.25">
      <c r="A88" s="279" t="s">
        <v>245</v>
      </c>
      <c r="B88" s="279" t="s">
        <v>246</v>
      </c>
      <c r="C88" s="279" t="s">
        <v>372</v>
      </c>
      <c r="D88" s="279" t="s">
        <v>247</v>
      </c>
      <c r="E88" s="570" t="s">
        <v>1043</v>
      </c>
      <c r="F88" s="489" t="s">
        <v>1044</v>
      </c>
      <c r="G88" s="1150"/>
      <c r="H88" s="1150"/>
      <c r="I88" s="1150"/>
      <c r="J88" s="1150"/>
    </row>
    <row r="89" spans="1:17" ht="184.5" hidden="1" thickTop="1" thickBot="1" x14ac:dyDescent="0.25">
      <c r="A89" s="279" t="s">
        <v>519</v>
      </c>
      <c r="B89" s="279" t="s">
        <v>520</v>
      </c>
      <c r="C89" s="279" t="s">
        <v>248</v>
      </c>
      <c r="D89" s="279" t="s">
        <v>521</v>
      </c>
      <c r="E89" s="289" t="s">
        <v>467</v>
      </c>
      <c r="F89" s="289" t="s">
        <v>438</v>
      </c>
      <c r="G89" s="1149">
        <f t="shared" si="11"/>
        <v>14254000</v>
      </c>
      <c r="H89" s="1149">
        <f>'d3'!E101</f>
        <v>14254000</v>
      </c>
      <c r="I89" s="1149">
        <f>'d3'!J101</f>
        <v>0</v>
      </c>
      <c r="J89" s="1149">
        <f>'d3'!K101</f>
        <v>0</v>
      </c>
    </row>
    <row r="90" spans="1:17" ht="409.6" thickTop="1" thickBot="1" x14ac:dyDescent="0.25">
      <c r="A90" s="279" t="s">
        <v>519</v>
      </c>
      <c r="B90" s="279" t="s">
        <v>520</v>
      </c>
      <c r="C90" s="279" t="s">
        <v>248</v>
      </c>
      <c r="D90" s="279" t="s">
        <v>521</v>
      </c>
      <c r="E90" s="570" t="s">
        <v>1043</v>
      </c>
      <c r="F90" s="489" t="s">
        <v>1044</v>
      </c>
      <c r="G90" s="1150"/>
      <c r="H90" s="1150"/>
      <c r="I90" s="1150"/>
      <c r="J90" s="1150"/>
    </row>
    <row r="91" spans="1:17" s="39" customFormat="1" ht="160.5" customHeight="1" thickTop="1" thickBot="1" x14ac:dyDescent="0.25">
      <c r="A91" s="384" t="s">
        <v>346</v>
      </c>
      <c r="B91" s="384" t="s">
        <v>348</v>
      </c>
      <c r="C91" s="384" t="s">
        <v>248</v>
      </c>
      <c r="D91" s="337" t="s">
        <v>344</v>
      </c>
      <c r="E91" s="383" t="s">
        <v>467</v>
      </c>
      <c r="F91" s="383" t="s">
        <v>438</v>
      </c>
      <c r="G91" s="1149">
        <f t="shared" si="11"/>
        <v>3275425</v>
      </c>
      <c r="H91" s="1149">
        <f>'d3'!E103</f>
        <v>3229425</v>
      </c>
      <c r="I91" s="1149">
        <f>'d3'!J103</f>
        <v>46000</v>
      </c>
      <c r="J91" s="1149">
        <f>'d3'!K103</f>
        <v>24000</v>
      </c>
      <c r="K91" s="194"/>
      <c r="L91" s="194"/>
      <c r="M91" s="194"/>
      <c r="N91" s="194"/>
      <c r="O91" s="194"/>
      <c r="P91" s="194"/>
      <c r="Q91" s="194"/>
    </row>
    <row r="92" spans="1:17" s="39" customFormat="1" ht="409.6" thickTop="1" thickBot="1" x14ac:dyDescent="0.25">
      <c r="A92" s="384" t="s">
        <v>346</v>
      </c>
      <c r="B92" s="384" t="s">
        <v>348</v>
      </c>
      <c r="C92" s="384" t="s">
        <v>248</v>
      </c>
      <c r="D92" s="337" t="s">
        <v>344</v>
      </c>
      <c r="E92" s="570" t="s">
        <v>1043</v>
      </c>
      <c r="F92" s="489" t="s">
        <v>1044</v>
      </c>
      <c r="G92" s="1150"/>
      <c r="H92" s="1150"/>
      <c r="I92" s="1150"/>
      <c r="J92" s="1150"/>
      <c r="K92" s="194"/>
      <c r="L92" s="194"/>
      <c r="M92" s="194"/>
      <c r="N92" s="194"/>
      <c r="O92" s="194"/>
      <c r="P92" s="194"/>
      <c r="Q92" s="194"/>
    </row>
    <row r="93" spans="1:17" s="39" customFormat="1" ht="166.7" customHeight="1" thickTop="1" thickBot="1" x14ac:dyDescent="0.25">
      <c r="A93" s="384" t="s">
        <v>347</v>
      </c>
      <c r="B93" s="384" t="s">
        <v>349</v>
      </c>
      <c r="C93" s="384" t="s">
        <v>248</v>
      </c>
      <c r="D93" s="337" t="s">
        <v>345</v>
      </c>
      <c r="E93" s="383" t="s">
        <v>467</v>
      </c>
      <c r="F93" s="383" t="s">
        <v>438</v>
      </c>
      <c r="G93" s="1149">
        <f>H93+I93</f>
        <v>3316000</v>
      </c>
      <c r="H93" s="1149">
        <f>'d3'!E104</f>
        <v>3316000</v>
      </c>
      <c r="I93" s="1149">
        <f>'d3'!J104</f>
        <v>0</v>
      </c>
      <c r="J93" s="1149">
        <f>'d3'!K104</f>
        <v>0</v>
      </c>
      <c r="K93" s="194"/>
      <c r="L93" s="194"/>
      <c r="M93" s="194"/>
      <c r="N93" s="194"/>
      <c r="O93" s="194"/>
      <c r="P93" s="194"/>
      <c r="Q93" s="194"/>
    </row>
    <row r="94" spans="1:17" s="39" customFormat="1" ht="409.5" customHeight="1" thickTop="1" thickBot="1" x14ac:dyDescent="0.25">
      <c r="A94" s="384" t="s">
        <v>347</v>
      </c>
      <c r="B94" s="384" t="s">
        <v>349</v>
      </c>
      <c r="C94" s="384" t="s">
        <v>248</v>
      </c>
      <c r="D94" s="337" t="s">
        <v>345</v>
      </c>
      <c r="E94" s="570" t="s">
        <v>1043</v>
      </c>
      <c r="F94" s="489" t="s">
        <v>1044</v>
      </c>
      <c r="G94" s="1150"/>
      <c r="H94" s="1150"/>
      <c r="I94" s="1150"/>
      <c r="J94" s="1150"/>
      <c r="K94" s="194"/>
      <c r="L94" s="194"/>
      <c r="M94" s="194"/>
      <c r="N94" s="194"/>
      <c r="O94" s="194"/>
      <c r="P94" s="194"/>
      <c r="Q94" s="194"/>
    </row>
    <row r="95" spans="1:17" s="39" customFormat="1" ht="409.5" customHeight="1" thickTop="1" thickBot="1" x14ac:dyDescent="0.25">
      <c r="A95" s="821" t="s">
        <v>1409</v>
      </c>
      <c r="B95" s="821" t="s">
        <v>1410</v>
      </c>
      <c r="C95" s="821" t="s">
        <v>184</v>
      </c>
      <c r="D95" s="821" t="s">
        <v>1411</v>
      </c>
      <c r="E95" s="570" t="s">
        <v>1043</v>
      </c>
      <c r="F95" s="823" t="s">
        <v>1044</v>
      </c>
      <c r="G95" s="860">
        <f>H95+I95</f>
        <v>2990000</v>
      </c>
      <c r="H95" s="860">
        <f>'d3'!E108</f>
        <v>0</v>
      </c>
      <c r="I95" s="860">
        <f>'d3'!J108</f>
        <v>2990000</v>
      </c>
      <c r="J95" s="860">
        <f>'d3'!K108</f>
        <v>2990000</v>
      </c>
      <c r="K95" s="194"/>
      <c r="L95" s="194"/>
      <c r="M95" s="194"/>
      <c r="N95" s="194"/>
      <c r="O95" s="194"/>
      <c r="P95" s="194"/>
      <c r="Q95" s="194"/>
    </row>
    <row r="96" spans="1:17" s="39" customFormat="1" ht="184.5" thickTop="1" thickBot="1" x14ac:dyDescent="0.25">
      <c r="A96" s="384" t="s">
        <v>466</v>
      </c>
      <c r="B96" s="384" t="s">
        <v>215</v>
      </c>
      <c r="C96" s="384" t="s">
        <v>184</v>
      </c>
      <c r="D96" s="384" t="s">
        <v>36</v>
      </c>
      <c r="E96" s="383" t="s">
        <v>467</v>
      </c>
      <c r="F96" s="383" t="s">
        <v>438</v>
      </c>
      <c r="G96" s="1149">
        <f>H96+I96</f>
        <v>21695756</v>
      </c>
      <c r="H96" s="1149">
        <v>0</v>
      </c>
      <c r="I96" s="1149">
        <f>'d3'!J110-I98</f>
        <v>21695756</v>
      </c>
      <c r="J96" s="1149">
        <f>'d3'!K110-J98</f>
        <v>21695756</v>
      </c>
      <c r="K96" s="194"/>
      <c r="L96" s="194"/>
      <c r="M96" s="194"/>
      <c r="N96" s="194"/>
      <c r="O96" s="194"/>
      <c r="P96" s="194"/>
      <c r="Q96" s="194"/>
    </row>
    <row r="97" spans="1:17" s="39" customFormat="1" ht="409.5" customHeight="1" thickTop="1" thickBot="1" x14ac:dyDescent="0.25">
      <c r="A97" s="384" t="s">
        <v>466</v>
      </c>
      <c r="B97" s="384" t="s">
        <v>215</v>
      </c>
      <c r="C97" s="384" t="s">
        <v>184</v>
      </c>
      <c r="D97" s="384" t="s">
        <v>36</v>
      </c>
      <c r="E97" s="570" t="s">
        <v>1043</v>
      </c>
      <c r="F97" s="489" t="s">
        <v>1044</v>
      </c>
      <c r="G97" s="1156"/>
      <c r="H97" s="1156"/>
      <c r="I97" s="1156"/>
      <c r="J97" s="1156"/>
      <c r="K97" s="194"/>
      <c r="L97" s="194"/>
      <c r="M97" s="194"/>
      <c r="N97" s="194"/>
      <c r="O97" s="194"/>
      <c r="P97" s="194"/>
      <c r="Q97" s="194"/>
    </row>
    <row r="98" spans="1:17" s="39" customFormat="1" ht="230.25" thickTop="1" thickBot="1" x14ac:dyDescent="0.25">
      <c r="A98" s="384" t="s">
        <v>466</v>
      </c>
      <c r="B98" s="384" t="s">
        <v>215</v>
      </c>
      <c r="C98" s="384" t="s">
        <v>184</v>
      </c>
      <c r="D98" s="384" t="s">
        <v>36</v>
      </c>
      <c r="E98" s="171" t="s">
        <v>485</v>
      </c>
      <c r="F98" s="280" t="s">
        <v>486</v>
      </c>
      <c r="G98" s="383">
        <f>H98+I98</f>
        <v>372664</v>
      </c>
      <c r="H98" s="383">
        <v>0</v>
      </c>
      <c r="I98" s="383">
        <f>(136258+107000+129406)</f>
        <v>372664</v>
      </c>
      <c r="J98" s="383">
        <f>(136258+107000+129406)</f>
        <v>372664</v>
      </c>
      <c r="K98" s="194"/>
      <c r="L98" s="194"/>
      <c r="M98" s="194"/>
      <c r="N98" s="194"/>
      <c r="O98" s="194"/>
      <c r="P98" s="194"/>
      <c r="Q98" s="194"/>
    </row>
    <row r="99" spans="1:17" s="39" customFormat="1" ht="184.5" hidden="1" thickTop="1" thickBot="1" x14ac:dyDescent="0.25">
      <c r="A99" s="186" t="s">
        <v>556</v>
      </c>
      <c r="B99" s="186" t="s">
        <v>389</v>
      </c>
      <c r="C99" s="186" t="s">
        <v>45</v>
      </c>
      <c r="D99" s="186" t="s">
        <v>390</v>
      </c>
      <c r="E99" s="168" t="s">
        <v>467</v>
      </c>
      <c r="F99" s="168" t="s">
        <v>438</v>
      </c>
      <c r="G99" s="168">
        <f>H99+I99</f>
        <v>0</v>
      </c>
      <c r="H99" s="168">
        <f>'d3'!F111</f>
        <v>0</v>
      </c>
      <c r="I99" s="168">
        <f>'d3'!J111</f>
        <v>0</v>
      </c>
      <c r="J99" s="168">
        <f>'d3'!K111</f>
        <v>0</v>
      </c>
      <c r="K99" s="194"/>
      <c r="L99" s="194"/>
      <c r="M99" s="194"/>
      <c r="N99" s="194"/>
      <c r="O99" s="194"/>
      <c r="P99" s="194"/>
      <c r="Q99" s="194"/>
    </row>
    <row r="100" spans="1:17" ht="241.5" customHeight="1" thickTop="1" thickBot="1" x14ac:dyDescent="0.25">
      <c r="A100" s="853" t="s">
        <v>170</v>
      </c>
      <c r="B100" s="853"/>
      <c r="C100" s="853"/>
      <c r="D100" s="854" t="s">
        <v>39</v>
      </c>
      <c r="E100" s="855"/>
      <c r="F100" s="856"/>
      <c r="G100" s="856">
        <f>G101</f>
        <v>167873838</v>
      </c>
      <c r="H100" s="856">
        <f t="shared" ref="H100:J100" si="12">H101</f>
        <v>155579809</v>
      </c>
      <c r="I100" s="855">
        <f t="shared" si="12"/>
        <v>12294029</v>
      </c>
      <c r="J100" s="855">
        <f t="shared" si="12"/>
        <v>11628029</v>
      </c>
      <c r="K100" s="232" t="b">
        <f>H100='d3'!E113-'d3'!E115+H102+H103</f>
        <v>1</v>
      </c>
      <c r="L100" s="233" t="b">
        <f>I100='d3'!J113-'d3'!J115-'d3'!J140+'d7'!I102+I103</f>
        <v>1</v>
      </c>
      <c r="M100" s="233" t="b">
        <f>J100='d3'!K113-'d3'!K115-'d3'!K140+'d7'!J102+J103</f>
        <v>1</v>
      </c>
    </row>
    <row r="101" spans="1:17" ht="271.5" thickTop="1" thickBot="1" x14ac:dyDescent="0.25">
      <c r="A101" s="878" t="s">
        <v>171</v>
      </c>
      <c r="B101" s="878"/>
      <c r="C101" s="878"/>
      <c r="D101" s="879" t="s">
        <v>40</v>
      </c>
      <c r="E101" s="880"/>
      <c r="F101" s="880"/>
      <c r="G101" s="880">
        <f>SUM(G102:G132)</f>
        <v>167873838</v>
      </c>
      <c r="H101" s="880">
        <f>SUM(H102:H132)</f>
        <v>155579809</v>
      </c>
      <c r="I101" s="880">
        <f>SUM(I102:I132)</f>
        <v>12294029</v>
      </c>
      <c r="J101" s="880">
        <f>SUM(J102:J132)</f>
        <v>11628029</v>
      </c>
      <c r="L101" s="226"/>
    </row>
    <row r="102" spans="1:17" ht="230.25" thickTop="1" thickBot="1" x14ac:dyDescent="0.25">
      <c r="A102" s="279" t="s">
        <v>443</v>
      </c>
      <c r="B102" s="279" t="s">
        <v>254</v>
      </c>
      <c r="C102" s="279" t="s">
        <v>252</v>
      </c>
      <c r="D102" s="279" t="s">
        <v>253</v>
      </c>
      <c r="E102" s="305" t="s">
        <v>1386</v>
      </c>
      <c r="F102" s="485" t="s">
        <v>1024</v>
      </c>
      <c r="G102" s="289">
        <f t="shared" ref="G102:G130" si="13">H102+I102</f>
        <v>319000</v>
      </c>
      <c r="H102" s="289">
        <v>0</v>
      </c>
      <c r="I102" s="289">
        <f>49000+(270000)</f>
        <v>319000</v>
      </c>
      <c r="J102" s="289">
        <v>270000</v>
      </c>
      <c r="L102" s="226"/>
    </row>
    <row r="103" spans="1:17" s="584" customFormat="1" ht="230.25" thickTop="1" thickBot="1" x14ac:dyDescent="0.25">
      <c r="A103" s="586" t="s">
        <v>443</v>
      </c>
      <c r="B103" s="586" t="s">
        <v>254</v>
      </c>
      <c r="C103" s="586" t="s">
        <v>252</v>
      </c>
      <c r="D103" s="586" t="s">
        <v>253</v>
      </c>
      <c r="E103" s="171" t="s">
        <v>705</v>
      </c>
      <c r="F103" s="585" t="s">
        <v>435</v>
      </c>
      <c r="G103" s="585">
        <f t="shared" si="13"/>
        <v>250000</v>
      </c>
      <c r="H103" s="585">
        <v>0</v>
      </c>
      <c r="I103" s="585">
        <v>250000</v>
      </c>
      <c r="J103" s="585">
        <v>250000</v>
      </c>
      <c r="K103" s="594"/>
      <c r="L103" s="226"/>
      <c r="M103" s="594"/>
      <c r="N103" s="594"/>
      <c r="O103" s="594"/>
      <c r="P103" s="594"/>
      <c r="Q103" s="594"/>
    </row>
    <row r="104" spans="1:17" s="319" customFormat="1" ht="409.6" thickTop="1" thickBot="1" x14ac:dyDescent="0.25">
      <c r="A104" s="325" t="s">
        <v>786</v>
      </c>
      <c r="B104" s="325" t="s">
        <v>388</v>
      </c>
      <c r="C104" s="325" t="s">
        <v>778</v>
      </c>
      <c r="D104" s="325" t="s">
        <v>779</v>
      </c>
      <c r="E104" s="305" t="s">
        <v>1058</v>
      </c>
      <c r="F104" s="508" t="s">
        <v>1059</v>
      </c>
      <c r="G104" s="289">
        <f t="shared" si="13"/>
        <v>10000</v>
      </c>
      <c r="H104" s="289">
        <f>'d3'!E116</f>
        <v>10000</v>
      </c>
      <c r="I104" s="572">
        <f>'d3'!J116</f>
        <v>0</v>
      </c>
      <c r="J104" s="572">
        <f>'d3'!K116</f>
        <v>0</v>
      </c>
      <c r="K104" s="321"/>
      <c r="L104" s="226"/>
      <c r="M104" s="321"/>
      <c r="N104" s="321"/>
      <c r="O104" s="321"/>
      <c r="P104" s="321"/>
      <c r="Q104" s="321"/>
    </row>
    <row r="105" spans="1:17" s="571" customFormat="1" ht="138.75" thickTop="1" thickBot="1" x14ac:dyDescent="0.25">
      <c r="A105" s="576" t="s">
        <v>1136</v>
      </c>
      <c r="B105" s="576" t="s">
        <v>45</v>
      </c>
      <c r="C105" s="576" t="s">
        <v>44</v>
      </c>
      <c r="D105" s="576" t="s">
        <v>266</v>
      </c>
      <c r="E105" s="493" t="s">
        <v>1241</v>
      </c>
      <c r="F105" s="642" t="s">
        <v>1233</v>
      </c>
      <c r="G105" s="572">
        <f t="shared" si="13"/>
        <v>30000</v>
      </c>
      <c r="H105" s="572">
        <f>'d3'!E117</f>
        <v>30000</v>
      </c>
      <c r="I105" s="572">
        <f>'d3'!J117</f>
        <v>0</v>
      </c>
      <c r="J105" s="572">
        <f>'d3'!K117</f>
        <v>0</v>
      </c>
      <c r="K105" s="577"/>
      <c r="L105" s="226"/>
      <c r="M105" s="577"/>
      <c r="N105" s="577"/>
      <c r="O105" s="577"/>
      <c r="P105" s="577"/>
      <c r="Q105" s="577"/>
    </row>
    <row r="106" spans="1:17" s="39" customFormat="1" ht="230.25" thickTop="1" thickBot="1" x14ac:dyDescent="0.25">
      <c r="A106" s="279" t="s">
        <v>287</v>
      </c>
      <c r="B106" s="279" t="s">
        <v>288</v>
      </c>
      <c r="C106" s="279" t="s">
        <v>223</v>
      </c>
      <c r="D106" s="280" t="s">
        <v>289</v>
      </c>
      <c r="E106" s="171" t="s">
        <v>705</v>
      </c>
      <c r="F106" s="289" t="s">
        <v>435</v>
      </c>
      <c r="G106" s="289">
        <f t="shared" si="13"/>
        <v>385090</v>
      </c>
      <c r="H106" s="289">
        <f>'d3'!E120</f>
        <v>270000</v>
      </c>
      <c r="I106" s="289">
        <f>'d3'!J120</f>
        <v>115090</v>
      </c>
      <c r="J106" s="289">
        <f>'d3'!K120</f>
        <v>115090</v>
      </c>
      <c r="K106" s="194"/>
      <c r="L106" s="194"/>
      <c r="M106" s="194"/>
      <c r="N106" s="194"/>
      <c r="O106" s="194"/>
      <c r="P106" s="194"/>
      <c r="Q106" s="194"/>
    </row>
    <row r="107" spans="1:17" s="39" customFormat="1" ht="230.25" thickTop="1" thickBot="1" x14ac:dyDescent="0.25">
      <c r="A107" s="279" t="s">
        <v>290</v>
      </c>
      <c r="B107" s="279" t="s">
        <v>291</v>
      </c>
      <c r="C107" s="279" t="s">
        <v>224</v>
      </c>
      <c r="D107" s="279" t="s">
        <v>6</v>
      </c>
      <c r="E107" s="171" t="s">
        <v>705</v>
      </c>
      <c r="F107" s="289" t="s">
        <v>435</v>
      </c>
      <c r="G107" s="289">
        <f t="shared" si="13"/>
        <v>950000</v>
      </c>
      <c r="H107" s="289">
        <f>'d3'!E121</f>
        <v>950000</v>
      </c>
      <c r="I107" s="289">
        <f>'d3'!J121</f>
        <v>0</v>
      </c>
      <c r="J107" s="289">
        <f>'d3'!K121</f>
        <v>0</v>
      </c>
      <c r="K107" s="194"/>
      <c r="L107" s="194"/>
      <c r="M107" s="194"/>
      <c r="N107" s="194"/>
      <c r="O107" s="194"/>
      <c r="P107" s="194"/>
      <c r="Q107" s="194"/>
    </row>
    <row r="108" spans="1:17" s="39" customFormat="1" ht="230.25" thickTop="1" thickBot="1" x14ac:dyDescent="0.25">
      <c r="A108" s="279" t="s">
        <v>293</v>
      </c>
      <c r="B108" s="279" t="s">
        <v>294</v>
      </c>
      <c r="C108" s="279" t="s">
        <v>224</v>
      </c>
      <c r="D108" s="279" t="s">
        <v>7</v>
      </c>
      <c r="E108" s="171" t="s">
        <v>705</v>
      </c>
      <c r="F108" s="289" t="s">
        <v>435</v>
      </c>
      <c r="G108" s="289">
        <f t="shared" si="13"/>
        <v>14700000</v>
      </c>
      <c r="H108" s="289">
        <f>'d3'!E122</f>
        <v>14700000</v>
      </c>
      <c r="I108" s="289">
        <f>'d3'!J122</f>
        <v>0</v>
      </c>
      <c r="J108" s="289">
        <f>'d3'!K122</f>
        <v>0</v>
      </c>
      <c r="K108" s="194"/>
      <c r="L108" s="194"/>
      <c r="M108" s="194"/>
      <c r="N108" s="194"/>
      <c r="O108" s="194"/>
      <c r="P108" s="194"/>
      <c r="Q108" s="194"/>
    </row>
    <row r="109" spans="1:17" s="39" customFormat="1" ht="230.25" thickTop="1" thickBot="1" x14ac:dyDescent="0.25">
      <c r="A109" s="279" t="s">
        <v>295</v>
      </c>
      <c r="B109" s="279" t="s">
        <v>292</v>
      </c>
      <c r="C109" s="279" t="s">
        <v>224</v>
      </c>
      <c r="D109" s="279" t="s">
        <v>8</v>
      </c>
      <c r="E109" s="171" t="s">
        <v>705</v>
      </c>
      <c r="F109" s="289" t="s">
        <v>435</v>
      </c>
      <c r="G109" s="289">
        <f t="shared" si="13"/>
        <v>500000</v>
      </c>
      <c r="H109" s="289">
        <f>'d3'!E123</f>
        <v>500000</v>
      </c>
      <c r="I109" s="289">
        <f>'d3'!J123</f>
        <v>0</v>
      </c>
      <c r="J109" s="289">
        <f>'d3'!K123</f>
        <v>0</v>
      </c>
      <c r="K109" s="194"/>
      <c r="L109" s="194"/>
      <c r="M109" s="194"/>
      <c r="N109" s="194"/>
      <c r="O109" s="194"/>
      <c r="P109" s="194"/>
      <c r="Q109" s="194"/>
    </row>
    <row r="110" spans="1:17" s="39" customFormat="1" ht="230.25" thickTop="1" thickBot="1" x14ac:dyDescent="0.25">
      <c r="A110" s="279" t="s">
        <v>296</v>
      </c>
      <c r="B110" s="279" t="s">
        <v>297</v>
      </c>
      <c r="C110" s="279" t="s">
        <v>224</v>
      </c>
      <c r="D110" s="279" t="s">
        <v>9</v>
      </c>
      <c r="E110" s="171" t="s">
        <v>705</v>
      </c>
      <c r="F110" s="289" t="s">
        <v>435</v>
      </c>
      <c r="G110" s="289">
        <f t="shared" si="13"/>
        <v>57804700</v>
      </c>
      <c r="H110" s="289">
        <f>'d3'!E124</f>
        <v>57804700</v>
      </c>
      <c r="I110" s="289">
        <f>'d3'!J124</f>
        <v>0</v>
      </c>
      <c r="J110" s="289">
        <f>'d3'!K124</f>
        <v>0</v>
      </c>
      <c r="K110" s="194"/>
      <c r="L110" s="194"/>
      <c r="M110" s="194"/>
      <c r="N110" s="194"/>
      <c r="O110" s="194"/>
      <c r="P110" s="194"/>
      <c r="Q110" s="194"/>
    </row>
    <row r="111" spans="1:17" s="39" customFormat="1" ht="230.25" thickTop="1" thickBot="1" x14ac:dyDescent="0.25">
      <c r="A111" s="509" t="s">
        <v>522</v>
      </c>
      <c r="B111" s="509" t="s">
        <v>523</v>
      </c>
      <c r="C111" s="509" t="s">
        <v>224</v>
      </c>
      <c r="D111" s="509" t="s">
        <v>524</v>
      </c>
      <c r="E111" s="171" t="s">
        <v>705</v>
      </c>
      <c r="F111" s="508" t="s">
        <v>435</v>
      </c>
      <c r="G111" s="508">
        <f t="shared" si="13"/>
        <v>206796</v>
      </c>
      <c r="H111" s="508">
        <f>'d3'!E125</f>
        <v>206796</v>
      </c>
      <c r="I111" s="508">
        <f>'d3'!J125</f>
        <v>0</v>
      </c>
      <c r="J111" s="508">
        <f>'d3'!K125</f>
        <v>0</v>
      </c>
      <c r="K111" s="194"/>
      <c r="L111" s="194"/>
      <c r="M111" s="194"/>
      <c r="N111" s="194"/>
      <c r="O111" s="194"/>
      <c r="P111" s="194"/>
      <c r="Q111" s="194"/>
    </row>
    <row r="112" spans="1:17" s="39" customFormat="1" ht="230.25" thickTop="1" thickBot="1" x14ac:dyDescent="0.25">
      <c r="A112" s="573" t="s">
        <v>1137</v>
      </c>
      <c r="B112" s="573" t="s">
        <v>1138</v>
      </c>
      <c r="C112" s="573" t="s">
        <v>224</v>
      </c>
      <c r="D112" s="573" t="s">
        <v>1139</v>
      </c>
      <c r="E112" s="171" t="s">
        <v>705</v>
      </c>
      <c r="F112" s="572" t="s">
        <v>435</v>
      </c>
      <c r="G112" s="572">
        <f t="shared" ref="G112" si="14">H112+I112</f>
        <v>180000</v>
      </c>
      <c r="H112" s="572">
        <f>'d3'!E126</f>
        <v>180000</v>
      </c>
      <c r="I112" s="572">
        <f>'d3'!J126</f>
        <v>0</v>
      </c>
      <c r="J112" s="572">
        <f>'d3'!K126</f>
        <v>0</v>
      </c>
      <c r="K112" s="194"/>
      <c r="L112" s="194"/>
      <c r="M112" s="194"/>
      <c r="N112" s="194"/>
      <c r="O112" s="194"/>
      <c r="P112" s="194"/>
      <c r="Q112" s="194"/>
    </row>
    <row r="113" spans="1:17" s="39" customFormat="1" ht="230.25" thickTop="1" thickBot="1" x14ac:dyDescent="0.25">
      <c r="A113" s="509" t="s">
        <v>525</v>
      </c>
      <c r="B113" s="509" t="s">
        <v>526</v>
      </c>
      <c r="C113" s="509" t="s">
        <v>223</v>
      </c>
      <c r="D113" s="509" t="s">
        <v>527</v>
      </c>
      <c r="E113" s="171" t="s">
        <v>705</v>
      </c>
      <c r="F113" s="508" t="s">
        <v>435</v>
      </c>
      <c r="G113" s="508">
        <f t="shared" si="13"/>
        <v>353047</v>
      </c>
      <c r="H113" s="508">
        <f>'d3'!E127</f>
        <v>353047</v>
      </c>
      <c r="I113" s="508">
        <f>'d3'!J127</f>
        <v>0</v>
      </c>
      <c r="J113" s="508">
        <f>'d3'!K127</f>
        <v>0</v>
      </c>
      <c r="K113" s="194"/>
      <c r="L113" s="194"/>
      <c r="M113" s="194"/>
      <c r="N113" s="194"/>
      <c r="O113" s="194"/>
      <c r="P113" s="194"/>
      <c r="Q113" s="194"/>
    </row>
    <row r="114" spans="1:17" ht="321.75" thickTop="1" thickBot="1" x14ac:dyDescent="0.25">
      <c r="A114" s="384" t="s">
        <v>285</v>
      </c>
      <c r="B114" s="384" t="s">
        <v>283</v>
      </c>
      <c r="C114" s="384" t="s">
        <v>218</v>
      </c>
      <c r="D114" s="384" t="s">
        <v>17</v>
      </c>
      <c r="E114" s="171" t="s">
        <v>705</v>
      </c>
      <c r="F114" s="383" t="s">
        <v>435</v>
      </c>
      <c r="G114" s="383">
        <f t="shared" si="13"/>
        <v>28745620</v>
      </c>
      <c r="H114" s="383">
        <f>'d3'!E129</f>
        <v>28467620</v>
      </c>
      <c r="I114" s="383">
        <f>'d3'!J129</f>
        <v>278000</v>
      </c>
      <c r="J114" s="383">
        <f>'d3'!K129</f>
        <v>128000</v>
      </c>
    </row>
    <row r="115" spans="1:17" ht="230.25" thickTop="1" thickBot="1" x14ac:dyDescent="0.25">
      <c r="A115" s="384" t="s">
        <v>286</v>
      </c>
      <c r="B115" s="384" t="s">
        <v>284</v>
      </c>
      <c r="C115" s="384" t="s">
        <v>217</v>
      </c>
      <c r="D115" s="384" t="s">
        <v>491</v>
      </c>
      <c r="E115" s="171" t="s">
        <v>705</v>
      </c>
      <c r="F115" s="383" t="s">
        <v>435</v>
      </c>
      <c r="G115" s="383">
        <f t="shared" si="13"/>
        <v>7668420</v>
      </c>
      <c r="H115" s="383">
        <f>'d3'!E130</f>
        <v>7624980</v>
      </c>
      <c r="I115" s="386">
        <f>'d3'!J130</f>
        <v>43440</v>
      </c>
      <c r="J115" s="386">
        <f>'d3'!K130</f>
        <v>43440</v>
      </c>
    </row>
    <row r="116" spans="1:17" s="721" customFormat="1" ht="321.75" thickTop="1" thickBot="1" x14ac:dyDescent="0.25">
      <c r="A116" s="728" t="s">
        <v>1355</v>
      </c>
      <c r="B116" s="728" t="s">
        <v>1356</v>
      </c>
      <c r="C116" s="728" t="s">
        <v>203</v>
      </c>
      <c r="D116" s="728" t="s">
        <v>1357</v>
      </c>
      <c r="E116" s="171" t="s">
        <v>705</v>
      </c>
      <c r="F116" s="727" t="s">
        <v>435</v>
      </c>
      <c r="G116" s="727">
        <f t="shared" si="13"/>
        <v>2571595</v>
      </c>
      <c r="H116" s="727">
        <f>'d3'!E132</f>
        <v>267380</v>
      </c>
      <c r="I116" s="727">
        <f>'d3'!J132</f>
        <v>2304215</v>
      </c>
      <c r="J116" s="727">
        <f>'d3'!K132</f>
        <v>2304215</v>
      </c>
      <c r="K116" s="731"/>
      <c r="L116" s="731"/>
      <c r="M116" s="731"/>
      <c r="N116" s="731"/>
      <c r="O116" s="731"/>
      <c r="P116" s="731"/>
      <c r="Q116" s="731"/>
    </row>
    <row r="117" spans="1:17" ht="409.6" thickTop="1" thickBot="1" x14ac:dyDescent="0.25">
      <c r="A117" s="814" t="s">
        <v>281</v>
      </c>
      <c r="B117" s="814" t="s">
        <v>282</v>
      </c>
      <c r="C117" s="814" t="s">
        <v>217</v>
      </c>
      <c r="D117" s="814" t="s">
        <v>489</v>
      </c>
      <c r="E117" s="333" t="s">
        <v>705</v>
      </c>
      <c r="F117" s="813" t="s">
        <v>435</v>
      </c>
      <c r="G117" s="813">
        <f t="shared" si="13"/>
        <v>2246695</v>
      </c>
      <c r="H117" s="813">
        <f>'d3'!E133</f>
        <v>2246695</v>
      </c>
      <c r="I117" s="813">
        <f>'d3'!J133</f>
        <v>0</v>
      </c>
      <c r="J117" s="813">
        <f>'d3'!K133</f>
        <v>0</v>
      </c>
    </row>
    <row r="118" spans="1:17" ht="321.75" thickTop="1" thickBot="1" x14ac:dyDescent="0.25">
      <c r="A118" s="384" t="s">
        <v>528</v>
      </c>
      <c r="B118" s="384" t="s">
        <v>529</v>
      </c>
      <c r="C118" s="384" t="s">
        <v>217</v>
      </c>
      <c r="D118" s="384" t="s">
        <v>530</v>
      </c>
      <c r="E118" s="171" t="s">
        <v>705</v>
      </c>
      <c r="F118" s="508" t="s">
        <v>435</v>
      </c>
      <c r="G118" s="383">
        <f t="shared" si="13"/>
        <v>147491</v>
      </c>
      <c r="H118" s="383">
        <f>'d3'!E135</f>
        <v>147491</v>
      </c>
      <c r="I118" s="383">
        <f>'d3'!J135</f>
        <v>0</v>
      </c>
      <c r="J118" s="508">
        <f>'d3'!K135</f>
        <v>0</v>
      </c>
    </row>
    <row r="119" spans="1:17" ht="409.6" thickTop="1" thickBot="1" x14ac:dyDescent="0.25">
      <c r="A119" s="384" t="s">
        <v>374</v>
      </c>
      <c r="B119" s="384" t="s">
        <v>373</v>
      </c>
      <c r="C119" s="384" t="s">
        <v>52</v>
      </c>
      <c r="D119" s="384" t="s">
        <v>490</v>
      </c>
      <c r="E119" s="171" t="s">
        <v>705</v>
      </c>
      <c r="F119" s="383" t="s">
        <v>435</v>
      </c>
      <c r="G119" s="383">
        <f t="shared" si="13"/>
        <v>1046775</v>
      </c>
      <c r="H119" s="383">
        <f>'d3'!E136-H120</f>
        <v>1046775</v>
      </c>
      <c r="I119" s="383">
        <f>'d3'!J136-I120</f>
        <v>0</v>
      </c>
      <c r="J119" s="383">
        <f>'d3'!K136-J120</f>
        <v>0</v>
      </c>
    </row>
    <row r="120" spans="1:17" ht="409.6" thickTop="1" thickBot="1" x14ac:dyDescent="0.25">
      <c r="A120" s="384" t="s">
        <v>374</v>
      </c>
      <c r="B120" s="384" t="s">
        <v>373</v>
      </c>
      <c r="C120" s="384" t="s">
        <v>52</v>
      </c>
      <c r="D120" s="384" t="s">
        <v>490</v>
      </c>
      <c r="E120" s="333" t="s">
        <v>1039</v>
      </c>
      <c r="F120" s="488" t="s">
        <v>1040</v>
      </c>
      <c r="G120" s="383">
        <f t="shared" si="13"/>
        <v>1578650</v>
      </c>
      <c r="H120" s="383">
        <f>(1284230+294420)</f>
        <v>1578650</v>
      </c>
      <c r="I120" s="383">
        <v>0</v>
      </c>
      <c r="J120" s="383">
        <v>0</v>
      </c>
    </row>
    <row r="121" spans="1:17" ht="276" thickTop="1" thickBot="1" x14ac:dyDescent="0.25">
      <c r="A121" s="384" t="s">
        <v>350</v>
      </c>
      <c r="B121" s="384" t="s">
        <v>351</v>
      </c>
      <c r="C121" s="384" t="s">
        <v>223</v>
      </c>
      <c r="D121" s="384" t="s">
        <v>793</v>
      </c>
      <c r="E121" s="171" t="s">
        <v>705</v>
      </c>
      <c r="F121" s="383" t="s">
        <v>435</v>
      </c>
      <c r="G121" s="383">
        <f t="shared" si="13"/>
        <v>530000</v>
      </c>
      <c r="H121" s="383">
        <f>'d3'!E138</f>
        <v>530000</v>
      </c>
      <c r="I121" s="383">
        <f>'d3'!J138</f>
        <v>0</v>
      </c>
      <c r="J121" s="383">
        <f>'d3'!K138</f>
        <v>0</v>
      </c>
    </row>
    <row r="122" spans="1:17" ht="184.5" thickTop="1" thickBot="1" x14ac:dyDescent="0.25">
      <c r="A122" s="384" t="s">
        <v>456</v>
      </c>
      <c r="B122" s="384" t="s">
        <v>398</v>
      </c>
      <c r="C122" s="384" t="s">
        <v>399</v>
      </c>
      <c r="D122" s="384" t="s">
        <v>397</v>
      </c>
      <c r="E122" s="333" t="s">
        <v>1234</v>
      </c>
      <c r="F122" s="642" t="s">
        <v>1235</v>
      </c>
      <c r="G122" s="383">
        <f t="shared" si="13"/>
        <v>100040</v>
      </c>
      <c r="H122" s="383">
        <f>'d3'!E139</f>
        <v>100040</v>
      </c>
      <c r="I122" s="383">
        <f>'d3'!J139</f>
        <v>0</v>
      </c>
      <c r="J122" s="383">
        <f>'d3'!K139</f>
        <v>0</v>
      </c>
    </row>
    <row r="123" spans="1:17" ht="230.25" thickTop="1" thickBot="1" x14ac:dyDescent="0.25">
      <c r="A123" s="384" t="s">
        <v>352</v>
      </c>
      <c r="B123" s="384" t="s">
        <v>354</v>
      </c>
      <c r="C123" s="384" t="s">
        <v>209</v>
      </c>
      <c r="D123" s="337" t="s">
        <v>356</v>
      </c>
      <c r="E123" s="171" t="s">
        <v>705</v>
      </c>
      <c r="F123" s="383" t="s">
        <v>435</v>
      </c>
      <c r="G123" s="383">
        <f t="shared" si="13"/>
        <v>7501869</v>
      </c>
      <c r="H123" s="314">
        <f>'d3'!E155-H124</f>
        <v>7258869</v>
      </c>
      <c r="I123" s="383">
        <f>'d3'!J155-I124</f>
        <v>243000</v>
      </c>
      <c r="J123" s="383">
        <f>'d3'!K155-J124</f>
        <v>98000</v>
      </c>
    </row>
    <row r="124" spans="1:17" ht="230.25" thickTop="1" thickBot="1" x14ac:dyDescent="0.25">
      <c r="A124" s="384" t="s">
        <v>352</v>
      </c>
      <c r="B124" s="384" t="s">
        <v>354</v>
      </c>
      <c r="C124" s="384" t="s">
        <v>209</v>
      </c>
      <c r="D124" s="337" t="s">
        <v>356</v>
      </c>
      <c r="E124" s="171" t="s">
        <v>485</v>
      </c>
      <c r="F124" s="280" t="s">
        <v>486</v>
      </c>
      <c r="G124" s="383">
        <f>H124+I124</f>
        <v>463983</v>
      </c>
      <c r="H124" s="314">
        <f>(34018+31058+10567)</f>
        <v>75643</v>
      </c>
      <c r="I124" s="383">
        <f>(136399+40788+138259+72894)</f>
        <v>388340</v>
      </c>
      <c r="J124" s="383">
        <f>(136399+40788+138259+72894)</f>
        <v>388340</v>
      </c>
    </row>
    <row r="125" spans="1:17" ht="230.25" thickTop="1" thickBot="1" x14ac:dyDescent="0.25">
      <c r="A125" s="384" t="s">
        <v>353</v>
      </c>
      <c r="B125" s="384" t="s">
        <v>355</v>
      </c>
      <c r="C125" s="384" t="s">
        <v>209</v>
      </c>
      <c r="D125" s="337" t="s">
        <v>357</v>
      </c>
      <c r="E125" s="171" t="s">
        <v>705</v>
      </c>
      <c r="F125" s="383" t="s">
        <v>435</v>
      </c>
      <c r="G125" s="383">
        <f t="shared" si="13"/>
        <v>26744633</v>
      </c>
      <c r="H125" s="383">
        <f>'d3'!E156-H126-H127</f>
        <v>26594633</v>
      </c>
      <c r="I125" s="383">
        <f>'d3'!J156-I126-I127</f>
        <v>150000</v>
      </c>
      <c r="J125" s="383">
        <f>'d3'!K156-J126-J127</f>
        <v>150000</v>
      </c>
    </row>
    <row r="126" spans="1:17" ht="138.75" thickTop="1" thickBot="1" x14ac:dyDescent="0.25">
      <c r="A126" s="384" t="s">
        <v>353</v>
      </c>
      <c r="B126" s="384" t="s">
        <v>355</v>
      </c>
      <c r="C126" s="384" t="s">
        <v>209</v>
      </c>
      <c r="D126" s="337" t="s">
        <v>357</v>
      </c>
      <c r="E126" s="383" t="s">
        <v>1037</v>
      </c>
      <c r="F126" s="383" t="s">
        <v>1038</v>
      </c>
      <c r="G126" s="383">
        <f t="shared" si="13"/>
        <v>700000</v>
      </c>
      <c r="H126" s="383">
        <f>200000+500000</f>
        <v>700000</v>
      </c>
      <c r="I126" s="383">
        <v>0</v>
      </c>
      <c r="J126" s="383">
        <v>0</v>
      </c>
    </row>
    <row r="127" spans="1:17" ht="230.25" thickTop="1" thickBot="1" x14ac:dyDescent="0.25">
      <c r="A127" s="384" t="s">
        <v>353</v>
      </c>
      <c r="B127" s="384" t="s">
        <v>355</v>
      </c>
      <c r="C127" s="384" t="s">
        <v>209</v>
      </c>
      <c r="D127" s="337" t="s">
        <v>357</v>
      </c>
      <c r="E127" s="333" t="s">
        <v>1039</v>
      </c>
      <c r="F127" s="488" t="s">
        <v>1040</v>
      </c>
      <c r="G127" s="383">
        <f t="shared" si="13"/>
        <v>4020400</v>
      </c>
      <c r="H127" s="383">
        <f>3000000+476490+400000+60000</f>
        <v>3936490</v>
      </c>
      <c r="I127" s="383">
        <v>83910</v>
      </c>
      <c r="J127" s="383">
        <v>83910</v>
      </c>
      <c r="K127" s="227"/>
    </row>
    <row r="128" spans="1:17" ht="230.25" thickTop="1" thickBot="1" x14ac:dyDescent="0.25">
      <c r="A128" s="384" t="s">
        <v>393</v>
      </c>
      <c r="B128" s="384" t="s">
        <v>391</v>
      </c>
      <c r="C128" s="384" t="s">
        <v>365</v>
      </c>
      <c r="D128" s="337" t="s">
        <v>392</v>
      </c>
      <c r="E128" s="333" t="s">
        <v>1039</v>
      </c>
      <c r="F128" s="488" t="s">
        <v>1040</v>
      </c>
      <c r="G128" s="383">
        <f t="shared" si="13"/>
        <v>4000000</v>
      </c>
      <c r="H128" s="383">
        <f>'d3'!E159</f>
        <v>0</v>
      </c>
      <c r="I128" s="383">
        <f>'d3'!J159</f>
        <v>4000000</v>
      </c>
      <c r="J128" s="383">
        <f>'d3'!K159</f>
        <v>4000000</v>
      </c>
    </row>
    <row r="129" spans="1:17" s="820" customFormat="1" ht="409.6" thickTop="1" thickBot="1" x14ac:dyDescent="0.25">
      <c r="A129" s="826" t="s">
        <v>1439</v>
      </c>
      <c r="B129" s="826" t="s">
        <v>1440</v>
      </c>
      <c r="C129" s="826" t="s">
        <v>365</v>
      </c>
      <c r="D129" s="337" t="s">
        <v>1441</v>
      </c>
      <c r="E129" s="825" t="s">
        <v>1037</v>
      </c>
      <c r="F129" s="825" t="s">
        <v>1038</v>
      </c>
      <c r="G129" s="825">
        <f t="shared" si="13"/>
        <v>3577034</v>
      </c>
      <c r="H129" s="828">
        <f>'d3'!E160</f>
        <v>0</v>
      </c>
      <c r="I129" s="828">
        <f>'d3'!J160</f>
        <v>3577034</v>
      </c>
      <c r="J129" s="828">
        <f>'d3'!K160</f>
        <v>3577034</v>
      </c>
      <c r="K129" s="829"/>
      <c r="L129" s="829"/>
      <c r="M129" s="829"/>
      <c r="N129" s="829"/>
      <c r="O129" s="829"/>
      <c r="P129" s="829"/>
      <c r="Q129" s="829"/>
    </row>
    <row r="130" spans="1:17" s="584" customFormat="1" ht="230.25" thickTop="1" thickBot="1" x14ac:dyDescent="0.25">
      <c r="A130" s="588" t="s">
        <v>1143</v>
      </c>
      <c r="B130" s="588" t="s">
        <v>1144</v>
      </c>
      <c r="C130" s="588" t="s">
        <v>323</v>
      </c>
      <c r="D130" s="588" t="s">
        <v>1145</v>
      </c>
      <c r="E130" s="171" t="s">
        <v>705</v>
      </c>
      <c r="F130" s="585" t="s">
        <v>435</v>
      </c>
      <c r="G130" s="585">
        <f t="shared" si="13"/>
        <v>220000</v>
      </c>
      <c r="H130" s="593">
        <f>'d3'!E164</f>
        <v>0</v>
      </c>
      <c r="I130" s="593">
        <f>'d3'!J164</f>
        <v>220000</v>
      </c>
      <c r="J130" s="593">
        <f>'d3'!K164</f>
        <v>220000</v>
      </c>
      <c r="K130" s="594"/>
      <c r="L130" s="594"/>
      <c r="M130" s="594"/>
      <c r="N130" s="594"/>
      <c r="O130" s="594"/>
      <c r="P130" s="594"/>
      <c r="Q130" s="594"/>
    </row>
    <row r="131" spans="1:17" ht="409.6" thickTop="1" thickBot="1" x14ac:dyDescent="0.7">
      <c r="A131" s="1048" t="s">
        <v>451</v>
      </c>
      <c r="B131" s="1048" t="s">
        <v>363</v>
      </c>
      <c r="C131" s="1048" t="s">
        <v>184</v>
      </c>
      <c r="D131" s="326" t="s">
        <v>473</v>
      </c>
      <c r="E131" s="1048" t="s">
        <v>1029</v>
      </c>
      <c r="F131" s="1048" t="s">
        <v>1030</v>
      </c>
      <c r="G131" s="1149">
        <f>H131+I131</f>
        <v>322000</v>
      </c>
      <c r="H131" s="1149">
        <f>'d3'!E167</f>
        <v>0</v>
      </c>
      <c r="I131" s="1149">
        <f>'d3'!J167</f>
        <v>322000</v>
      </c>
      <c r="J131" s="1149">
        <f>'d3'!K167</f>
        <v>0</v>
      </c>
    </row>
    <row r="132" spans="1:17" ht="184.5" thickTop="1" thickBot="1" x14ac:dyDescent="0.25">
      <c r="A132" s="1050"/>
      <c r="B132" s="1050"/>
      <c r="C132" s="1050"/>
      <c r="D132" s="329" t="s">
        <v>474</v>
      </c>
      <c r="E132" s="1050"/>
      <c r="F132" s="1050"/>
      <c r="G132" s="1150"/>
      <c r="H132" s="1150"/>
      <c r="I132" s="1157"/>
      <c r="J132" s="1157"/>
      <c r="K132" s="221"/>
      <c r="L132" s="224"/>
      <c r="M132" s="224"/>
    </row>
    <row r="133" spans="1:17" ht="181.5" thickTop="1" thickBot="1" x14ac:dyDescent="0.25">
      <c r="A133" s="853">
        <v>1000000</v>
      </c>
      <c r="B133" s="853"/>
      <c r="C133" s="853"/>
      <c r="D133" s="854" t="s">
        <v>24</v>
      </c>
      <c r="E133" s="855"/>
      <c r="F133" s="856"/>
      <c r="G133" s="856">
        <f>G134</f>
        <v>144385683</v>
      </c>
      <c r="H133" s="856">
        <f t="shared" ref="H133:J133" si="15">H134</f>
        <v>127138658</v>
      </c>
      <c r="I133" s="855">
        <f t="shared" si="15"/>
        <v>17247025</v>
      </c>
      <c r="J133" s="855">
        <f t="shared" si="15"/>
        <v>7416625</v>
      </c>
      <c r="K133" s="232" t="b">
        <f>H133='d3'!E170</f>
        <v>1</v>
      </c>
      <c r="L133" s="233" t="b">
        <f>I133='d3'!J170</f>
        <v>1</v>
      </c>
      <c r="M133" s="233" t="b">
        <f>J133='d3'!K170</f>
        <v>1</v>
      </c>
    </row>
    <row r="134" spans="1:17" ht="226.5" thickTop="1" thickBot="1" x14ac:dyDescent="0.25">
      <c r="A134" s="878">
        <v>1010000</v>
      </c>
      <c r="B134" s="878"/>
      <c r="C134" s="878"/>
      <c r="D134" s="879" t="s">
        <v>41</v>
      </c>
      <c r="E134" s="880"/>
      <c r="F134" s="880"/>
      <c r="G134" s="880">
        <f>SUM(G135:G150)</f>
        <v>144385683</v>
      </c>
      <c r="H134" s="880">
        <f>SUM(H135:H150)</f>
        <v>127138658</v>
      </c>
      <c r="I134" s="880">
        <f>SUM(I135:I150)</f>
        <v>17247025</v>
      </c>
      <c r="J134" s="880">
        <f>SUM(J135:J150)</f>
        <v>7416625</v>
      </c>
    </row>
    <row r="135" spans="1:17" ht="276" thickTop="1" thickBot="1" x14ac:dyDescent="0.25">
      <c r="A135" s="384" t="s">
        <v>794</v>
      </c>
      <c r="B135" s="384" t="s">
        <v>795</v>
      </c>
      <c r="C135" s="384" t="s">
        <v>199</v>
      </c>
      <c r="D135" s="384" t="s">
        <v>546</v>
      </c>
      <c r="E135" s="383" t="s">
        <v>1035</v>
      </c>
      <c r="F135" s="488" t="s">
        <v>1036</v>
      </c>
      <c r="G135" s="383">
        <f>H135+I135</f>
        <v>80198786</v>
      </c>
      <c r="H135" s="383">
        <f>'d3'!E172</f>
        <v>70087686</v>
      </c>
      <c r="I135" s="383">
        <f>'d3'!J172</f>
        <v>10111100</v>
      </c>
      <c r="J135" s="383">
        <f>'d3'!K172</f>
        <v>1049000</v>
      </c>
    </row>
    <row r="136" spans="1:17" ht="243" customHeight="1" thickTop="1" thickBot="1" x14ac:dyDescent="0.25">
      <c r="A136" s="384" t="s">
        <v>185</v>
      </c>
      <c r="B136" s="384" t="s">
        <v>186</v>
      </c>
      <c r="C136" s="384" t="s">
        <v>188</v>
      </c>
      <c r="D136" s="384" t="s">
        <v>189</v>
      </c>
      <c r="E136" s="488" t="s">
        <v>1035</v>
      </c>
      <c r="F136" s="488" t="s">
        <v>1036</v>
      </c>
      <c r="G136" s="383">
        <f t="shared" ref="G136:G150" si="16">H136+I136</f>
        <v>1030790</v>
      </c>
      <c r="H136" s="383">
        <f>'d3'!E174</f>
        <v>1030790</v>
      </c>
      <c r="I136" s="383">
        <f>'d3'!J174</f>
        <v>0</v>
      </c>
      <c r="J136" s="383">
        <f>'d3'!K174</f>
        <v>0</v>
      </c>
    </row>
    <row r="137" spans="1:17" ht="276" thickTop="1" thickBot="1" x14ac:dyDescent="0.25">
      <c r="A137" s="384" t="s">
        <v>190</v>
      </c>
      <c r="B137" s="384" t="s">
        <v>191</v>
      </c>
      <c r="C137" s="384" t="s">
        <v>192</v>
      </c>
      <c r="D137" s="384" t="s">
        <v>193</v>
      </c>
      <c r="E137" s="488" t="s">
        <v>1035</v>
      </c>
      <c r="F137" s="488" t="s">
        <v>1036</v>
      </c>
      <c r="G137" s="383">
        <f t="shared" si="16"/>
        <v>13966025</v>
      </c>
      <c r="H137" s="383">
        <f>'d3'!E175-H138-H139</f>
        <v>13871025</v>
      </c>
      <c r="I137" s="383">
        <f>'d3'!J175-I138-I139</f>
        <v>95000</v>
      </c>
      <c r="J137" s="383">
        <f>'d3'!K175-J138-J139</f>
        <v>0</v>
      </c>
    </row>
    <row r="138" spans="1:17" ht="230.25" thickTop="1" thickBot="1" x14ac:dyDescent="0.25">
      <c r="A138" s="384" t="s">
        <v>190</v>
      </c>
      <c r="B138" s="384" t="s">
        <v>191</v>
      </c>
      <c r="C138" s="384" t="s">
        <v>192</v>
      </c>
      <c r="D138" s="384" t="s">
        <v>193</v>
      </c>
      <c r="E138" s="171" t="s">
        <v>485</v>
      </c>
      <c r="F138" s="280" t="s">
        <v>486</v>
      </c>
      <c r="G138" s="383">
        <f>H138+I138</f>
        <v>300000</v>
      </c>
      <c r="H138" s="314">
        <f>(56000+55000)</f>
        <v>111000</v>
      </c>
      <c r="I138" s="383">
        <f>(10000+84000+28000+67000)</f>
        <v>189000</v>
      </c>
      <c r="J138" s="383">
        <f>(10000+84000+28000+67000)</f>
        <v>189000</v>
      </c>
    </row>
    <row r="139" spans="1:17" s="551" customFormat="1" ht="276" thickTop="1" thickBot="1" x14ac:dyDescent="0.25">
      <c r="A139" s="556" t="s">
        <v>190</v>
      </c>
      <c r="B139" s="556" t="s">
        <v>191</v>
      </c>
      <c r="C139" s="556" t="s">
        <v>192</v>
      </c>
      <c r="D139" s="556" t="s">
        <v>193</v>
      </c>
      <c r="E139" s="553" t="s">
        <v>1033</v>
      </c>
      <c r="F139" s="555" t="s">
        <v>1034</v>
      </c>
      <c r="G139" s="555">
        <f>H139+I139</f>
        <v>766000</v>
      </c>
      <c r="H139" s="557">
        <v>0</v>
      </c>
      <c r="I139" s="555">
        <v>766000</v>
      </c>
      <c r="J139" s="555">
        <v>766000</v>
      </c>
      <c r="K139" s="559"/>
      <c r="L139" s="559"/>
      <c r="M139" s="559"/>
      <c r="N139" s="559"/>
      <c r="O139" s="559"/>
      <c r="P139" s="559"/>
      <c r="Q139" s="559"/>
    </row>
    <row r="140" spans="1:17" ht="276" thickTop="1" thickBot="1" x14ac:dyDescent="0.25">
      <c r="A140" s="384" t="s">
        <v>194</v>
      </c>
      <c r="B140" s="384" t="s">
        <v>195</v>
      </c>
      <c r="C140" s="384" t="s">
        <v>192</v>
      </c>
      <c r="D140" s="384" t="s">
        <v>500</v>
      </c>
      <c r="E140" s="488" t="s">
        <v>1035</v>
      </c>
      <c r="F140" s="488" t="s">
        <v>1036</v>
      </c>
      <c r="G140" s="383">
        <f t="shared" si="16"/>
        <v>7193535</v>
      </c>
      <c r="H140" s="383">
        <f>'d3'!E176</f>
        <v>1948435</v>
      </c>
      <c r="I140" s="383">
        <f>'d3'!J176</f>
        <v>5245100</v>
      </c>
      <c r="J140" s="383">
        <f>'d3'!K176</f>
        <v>5164900</v>
      </c>
    </row>
    <row r="141" spans="1:17" ht="276" thickTop="1" thickBot="1" x14ac:dyDescent="0.25">
      <c r="A141" s="384" t="s">
        <v>196</v>
      </c>
      <c r="B141" s="384" t="s">
        <v>187</v>
      </c>
      <c r="C141" s="384" t="s">
        <v>197</v>
      </c>
      <c r="D141" s="384" t="s">
        <v>198</v>
      </c>
      <c r="E141" s="488" t="s">
        <v>1035</v>
      </c>
      <c r="F141" s="488" t="s">
        <v>1036</v>
      </c>
      <c r="G141" s="383">
        <f t="shared" si="16"/>
        <v>14182015</v>
      </c>
      <c r="H141" s="383">
        <f>'d3'!E177-H142</f>
        <v>13704315</v>
      </c>
      <c r="I141" s="383">
        <f>'d3'!J177-I142</f>
        <v>477700</v>
      </c>
      <c r="J141" s="383">
        <f>'d3'!K177-J142</f>
        <v>21600</v>
      </c>
    </row>
    <row r="142" spans="1:17" ht="230.25" thickTop="1" thickBot="1" x14ac:dyDescent="0.25">
      <c r="A142" s="384" t="s">
        <v>196</v>
      </c>
      <c r="B142" s="384" t="s">
        <v>187</v>
      </c>
      <c r="C142" s="384" t="s">
        <v>197</v>
      </c>
      <c r="D142" s="384" t="s">
        <v>198</v>
      </c>
      <c r="E142" s="171" t="s">
        <v>485</v>
      </c>
      <c r="F142" s="280" t="s">
        <v>486</v>
      </c>
      <c r="G142" s="383">
        <f>H142+I142</f>
        <v>149300</v>
      </c>
      <c r="H142" s="314">
        <v>24800</v>
      </c>
      <c r="I142" s="383">
        <v>124500</v>
      </c>
      <c r="J142" s="383">
        <v>124500</v>
      </c>
    </row>
    <row r="143" spans="1:17" ht="276" thickTop="1" thickBot="1" x14ac:dyDescent="0.25">
      <c r="A143" s="384" t="s">
        <v>358</v>
      </c>
      <c r="B143" s="384" t="s">
        <v>359</v>
      </c>
      <c r="C143" s="384" t="s">
        <v>200</v>
      </c>
      <c r="D143" s="384" t="s">
        <v>501</v>
      </c>
      <c r="E143" s="488" t="s">
        <v>1035</v>
      </c>
      <c r="F143" s="488" t="s">
        <v>1036</v>
      </c>
      <c r="G143" s="383">
        <f t="shared" si="16"/>
        <v>18556795</v>
      </c>
      <c r="H143" s="383">
        <f>'d3'!E179-H144</f>
        <v>18388170</v>
      </c>
      <c r="I143" s="383">
        <f>'d3'!J179-I144</f>
        <v>168625</v>
      </c>
      <c r="J143" s="383">
        <f>'d3'!K179-J144</f>
        <v>31625</v>
      </c>
    </row>
    <row r="144" spans="1:17" ht="199.5" customHeight="1" thickTop="1" thickBot="1" x14ac:dyDescent="0.25">
      <c r="A144" s="384" t="s">
        <v>358</v>
      </c>
      <c r="B144" s="384" t="s">
        <v>359</v>
      </c>
      <c r="C144" s="384" t="s">
        <v>200</v>
      </c>
      <c r="D144" s="384" t="s">
        <v>501</v>
      </c>
      <c r="E144" s="383" t="s">
        <v>716</v>
      </c>
      <c r="F144" s="383" t="s">
        <v>434</v>
      </c>
      <c r="G144" s="383">
        <f t="shared" si="16"/>
        <v>804000</v>
      </c>
      <c r="H144" s="383">
        <v>804000</v>
      </c>
      <c r="I144" s="383">
        <v>0</v>
      </c>
      <c r="J144" s="383">
        <v>0</v>
      </c>
    </row>
    <row r="145" spans="1:17" ht="246" customHeight="1" thickTop="1" thickBot="1" x14ac:dyDescent="0.25">
      <c r="A145" s="384" t="s">
        <v>360</v>
      </c>
      <c r="B145" s="384" t="s">
        <v>361</v>
      </c>
      <c r="C145" s="384" t="s">
        <v>200</v>
      </c>
      <c r="D145" s="384" t="s">
        <v>502</v>
      </c>
      <c r="E145" s="488" t="s">
        <v>1035</v>
      </c>
      <c r="F145" s="488" t="s">
        <v>1036</v>
      </c>
      <c r="G145" s="383">
        <f t="shared" si="16"/>
        <v>5887160</v>
      </c>
      <c r="H145" s="383">
        <f>'d3'!E180-H146-H147</f>
        <v>5887160</v>
      </c>
      <c r="I145" s="383">
        <f>'d3'!J180-I146-I147</f>
        <v>0</v>
      </c>
      <c r="J145" s="383">
        <f>'d3'!K180-J146-J147</f>
        <v>0</v>
      </c>
    </row>
    <row r="146" spans="1:17" ht="178.5" customHeight="1" thickTop="1" thickBot="1" x14ac:dyDescent="0.25">
      <c r="A146" s="384" t="s">
        <v>360</v>
      </c>
      <c r="B146" s="384" t="s">
        <v>361</v>
      </c>
      <c r="C146" s="384" t="s">
        <v>200</v>
      </c>
      <c r="D146" s="384" t="s">
        <v>502</v>
      </c>
      <c r="E146" s="383" t="s">
        <v>716</v>
      </c>
      <c r="F146" s="383" t="s">
        <v>434</v>
      </c>
      <c r="G146" s="383">
        <f t="shared" si="16"/>
        <v>315000</v>
      </c>
      <c r="H146" s="383">
        <v>315000</v>
      </c>
      <c r="I146" s="383">
        <v>0</v>
      </c>
      <c r="J146" s="383">
        <v>0</v>
      </c>
    </row>
    <row r="147" spans="1:17" ht="310.7" customHeight="1" thickTop="1" thickBot="1" x14ac:dyDescent="0.25">
      <c r="A147" s="384" t="s">
        <v>360</v>
      </c>
      <c r="B147" s="384" t="s">
        <v>361</v>
      </c>
      <c r="C147" s="384" t="s">
        <v>200</v>
      </c>
      <c r="D147" s="384" t="s">
        <v>502</v>
      </c>
      <c r="E147" s="489" t="s">
        <v>1033</v>
      </c>
      <c r="F147" s="488" t="s">
        <v>1034</v>
      </c>
      <c r="G147" s="383">
        <f t="shared" si="16"/>
        <v>164000</v>
      </c>
      <c r="H147" s="383">
        <v>164000</v>
      </c>
      <c r="I147" s="383">
        <v>0</v>
      </c>
      <c r="J147" s="383">
        <v>0</v>
      </c>
      <c r="K147" s="154"/>
      <c r="L147" s="154"/>
    </row>
    <row r="148" spans="1:17" s="764" customFormat="1" ht="184.5" thickTop="1" thickBot="1" x14ac:dyDescent="0.25">
      <c r="A148" s="767" t="s">
        <v>1381</v>
      </c>
      <c r="B148" s="767" t="s">
        <v>1382</v>
      </c>
      <c r="C148" s="767" t="s">
        <v>231</v>
      </c>
      <c r="D148" s="767" t="s">
        <v>1380</v>
      </c>
      <c r="E148" s="766" t="s">
        <v>1384</v>
      </c>
      <c r="F148" s="766" t="s">
        <v>1383</v>
      </c>
      <c r="G148" s="768">
        <f t="shared" si="16"/>
        <v>244140</v>
      </c>
      <c r="H148" s="768">
        <f>'d3'!E184</f>
        <v>244140</v>
      </c>
      <c r="I148" s="768">
        <f>'d3'!J184</f>
        <v>0</v>
      </c>
      <c r="J148" s="768">
        <f>'d3'!K184</f>
        <v>0</v>
      </c>
      <c r="K148" s="244"/>
      <c r="L148" s="244"/>
      <c r="M148" s="770"/>
      <c r="N148" s="770"/>
      <c r="O148" s="770"/>
      <c r="P148" s="770"/>
      <c r="Q148" s="770"/>
    </row>
    <row r="149" spans="1:17" s="551" customFormat="1" ht="310.7" customHeight="1" thickTop="1" thickBot="1" x14ac:dyDescent="0.25">
      <c r="A149" s="554" t="s">
        <v>1126</v>
      </c>
      <c r="B149" s="554" t="s">
        <v>215</v>
      </c>
      <c r="C149" s="554" t="s">
        <v>184</v>
      </c>
      <c r="D149" s="554" t="s">
        <v>36</v>
      </c>
      <c r="E149" s="305" t="s">
        <v>1029</v>
      </c>
      <c r="F149" s="555" t="s">
        <v>1030</v>
      </c>
      <c r="G149" s="555">
        <f t="shared" si="16"/>
        <v>70000</v>
      </c>
      <c r="H149" s="555">
        <f>'d3'!E185</f>
        <v>0</v>
      </c>
      <c r="I149" s="555">
        <f>'d3'!J185</f>
        <v>70000</v>
      </c>
      <c r="J149" s="560">
        <f>'d3'!K185</f>
        <v>70000</v>
      </c>
      <c r="K149" s="244"/>
      <c r="L149" s="244"/>
      <c r="M149" s="559"/>
      <c r="N149" s="559"/>
      <c r="O149" s="559"/>
      <c r="P149" s="559"/>
      <c r="Q149" s="559"/>
    </row>
    <row r="150" spans="1:17" s="239" customFormat="1" ht="230.25" thickTop="1" thickBot="1" x14ac:dyDescent="0.25">
      <c r="A150" s="385" t="s">
        <v>715</v>
      </c>
      <c r="B150" s="385" t="s">
        <v>389</v>
      </c>
      <c r="C150" s="385" t="s">
        <v>45</v>
      </c>
      <c r="D150" s="385" t="s">
        <v>390</v>
      </c>
      <c r="E150" s="305" t="s">
        <v>1029</v>
      </c>
      <c r="F150" s="485" t="s">
        <v>1030</v>
      </c>
      <c r="G150" s="383">
        <f t="shared" si="16"/>
        <v>558137</v>
      </c>
      <c r="H150" s="383">
        <f>'d3'!E188</f>
        <v>558137</v>
      </c>
      <c r="I150" s="383">
        <f>'d3'!J188</f>
        <v>0</v>
      </c>
      <c r="J150" s="383">
        <f>'d3'!K188</f>
        <v>0</v>
      </c>
      <c r="K150" s="244"/>
      <c r="L150" s="244"/>
      <c r="M150" s="240"/>
      <c r="N150" s="240"/>
      <c r="O150" s="240"/>
      <c r="P150" s="240"/>
      <c r="Q150" s="240"/>
    </row>
    <row r="151" spans="1:17" ht="163.5" customHeight="1" thickTop="1" thickBot="1" x14ac:dyDescent="0.25">
      <c r="A151" s="853" t="s">
        <v>22</v>
      </c>
      <c r="B151" s="853"/>
      <c r="C151" s="853"/>
      <c r="D151" s="854" t="s">
        <v>23</v>
      </c>
      <c r="E151" s="855"/>
      <c r="F151" s="856"/>
      <c r="G151" s="856">
        <f>G152</f>
        <v>109687174.73</v>
      </c>
      <c r="H151" s="856">
        <f t="shared" ref="H151:J151" si="17">H152</f>
        <v>98571581.530000001</v>
      </c>
      <c r="I151" s="855">
        <f t="shared" si="17"/>
        <v>11115593.199999999</v>
      </c>
      <c r="J151" s="855">
        <f t="shared" si="17"/>
        <v>8987606</v>
      </c>
      <c r="K151" s="232" t="b">
        <f>H151='d3'!E190+'d4'!F12</f>
        <v>1</v>
      </c>
      <c r="L151" s="233" t="b">
        <f>I151='d3'!J189+'d4'!G12</f>
        <v>1</v>
      </c>
      <c r="M151" s="233" t="b">
        <f>J151='d3'!K189+'d4'!H12</f>
        <v>1</v>
      </c>
    </row>
    <row r="152" spans="1:17" ht="175.7" customHeight="1" thickTop="1" thickBot="1" x14ac:dyDescent="0.25">
      <c r="A152" s="878" t="s">
        <v>21</v>
      </c>
      <c r="B152" s="878"/>
      <c r="C152" s="878"/>
      <c r="D152" s="879" t="s">
        <v>37</v>
      </c>
      <c r="E152" s="880"/>
      <c r="F152" s="880"/>
      <c r="G152" s="880">
        <f>SUM(G153:G168)</f>
        <v>109687174.73</v>
      </c>
      <c r="H152" s="880">
        <f>SUM(H153:H168)</f>
        <v>98571581.530000001</v>
      </c>
      <c r="I152" s="880">
        <f>SUM(I153:I168)</f>
        <v>11115593.199999999</v>
      </c>
      <c r="J152" s="880">
        <f>SUM(J153:J168)</f>
        <v>8987606</v>
      </c>
    </row>
    <row r="153" spans="1:17" ht="321.75" thickTop="1" thickBot="1" x14ac:dyDescent="0.25">
      <c r="A153" s="384" t="s">
        <v>201</v>
      </c>
      <c r="B153" s="384" t="s">
        <v>202</v>
      </c>
      <c r="C153" s="384" t="s">
        <v>203</v>
      </c>
      <c r="D153" s="385" t="s">
        <v>796</v>
      </c>
      <c r="E153" s="171" t="s">
        <v>718</v>
      </c>
      <c r="F153" s="383" t="s">
        <v>436</v>
      </c>
      <c r="G153" s="383">
        <f t="shared" ref="G153:G154" si="18">H153+I153</f>
        <v>5351111</v>
      </c>
      <c r="H153" s="314">
        <f>'d3'!E193</f>
        <v>5351111</v>
      </c>
      <c r="I153" s="330">
        <f>'d3'!J193</f>
        <v>0</v>
      </c>
      <c r="J153" s="383">
        <f>'d3'!K193</f>
        <v>0</v>
      </c>
    </row>
    <row r="154" spans="1:17" ht="321.75" thickTop="1" thickBot="1" x14ac:dyDescent="0.25">
      <c r="A154" s="384" t="s">
        <v>207</v>
      </c>
      <c r="B154" s="384" t="s">
        <v>208</v>
      </c>
      <c r="C154" s="384" t="s">
        <v>203</v>
      </c>
      <c r="D154" s="384" t="s">
        <v>10</v>
      </c>
      <c r="E154" s="171" t="s">
        <v>718</v>
      </c>
      <c r="F154" s="383" t="s">
        <v>436</v>
      </c>
      <c r="G154" s="383">
        <f t="shared" si="18"/>
        <v>5523432</v>
      </c>
      <c r="H154" s="314">
        <f>'d3'!E195</f>
        <v>4464475</v>
      </c>
      <c r="I154" s="330">
        <f>'d3'!J195</f>
        <v>1058957</v>
      </c>
      <c r="J154" s="383">
        <f>'d3'!K195</f>
        <v>733957</v>
      </c>
    </row>
    <row r="155" spans="1:17" ht="321.75" thickTop="1" thickBot="1" x14ac:dyDescent="0.25">
      <c r="A155" s="384" t="s">
        <v>377</v>
      </c>
      <c r="B155" s="384" t="s">
        <v>378</v>
      </c>
      <c r="C155" s="384" t="s">
        <v>203</v>
      </c>
      <c r="D155" s="384" t="s">
        <v>379</v>
      </c>
      <c r="E155" s="171" t="s">
        <v>718</v>
      </c>
      <c r="F155" s="383" t="s">
        <v>436</v>
      </c>
      <c r="G155" s="383">
        <f t="shared" ref="G155:G159" si="19">H155+I155</f>
        <v>7194871</v>
      </c>
      <c r="H155" s="314">
        <f>'d3'!E196</f>
        <v>7191871</v>
      </c>
      <c r="I155" s="330">
        <f>'d3'!J196</f>
        <v>3000</v>
      </c>
      <c r="J155" s="383">
        <f>'d3'!K196</f>
        <v>0</v>
      </c>
    </row>
    <row r="156" spans="1:17" ht="321.75" thickTop="1" thickBot="1" x14ac:dyDescent="0.25">
      <c r="A156" s="810" t="s">
        <v>46</v>
      </c>
      <c r="B156" s="810" t="s">
        <v>204</v>
      </c>
      <c r="C156" s="810" t="s">
        <v>213</v>
      </c>
      <c r="D156" s="810" t="s">
        <v>47</v>
      </c>
      <c r="E156" s="333" t="s">
        <v>718</v>
      </c>
      <c r="F156" s="811" t="s">
        <v>436</v>
      </c>
      <c r="G156" s="811">
        <f t="shared" si="19"/>
        <v>17564902</v>
      </c>
      <c r="H156" s="811">
        <f>'d3'!E199</f>
        <v>17564902</v>
      </c>
      <c r="I156" s="812">
        <f>'d3'!J199</f>
        <v>0</v>
      </c>
      <c r="J156" s="811">
        <f>'d3'!K199</f>
        <v>0</v>
      </c>
    </row>
    <row r="157" spans="1:17" ht="321.75" thickTop="1" thickBot="1" x14ac:dyDescent="0.25">
      <c r="A157" s="384" t="s">
        <v>48</v>
      </c>
      <c r="B157" s="384" t="s">
        <v>205</v>
      </c>
      <c r="C157" s="384" t="s">
        <v>213</v>
      </c>
      <c r="D157" s="384" t="s">
        <v>4</v>
      </c>
      <c r="E157" s="171" t="s">
        <v>718</v>
      </c>
      <c r="F157" s="383" t="s">
        <v>436</v>
      </c>
      <c r="G157" s="383">
        <f t="shared" si="19"/>
        <v>2409585</v>
      </c>
      <c r="H157" s="383">
        <f>'d3'!E200</f>
        <v>2409585</v>
      </c>
      <c r="I157" s="330">
        <f>'d3'!J200</f>
        <v>0</v>
      </c>
      <c r="J157" s="383">
        <f>'d3'!K200</f>
        <v>0</v>
      </c>
    </row>
    <row r="158" spans="1:17" ht="321.75" thickTop="1" thickBot="1" x14ac:dyDescent="0.25">
      <c r="A158" s="384" t="s">
        <v>49</v>
      </c>
      <c r="B158" s="384" t="s">
        <v>206</v>
      </c>
      <c r="C158" s="384" t="s">
        <v>213</v>
      </c>
      <c r="D158" s="384" t="s">
        <v>375</v>
      </c>
      <c r="E158" s="171" t="s">
        <v>718</v>
      </c>
      <c r="F158" s="383" t="s">
        <v>436</v>
      </c>
      <c r="G158" s="383">
        <f t="shared" si="19"/>
        <v>60300</v>
      </c>
      <c r="H158" s="383">
        <f>'d3'!E202</f>
        <v>60300</v>
      </c>
      <c r="I158" s="330">
        <f>'d3'!J202</f>
        <v>0</v>
      </c>
      <c r="J158" s="383">
        <f>'d3'!K202</f>
        <v>0</v>
      </c>
    </row>
    <row r="159" spans="1:17" ht="321.75" thickTop="1" thickBot="1" x14ac:dyDescent="0.25">
      <c r="A159" s="384" t="s">
        <v>28</v>
      </c>
      <c r="B159" s="384" t="s">
        <v>210</v>
      </c>
      <c r="C159" s="384" t="s">
        <v>213</v>
      </c>
      <c r="D159" s="384" t="s">
        <v>50</v>
      </c>
      <c r="E159" s="171" t="s">
        <v>718</v>
      </c>
      <c r="F159" s="383" t="s">
        <v>436</v>
      </c>
      <c r="G159" s="383">
        <f t="shared" si="19"/>
        <v>55113209</v>
      </c>
      <c r="H159" s="383">
        <f>'d3'!E204-H160</f>
        <v>47081969</v>
      </c>
      <c r="I159" s="330">
        <f>'d3'!J204-I160</f>
        <v>8031240</v>
      </c>
      <c r="J159" s="383">
        <f>'d3'!K204-J160</f>
        <v>6454995</v>
      </c>
    </row>
    <row r="160" spans="1:17" ht="230.25" thickTop="1" thickBot="1" x14ac:dyDescent="0.25">
      <c r="A160" s="384" t="s">
        <v>28</v>
      </c>
      <c r="B160" s="384" t="s">
        <v>210</v>
      </c>
      <c r="C160" s="384" t="s">
        <v>213</v>
      </c>
      <c r="D160" s="384" t="s">
        <v>50</v>
      </c>
      <c r="E160" s="171" t="s">
        <v>485</v>
      </c>
      <c r="F160" s="280" t="s">
        <v>486</v>
      </c>
      <c r="G160" s="383">
        <f>H160+I160</f>
        <v>414145</v>
      </c>
      <c r="H160" s="314">
        <f>(27100+117565+67500)</f>
        <v>212165</v>
      </c>
      <c r="I160" s="383">
        <f>(91670+32400+77910)</f>
        <v>201980</v>
      </c>
      <c r="J160" s="383">
        <f>(91670+32400+77910)</f>
        <v>201980</v>
      </c>
    </row>
    <row r="161" spans="1:17" ht="321.75" thickTop="1" thickBot="1" x14ac:dyDescent="0.25">
      <c r="A161" s="384" t="s">
        <v>29</v>
      </c>
      <c r="B161" s="384" t="s">
        <v>211</v>
      </c>
      <c r="C161" s="384" t="s">
        <v>213</v>
      </c>
      <c r="D161" s="384" t="s">
        <v>51</v>
      </c>
      <c r="E161" s="171" t="s">
        <v>718</v>
      </c>
      <c r="F161" s="383" t="s">
        <v>436</v>
      </c>
      <c r="G161" s="383">
        <f t="shared" ref="G161:G168" si="20">H161+I161</f>
        <v>9840308</v>
      </c>
      <c r="H161" s="383">
        <f>'d3'!E205</f>
        <v>9495108</v>
      </c>
      <c r="I161" s="330">
        <f>'d3'!J205</f>
        <v>345200</v>
      </c>
      <c r="J161" s="383">
        <f>'d3'!K205</f>
        <v>345200</v>
      </c>
    </row>
    <row r="162" spans="1:17" ht="321.75" thickTop="1" thickBot="1" x14ac:dyDescent="0.25">
      <c r="A162" s="396" t="s">
        <v>30</v>
      </c>
      <c r="B162" s="396" t="s">
        <v>212</v>
      </c>
      <c r="C162" s="396" t="s">
        <v>213</v>
      </c>
      <c r="D162" s="384" t="s">
        <v>31</v>
      </c>
      <c r="E162" s="171" t="s">
        <v>718</v>
      </c>
      <c r="F162" s="383" t="s">
        <v>436</v>
      </c>
      <c r="G162" s="383">
        <f t="shared" si="20"/>
        <v>768820</v>
      </c>
      <c r="H162" s="383">
        <f>'d3'!E207</f>
        <v>768820</v>
      </c>
      <c r="I162" s="330">
        <f>'d3'!J207</f>
        <v>0</v>
      </c>
      <c r="J162" s="383">
        <f>'d3'!K207</f>
        <v>0</v>
      </c>
    </row>
    <row r="163" spans="1:17" ht="321.75" thickTop="1" thickBot="1" x14ac:dyDescent="0.25">
      <c r="A163" s="396" t="s">
        <v>559</v>
      </c>
      <c r="B163" s="396" t="s">
        <v>557</v>
      </c>
      <c r="C163" s="396" t="s">
        <v>213</v>
      </c>
      <c r="D163" s="384" t="s">
        <v>558</v>
      </c>
      <c r="E163" s="171" t="s">
        <v>718</v>
      </c>
      <c r="F163" s="383" t="s">
        <v>436</v>
      </c>
      <c r="G163" s="383">
        <f t="shared" si="20"/>
        <v>1969086</v>
      </c>
      <c r="H163" s="383">
        <f>'d3'!E208</f>
        <v>1969086</v>
      </c>
      <c r="I163" s="330">
        <f>'d3'!J208</f>
        <v>0</v>
      </c>
      <c r="J163" s="330">
        <f>'d3'!K208</f>
        <v>0</v>
      </c>
    </row>
    <row r="164" spans="1:17" ht="321.75" thickTop="1" thickBot="1" x14ac:dyDescent="0.25">
      <c r="A164" s="396" t="s">
        <v>32</v>
      </c>
      <c r="B164" s="396" t="s">
        <v>214</v>
      </c>
      <c r="C164" s="396" t="s">
        <v>213</v>
      </c>
      <c r="D164" s="384" t="s">
        <v>33</v>
      </c>
      <c r="E164" s="171" t="s">
        <v>718</v>
      </c>
      <c r="F164" s="383" t="s">
        <v>436</v>
      </c>
      <c r="G164" s="383">
        <f t="shared" si="20"/>
        <v>1806765</v>
      </c>
      <c r="H164" s="383">
        <f>'d3'!E209</f>
        <v>1776765</v>
      </c>
      <c r="I164" s="330">
        <f>'d3'!J209</f>
        <v>30000</v>
      </c>
      <c r="J164" s="383">
        <f>'d3'!K209</f>
        <v>30000</v>
      </c>
    </row>
    <row r="165" spans="1:17" ht="321.75" thickTop="1" thickBot="1" x14ac:dyDescent="0.25">
      <c r="A165" s="396" t="s">
        <v>367</v>
      </c>
      <c r="B165" s="396" t="s">
        <v>366</v>
      </c>
      <c r="C165" s="396" t="s">
        <v>365</v>
      </c>
      <c r="D165" s="384" t="s">
        <v>797</v>
      </c>
      <c r="E165" s="171" t="s">
        <v>718</v>
      </c>
      <c r="F165" s="383" t="s">
        <v>436</v>
      </c>
      <c r="G165" s="383">
        <f t="shared" si="20"/>
        <v>25424.53</v>
      </c>
      <c r="H165" s="383">
        <f>'d3'!E212</f>
        <v>25424.53</v>
      </c>
      <c r="I165" s="330">
        <f>'d3'!J212</f>
        <v>0</v>
      </c>
      <c r="J165" s="330">
        <f>'d3'!K212</f>
        <v>0</v>
      </c>
    </row>
    <row r="166" spans="1:17" s="912" customFormat="1" ht="321.75" thickTop="1" thickBot="1" x14ac:dyDescent="0.25">
      <c r="A166" s="921" t="s">
        <v>1483</v>
      </c>
      <c r="B166" s="921" t="s">
        <v>336</v>
      </c>
      <c r="C166" s="921" t="s">
        <v>323</v>
      </c>
      <c r="D166" s="921" t="s">
        <v>783</v>
      </c>
      <c r="E166" s="171" t="s">
        <v>718</v>
      </c>
      <c r="F166" s="926" t="s">
        <v>436</v>
      </c>
      <c r="G166" s="926">
        <f t="shared" si="20"/>
        <v>200000</v>
      </c>
      <c r="H166" s="926">
        <f>'d3'!E216</f>
        <v>0</v>
      </c>
      <c r="I166" s="933">
        <f>'d3'!J216</f>
        <v>200000</v>
      </c>
      <c r="J166" s="933">
        <f>'d3'!K216</f>
        <v>200000</v>
      </c>
      <c r="K166" s="934"/>
      <c r="L166" s="934"/>
      <c r="M166" s="934"/>
      <c r="N166" s="934"/>
      <c r="O166" s="934"/>
      <c r="P166" s="934"/>
      <c r="Q166" s="934"/>
    </row>
    <row r="167" spans="1:17" s="290" customFormat="1" ht="321.75" thickTop="1" thickBot="1" x14ac:dyDescent="0.25">
      <c r="A167" s="385" t="s">
        <v>744</v>
      </c>
      <c r="B167" s="385" t="s">
        <v>215</v>
      </c>
      <c r="C167" s="385" t="s">
        <v>184</v>
      </c>
      <c r="D167" s="385" t="s">
        <v>36</v>
      </c>
      <c r="E167" s="171" t="s">
        <v>718</v>
      </c>
      <c r="F167" s="383" t="s">
        <v>436</v>
      </c>
      <c r="G167" s="383">
        <f t="shared" ref="G167" si="21">H167+I167</f>
        <v>1021474</v>
      </c>
      <c r="H167" s="383">
        <f>'d3'!E218</f>
        <v>0</v>
      </c>
      <c r="I167" s="330">
        <f>'d3'!J218</f>
        <v>1021474</v>
      </c>
      <c r="J167" s="330">
        <f>'d3'!K218</f>
        <v>1021474</v>
      </c>
      <c r="K167" s="291"/>
      <c r="L167" s="291"/>
      <c r="M167" s="291"/>
      <c r="N167" s="291"/>
      <c r="O167" s="291"/>
      <c r="P167" s="291"/>
      <c r="Q167" s="291"/>
    </row>
    <row r="168" spans="1:17" ht="321.75" thickTop="1" thickBot="1" x14ac:dyDescent="0.25">
      <c r="A168" s="396" t="s">
        <v>493</v>
      </c>
      <c r="B168" s="396" t="s">
        <v>495</v>
      </c>
      <c r="C168" s="396" t="s">
        <v>52</v>
      </c>
      <c r="D168" s="384" t="s">
        <v>492</v>
      </c>
      <c r="E168" s="171" t="s">
        <v>718</v>
      </c>
      <c r="F168" s="383" t="s">
        <v>436</v>
      </c>
      <c r="G168" s="383">
        <f t="shared" si="20"/>
        <v>423742.2</v>
      </c>
      <c r="H168" s="383">
        <f>'d4'!F17</f>
        <v>200000</v>
      </c>
      <c r="I168" s="330">
        <f>'d4'!G17</f>
        <v>223742.2</v>
      </c>
      <c r="J168" s="330">
        <f>'d4'!H17</f>
        <v>0</v>
      </c>
    </row>
    <row r="169" spans="1:17" s="158" customFormat="1" ht="181.5" thickTop="1" thickBot="1" x14ac:dyDescent="0.25">
      <c r="A169" s="853" t="s">
        <v>172</v>
      </c>
      <c r="B169" s="853"/>
      <c r="C169" s="853"/>
      <c r="D169" s="854" t="s">
        <v>673</v>
      </c>
      <c r="E169" s="855"/>
      <c r="F169" s="856"/>
      <c r="G169" s="856">
        <f>G170</f>
        <v>49032449</v>
      </c>
      <c r="H169" s="856">
        <f t="shared" ref="H169:J169" si="22">H170</f>
        <v>17876112</v>
      </c>
      <c r="I169" s="855">
        <f t="shared" si="22"/>
        <v>31156337</v>
      </c>
      <c r="J169" s="855">
        <f t="shared" si="22"/>
        <v>30166337</v>
      </c>
      <c r="K169" s="232" t="b">
        <f>H169='d3'!E219-'d3'!E222+'d7'!H171</f>
        <v>1</v>
      </c>
      <c r="L169" s="232" t="b">
        <f>I169='d3'!J219-'d3'!J222+I171</f>
        <v>1</v>
      </c>
      <c r="M169" s="232" t="b">
        <f>J169='d3'!K219-'d3'!K222+J171</f>
        <v>1</v>
      </c>
      <c r="N169" s="187"/>
      <c r="O169" s="187"/>
      <c r="P169" s="187"/>
      <c r="Q169" s="187"/>
    </row>
    <row r="170" spans="1:17" s="158" customFormat="1" ht="226.5" thickTop="1" thickBot="1" x14ac:dyDescent="0.25">
      <c r="A170" s="878" t="s">
        <v>173</v>
      </c>
      <c r="B170" s="878"/>
      <c r="C170" s="878"/>
      <c r="D170" s="879" t="s">
        <v>674</v>
      </c>
      <c r="E170" s="880"/>
      <c r="F170" s="880"/>
      <c r="G170" s="880">
        <f>SUM(G171:G184)</f>
        <v>49032449</v>
      </c>
      <c r="H170" s="880">
        <f>SUM(H171:H184)</f>
        <v>17876112</v>
      </c>
      <c r="I170" s="880">
        <f>SUM(I171:I184)</f>
        <v>31156337</v>
      </c>
      <c r="J170" s="880">
        <f>SUM(J171:J184)</f>
        <v>30166337</v>
      </c>
      <c r="K170" s="187"/>
      <c r="L170" s="187"/>
      <c r="M170" s="187"/>
      <c r="N170" s="187"/>
      <c r="O170" s="187"/>
      <c r="P170" s="187"/>
      <c r="Q170" s="187"/>
    </row>
    <row r="171" spans="1:17" s="158" customFormat="1" ht="230.25" thickTop="1" thickBot="1" x14ac:dyDescent="0.25">
      <c r="A171" s="279" t="s">
        <v>449</v>
      </c>
      <c r="B171" s="279" t="s">
        <v>254</v>
      </c>
      <c r="C171" s="279" t="s">
        <v>252</v>
      </c>
      <c r="D171" s="279" t="s">
        <v>253</v>
      </c>
      <c r="E171" s="305" t="s">
        <v>1386</v>
      </c>
      <c r="F171" s="485" t="s">
        <v>1024</v>
      </c>
      <c r="G171" s="289">
        <f t="shared" ref="G171:G208" si="23">H171+I171</f>
        <v>163248</v>
      </c>
      <c r="H171" s="314"/>
      <c r="I171" s="330">
        <f>(36000)+31812+95436</f>
        <v>163248</v>
      </c>
      <c r="J171" s="558">
        <f>(36000)+31812+95436</f>
        <v>163248</v>
      </c>
      <c r="K171" s="187"/>
      <c r="L171" s="187"/>
      <c r="M171" s="187"/>
      <c r="N171" s="187"/>
      <c r="O171" s="187"/>
      <c r="P171" s="187"/>
      <c r="Q171" s="187"/>
    </row>
    <row r="172" spans="1:17" s="315" customFormat="1" ht="409.6" thickTop="1" thickBot="1" x14ac:dyDescent="0.25">
      <c r="A172" s="316" t="s">
        <v>785</v>
      </c>
      <c r="B172" s="316" t="s">
        <v>388</v>
      </c>
      <c r="C172" s="316" t="s">
        <v>778</v>
      </c>
      <c r="D172" s="316" t="s">
        <v>779</v>
      </c>
      <c r="E172" s="305" t="s">
        <v>1058</v>
      </c>
      <c r="F172" s="508" t="s">
        <v>1059</v>
      </c>
      <c r="G172" s="289">
        <f t="shared" si="23"/>
        <v>12000</v>
      </c>
      <c r="H172" s="314">
        <f>'d3'!E223</f>
        <v>12000</v>
      </c>
      <c r="I172" s="330"/>
      <c r="J172" s="330"/>
      <c r="K172" s="318"/>
      <c r="L172" s="318"/>
      <c r="M172" s="318"/>
      <c r="N172" s="318"/>
      <c r="O172" s="318"/>
      <c r="P172" s="318"/>
      <c r="Q172" s="318"/>
    </row>
    <row r="173" spans="1:17" s="158" customFormat="1" ht="321.75" thickTop="1" thickBot="1" x14ac:dyDescent="0.25">
      <c r="A173" s="1024" t="s">
        <v>298</v>
      </c>
      <c r="B173" s="1024" t="s">
        <v>299</v>
      </c>
      <c r="C173" s="1024" t="s">
        <v>365</v>
      </c>
      <c r="D173" s="1024" t="s">
        <v>300</v>
      </c>
      <c r="E173" s="314" t="s">
        <v>709</v>
      </c>
      <c r="F173" s="314" t="s">
        <v>710</v>
      </c>
      <c r="G173" s="383">
        <f t="shared" si="23"/>
        <v>7328440</v>
      </c>
      <c r="H173" s="314">
        <v>350000</v>
      </c>
      <c r="I173" s="330">
        <v>6978440</v>
      </c>
      <c r="J173" s="330">
        <v>6978440</v>
      </c>
      <c r="K173" s="187"/>
      <c r="L173" s="187"/>
      <c r="M173" s="187"/>
      <c r="N173" s="187"/>
      <c r="O173" s="187"/>
      <c r="P173" s="187"/>
      <c r="Q173" s="187"/>
    </row>
    <row r="174" spans="1:17" s="158" customFormat="1" ht="276" thickTop="1" thickBot="1" x14ac:dyDescent="0.25">
      <c r="A174" s="1146"/>
      <c r="B174" s="1146"/>
      <c r="C174" s="1146"/>
      <c r="D174" s="1146"/>
      <c r="E174" s="280" t="s">
        <v>1247</v>
      </c>
      <c r="F174" s="280" t="s">
        <v>711</v>
      </c>
      <c r="G174" s="383">
        <f t="shared" si="23"/>
        <v>3090300</v>
      </c>
      <c r="H174" s="314">
        <f>'d3'!E226-'d7'!H173</f>
        <v>1784112</v>
      </c>
      <c r="I174" s="330">
        <f>'d3'!J226-'d7'!I173</f>
        <v>1306188</v>
      </c>
      <c r="J174" s="330">
        <f>'d3'!K226-'d7'!J173</f>
        <v>1306188</v>
      </c>
      <c r="K174" s="187"/>
      <c r="L174" s="187"/>
      <c r="M174" s="187"/>
      <c r="N174" s="187"/>
      <c r="O174" s="187"/>
      <c r="P174" s="187"/>
      <c r="Q174" s="187"/>
    </row>
    <row r="175" spans="1:17" s="158" customFormat="1" ht="321.75" thickTop="1" thickBot="1" x14ac:dyDescent="0.25">
      <c r="A175" s="384" t="s">
        <v>320</v>
      </c>
      <c r="B175" s="384" t="s">
        <v>321</v>
      </c>
      <c r="C175" s="384" t="s">
        <v>301</v>
      </c>
      <c r="D175" s="384" t="s">
        <v>322</v>
      </c>
      <c r="E175" s="314" t="s">
        <v>709</v>
      </c>
      <c r="F175" s="314" t="s">
        <v>710</v>
      </c>
      <c r="G175" s="383">
        <f t="shared" si="23"/>
        <v>8000000</v>
      </c>
      <c r="H175" s="314">
        <f>'d3'!E227</f>
        <v>0</v>
      </c>
      <c r="I175" s="330">
        <f>'d3'!J227</f>
        <v>8000000</v>
      </c>
      <c r="J175" s="330">
        <f>'d3'!K227</f>
        <v>8000000</v>
      </c>
      <c r="K175" s="187"/>
      <c r="L175" s="187"/>
      <c r="M175" s="187"/>
      <c r="N175" s="187"/>
      <c r="O175" s="187"/>
      <c r="P175" s="187"/>
      <c r="Q175" s="187"/>
    </row>
    <row r="176" spans="1:17" s="158" customFormat="1" ht="321.75" thickTop="1" thickBot="1" x14ac:dyDescent="0.25">
      <c r="A176" s="1024" t="s">
        <v>302</v>
      </c>
      <c r="B176" s="1024" t="s">
        <v>303</v>
      </c>
      <c r="C176" s="1024" t="s">
        <v>301</v>
      </c>
      <c r="D176" s="1024" t="s">
        <v>503</v>
      </c>
      <c r="E176" s="314" t="s">
        <v>709</v>
      </c>
      <c r="F176" s="397" t="s">
        <v>710</v>
      </c>
      <c r="G176" s="383">
        <f t="shared" si="23"/>
        <v>13156900</v>
      </c>
      <c r="H176" s="398">
        <f>'d3'!E228-H177</f>
        <v>550000</v>
      </c>
      <c r="I176" s="330">
        <f>'d3'!J228-'d7'!I177</f>
        <v>12606900</v>
      </c>
      <c r="J176" s="330">
        <f>'d3'!K228-'d7'!J177</f>
        <v>12606900</v>
      </c>
      <c r="K176" s="187"/>
      <c r="L176" s="187"/>
      <c r="M176" s="187"/>
      <c r="N176" s="187"/>
      <c r="O176" s="187"/>
      <c r="P176" s="187"/>
      <c r="Q176" s="187"/>
    </row>
    <row r="177" spans="1:17" s="158" customFormat="1" ht="230.25" thickTop="1" thickBot="1" x14ac:dyDescent="0.25">
      <c r="A177" s="1147"/>
      <c r="B177" s="1147"/>
      <c r="C177" s="1147"/>
      <c r="D177" s="1147"/>
      <c r="E177" s="333" t="s">
        <v>485</v>
      </c>
      <c r="F177" s="399" t="s">
        <v>486</v>
      </c>
      <c r="G177" s="383">
        <f t="shared" si="23"/>
        <v>461561</v>
      </c>
      <c r="H177" s="398">
        <v>0</v>
      </c>
      <c r="I177" s="330">
        <v>461561</v>
      </c>
      <c r="J177" s="330">
        <v>461561</v>
      </c>
      <c r="K177" s="187"/>
      <c r="L177" s="187"/>
      <c r="M177" s="187"/>
      <c r="N177" s="187"/>
      <c r="O177" s="187"/>
      <c r="P177" s="187"/>
      <c r="Q177" s="187"/>
    </row>
    <row r="178" spans="1:17" s="584" customFormat="1" ht="321.75" thickTop="1" thickBot="1" x14ac:dyDescent="0.25">
      <c r="A178" s="586" t="s">
        <v>1157</v>
      </c>
      <c r="B178" s="586" t="s">
        <v>316</v>
      </c>
      <c r="C178" s="586" t="s">
        <v>301</v>
      </c>
      <c r="D178" s="586" t="s">
        <v>317</v>
      </c>
      <c r="E178" s="561" t="s">
        <v>709</v>
      </c>
      <c r="F178" s="591" t="s">
        <v>710</v>
      </c>
      <c r="G178" s="585">
        <f t="shared" ref="G178" si="24">H178+I178</f>
        <v>530000</v>
      </c>
      <c r="H178" s="591">
        <f>'d3'!E229</f>
        <v>530000</v>
      </c>
      <c r="I178" s="592">
        <f>'d3'!J229</f>
        <v>0</v>
      </c>
      <c r="J178" s="592">
        <f>'d3'!K229</f>
        <v>0</v>
      </c>
      <c r="K178" s="594"/>
      <c r="L178" s="594"/>
      <c r="M178" s="594"/>
      <c r="N178" s="594"/>
      <c r="O178" s="594"/>
      <c r="P178" s="594"/>
      <c r="Q178" s="594"/>
    </row>
    <row r="179" spans="1:17" s="158" customFormat="1" ht="311.25" thickTop="1" thickBot="1" x14ac:dyDescent="0.25">
      <c r="A179" s="384" t="s">
        <v>306</v>
      </c>
      <c r="B179" s="384" t="s">
        <v>307</v>
      </c>
      <c r="C179" s="384" t="s">
        <v>301</v>
      </c>
      <c r="D179" s="384" t="s">
        <v>308</v>
      </c>
      <c r="E179" s="561" t="s">
        <v>709</v>
      </c>
      <c r="F179" s="314" t="s">
        <v>710</v>
      </c>
      <c r="G179" s="383">
        <f t="shared" si="23"/>
        <v>14100000</v>
      </c>
      <c r="H179" s="314">
        <f>'d3'!E230</f>
        <v>14100000</v>
      </c>
      <c r="I179" s="330">
        <f>'d3'!J230</f>
        <v>0</v>
      </c>
      <c r="J179" s="330">
        <f>'d3'!K230</f>
        <v>0</v>
      </c>
      <c r="K179" s="187"/>
      <c r="L179" s="187"/>
      <c r="M179" s="187"/>
      <c r="N179" s="187"/>
      <c r="O179" s="187"/>
      <c r="P179" s="187"/>
      <c r="Q179" s="187"/>
    </row>
    <row r="180" spans="1:17" s="158" customFormat="1" ht="409.6" customHeight="1" thickTop="1" thickBot="1" x14ac:dyDescent="0.25">
      <c r="A180" s="1024" t="s">
        <v>315</v>
      </c>
      <c r="B180" s="1024" t="s">
        <v>230</v>
      </c>
      <c r="C180" s="1024" t="s">
        <v>231</v>
      </c>
      <c r="D180" s="1024" t="s">
        <v>43</v>
      </c>
      <c r="E180" s="753" t="s">
        <v>1364</v>
      </c>
      <c r="F180" s="383" t="s">
        <v>719</v>
      </c>
      <c r="G180" s="1149">
        <f>H180+I180</f>
        <v>900000</v>
      </c>
      <c r="H180" s="1149">
        <f>'d3'!E233</f>
        <v>550000</v>
      </c>
      <c r="I180" s="1149">
        <f>'d3'!J233</f>
        <v>350000</v>
      </c>
      <c r="J180" s="1149">
        <f>'d3'!K233</f>
        <v>350000</v>
      </c>
      <c r="K180" s="187"/>
      <c r="L180" s="187"/>
      <c r="M180" s="187"/>
      <c r="N180" s="187"/>
      <c r="O180" s="187"/>
      <c r="P180" s="187"/>
      <c r="Q180" s="187"/>
    </row>
    <row r="181" spans="1:17" s="158" customFormat="1" ht="184.5" thickTop="1" thickBot="1" x14ac:dyDescent="0.25">
      <c r="A181" s="1147"/>
      <c r="B181" s="1147"/>
      <c r="C181" s="1147"/>
      <c r="D181" s="1147"/>
      <c r="E181" s="171" t="s">
        <v>1363</v>
      </c>
      <c r="F181" s="383" t="s">
        <v>720</v>
      </c>
      <c r="G181" s="1155"/>
      <c r="H181" s="1155"/>
      <c r="I181" s="1155"/>
      <c r="J181" s="1155"/>
      <c r="K181" s="187"/>
      <c r="L181" s="187"/>
      <c r="M181" s="187"/>
      <c r="N181" s="187"/>
      <c r="O181" s="187"/>
      <c r="P181" s="187"/>
      <c r="Q181" s="187"/>
    </row>
    <row r="182" spans="1:17" s="563" customFormat="1" ht="311.25" thickTop="1" thickBot="1" x14ac:dyDescent="0.25">
      <c r="A182" s="566" t="s">
        <v>1129</v>
      </c>
      <c r="B182" s="566" t="s">
        <v>215</v>
      </c>
      <c r="C182" s="566" t="s">
        <v>184</v>
      </c>
      <c r="D182" s="566" t="s">
        <v>36</v>
      </c>
      <c r="E182" s="561" t="s">
        <v>709</v>
      </c>
      <c r="F182" s="567" t="s">
        <v>710</v>
      </c>
      <c r="G182" s="565">
        <f t="shared" si="23"/>
        <v>300000</v>
      </c>
      <c r="H182" s="567">
        <f>'d3'!E234</f>
        <v>0</v>
      </c>
      <c r="I182" s="568">
        <f>'d3'!J234</f>
        <v>300000</v>
      </c>
      <c r="J182" s="568">
        <f>'d3'!K234</f>
        <v>300000</v>
      </c>
      <c r="K182" s="569"/>
      <c r="L182" s="569"/>
      <c r="M182" s="569"/>
      <c r="N182" s="569"/>
      <c r="O182" s="569"/>
      <c r="P182" s="569"/>
      <c r="Q182" s="569"/>
    </row>
    <row r="183" spans="1:17" s="241" customFormat="1" ht="409.6" customHeight="1" thickTop="1" thickBot="1" x14ac:dyDescent="0.7">
      <c r="A183" s="1048" t="s">
        <v>452</v>
      </c>
      <c r="B183" s="1048" t="s">
        <v>363</v>
      </c>
      <c r="C183" s="1048" t="s">
        <v>184</v>
      </c>
      <c r="D183" s="400" t="s">
        <v>473</v>
      </c>
      <c r="E183" s="1048" t="s">
        <v>1029</v>
      </c>
      <c r="F183" s="1048" t="s">
        <v>1030</v>
      </c>
      <c r="G183" s="1149">
        <f t="shared" si="23"/>
        <v>990000</v>
      </c>
      <c r="H183" s="1149">
        <f>'d3'!E236</f>
        <v>0</v>
      </c>
      <c r="I183" s="1149">
        <f>'d3'!J236</f>
        <v>990000</v>
      </c>
      <c r="J183" s="1149">
        <f>'d3'!K236</f>
        <v>0</v>
      </c>
      <c r="K183" s="242"/>
      <c r="L183" s="242"/>
      <c r="M183" s="242"/>
      <c r="N183" s="242"/>
      <c r="O183" s="242"/>
      <c r="P183" s="242"/>
      <c r="Q183" s="242"/>
    </row>
    <row r="184" spans="1:17" s="241" customFormat="1" ht="184.5" thickTop="1" thickBot="1" x14ac:dyDescent="0.25">
      <c r="A184" s="1050"/>
      <c r="B184" s="1050"/>
      <c r="C184" s="1050"/>
      <c r="D184" s="401" t="s">
        <v>474</v>
      </c>
      <c r="E184" s="1050"/>
      <c r="F184" s="1050"/>
      <c r="G184" s="1150"/>
      <c r="H184" s="1150"/>
      <c r="I184" s="1150"/>
      <c r="J184" s="1150"/>
      <c r="K184" s="242"/>
      <c r="L184" s="242"/>
      <c r="M184" s="242"/>
      <c r="N184" s="242"/>
      <c r="O184" s="242"/>
      <c r="P184" s="242"/>
      <c r="Q184" s="242"/>
    </row>
    <row r="185" spans="1:17" s="158" customFormat="1" ht="181.5" thickTop="1" thickBot="1" x14ac:dyDescent="0.25">
      <c r="A185" s="853" t="s">
        <v>641</v>
      </c>
      <c r="B185" s="853"/>
      <c r="C185" s="853"/>
      <c r="D185" s="854" t="s">
        <v>671</v>
      </c>
      <c r="E185" s="855"/>
      <c r="F185" s="856"/>
      <c r="G185" s="856">
        <f>H185+I185</f>
        <v>410292156.61000001</v>
      </c>
      <c r="H185" s="856">
        <f>H186</f>
        <v>257673449</v>
      </c>
      <c r="I185" s="855">
        <f>I186</f>
        <v>152618707.61000001</v>
      </c>
      <c r="J185" s="855">
        <f>J186</f>
        <v>150821170.57999998</v>
      </c>
      <c r="K185" s="232" t="b">
        <f>H185='d3'!E239-'d3'!E241+'d7'!H187</f>
        <v>1</v>
      </c>
      <c r="L185" s="232" t="b">
        <f>I185='d3'!J239-'d3'!J241+'d7'!I187</f>
        <v>1</v>
      </c>
      <c r="M185" s="232" t="b">
        <f>J185='d3'!K239-'d3'!K241+'d7'!J187</f>
        <v>1</v>
      </c>
      <c r="N185" s="187"/>
      <c r="O185" s="187"/>
      <c r="P185" s="187"/>
      <c r="Q185" s="187"/>
    </row>
    <row r="186" spans="1:17" s="158" customFormat="1" ht="207.75" customHeight="1" thickTop="1" thickBot="1" x14ac:dyDescent="0.25">
      <c r="A186" s="878" t="s">
        <v>642</v>
      </c>
      <c r="B186" s="878"/>
      <c r="C186" s="878"/>
      <c r="D186" s="879" t="s">
        <v>672</v>
      </c>
      <c r="E186" s="880"/>
      <c r="F186" s="880"/>
      <c r="G186" s="880">
        <f>SUM(G187:G208)</f>
        <v>410292156.60999995</v>
      </c>
      <c r="H186" s="880">
        <f>SUM(H187:H208)</f>
        <v>257673449</v>
      </c>
      <c r="I186" s="880">
        <f>SUM(I187:I208)</f>
        <v>152618707.61000001</v>
      </c>
      <c r="J186" s="880">
        <f>SUM(J187:J208)</f>
        <v>150821170.57999998</v>
      </c>
      <c r="K186" s="187"/>
      <c r="L186" s="187"/>
      <c r="M186" s="187"/>
      <c r="N186" s="187"/>
      <c r="O186" s="187"/>
      <c r="P186" s="187"/>
      <c r="Q186" s="187"/>
    </row>
    <row r="187" spans="1:17" s="158" customFormat="1" ht="340.5" customHeight="1" thickTop="1" thickBot="1" x14ac:dyDescent="0.25">
      <c r="A187" s="325" t="s">
        <v>643</v>
      </c>
      <c r="B187" s="325" t="s">
        <v>254</v>
      </c>
      <c r="C187" s="325" t="s">
        <v>252</v>
      </c>
      <c r="D187" s="325" t="s">
        <v>249</v>
      </c>
      <c r="E187" s="305" t="s">
        <v>1386</v>
      </c>
      <c r="F187" s="485" t="s">
        <v>1024</v>
      </c>
      <c r="G187" s="328">
        <f t="shared" si="23"/>
        <v>144000</v>
      </c>
      <c r="H187" s="328">
        <v>0</v>
      </c>
      <c r="I187" s="328">
        <v>144000</v>
      </c>
      <c r="J187" s="328">
        <v>144000</v>
      </c>
      <c r="K187" s="187"/>
      <c r="L187" s="187"/>
      <c r="M187" s="187"/>
      <c r="N187" s="187"/>
      <c r="O187" s="187"/>
      <c r="P187" s="187"/>
      <c r="Q187" s="187"/>
    </row>
    <row r="188" spans="1:17" s="319" customFormat="1" ht="409.5" customHeight="1" thickTop="1" thickBot="1" x14ac:dyDescent="0.25">
      <c r="A188" s="320" t="s">
        <v>787</v>
      </c>
      <c r="B188" s="320" t="s">
        <v>388</v>
      </c>
      <c r="C188" s="320" t="s">
        <v>778</v>
      </c>
      <c r="D188" s="320" t="s">
        <v>779</v>
      </c>
      <c r="E188" s="305" t="s">
        <v>1058</v>
      </c>
      <c r="F188" s="508" t="s">
        <v>1059</v>
      </c>
      <c r="G188" s="289">
        <f t="shared" ref="G188" si="25">H188+I188</f>
        <v>8000</v>
      </c>
      <c r="H188" s="314">
        <f>'d3'!E242</f>
        <v>8000</v>
      </c>
      <c r="I188" s="330"/>
      <c r="J188" s="330"/>
      <c r="K188" s="321"/>
      <c r="L188" s="321"/>
      <c r="M188" s="321"/>
      <c r="N188" s="321"/>
      <c r="O188" s="321"/>
      <c r="P188" s="321"/>
      <c r="Q188" s="321"/>
    </row>
    <row r="189" spans="1:17" s="158" customFormat="1" ht="321.75" thickTop="1" thickBot="1" x14ac:dyDescent="0.25">
      <c r="A189" s="384" t="s">
        <v>644</v>
      </c>
      <c r="B189" s="384" t="s">
        <v>45</v>
      </c>
      <c r="C189" s="384" t="s">
        <v>44</v>
      </c>
      <c r="D189" s="384" t="s">
        <v>266</v>
      </c>
      <c r="E189" s="314" t="s">
        <v>709</v>
      </c>
      <c r="F189" s="314" t="s">
        <v>710</v>
      </c>
      <c r="G189" s="383">
        <f t="shared" si="23"/>
        <v>100000</v>
      </c>
      <c r="H189" s="383">
        <f>'d3'!E243</f>
        <v>100000</v>
      </c>
      <c r="I189" s="383">
        <f>'d3'!J243</f>
        <v>0</v>
      </c>
      <c r="J189" s="383">
        <f>'d3'!K243</f>
        <v>0</v>
      </c>
      <c r="K189" s="187"/>
      <c r="L189" s="187"/>
      <c r="M189" s="187"/>
      <c r="N189" s="187"/>
      <c r="O189" s="187"/>
      <c r="P189" s="187"/>
      <c r="Q189" s="187"/>
    </row>
    <row r="190" spans="1:17" s="158" customFormat="1" ht="321.75" thickTop="1" thickBot="1" x14ac:dyDescent="0.25">
      <c r="A190" s="384" t="s">
        <v>645</v>
      </c>
      <c r="B190" s="384" t="s">
        <v>403</v>
      </c>
      <c r="C190" s="384" t="s">
        <v>301</v>
      </c>
      <c r="D190" s="384" t="s">
        <v>404</v>
      </c>
      <c r="E190" s="314" t="s">
        <v>709</v>
      </c>
      <c r="F190" s="314" t="s">
        <v>710</v>
      </c>
      <c r="G190" s="383">
        <f t="shared" si="23"/>
        <v>31000000</v>
      </c>
      <c r="H190" s="314">
        <f>'d3'!E246</f>
        <v>31000000</v>
      </c>
      <c r="I190" s="330">
        <f>'d3'!J246</f>
        <v>0</v>
      </c>
      <c r="J190" s="330">
        <f>'d3'!K246</f>
        <v>0</v>
      </c>
      <c r="K190" s="187"/>
      <c r="L190" s="187"/>
      <c r="M190" s="187"/>
      <c r="N190" s="187"/>
      <c r="O190" s="187"/>
      <c r="P190" s="187"/>
      <c r="Q190" s="187"/>
    </row>
    <row r="191" spans="1:17" s="158" customFormat="1" ht="321.75" thickTop="1" thickBot="1" x14ac:dyDescent="0.25">
      <c r="A191" s="384" t="s">
        <v>646</v>
      </c>
      <c r="B191" s="384" t="s">
        <v>304</v>
      </c>
      <c r="C191" s="384" t="s">
        <v>301</v>
      </c>
      <c r="D191" s="384" t="s">
        <v>305</v>
      </c>
      <c r="E191" s="314" t="s">
        <v>709</v>
      </c>
      <c r="F191" s="314" t="s">
        <v>710</v>
      </c>
      <c r="G191" s="383">
        <f t="shared" si="23"/>
        <v>3561000</v>
      </c>
      <c r="H191" s="314">
        <f>'d3'!E247</f>
        <v>3561000</v>
      </c>
      <c r="I191" s="330">
        <f>'d3'!J247</f>
        <v>0</v>
      </c>
      <c r="J191" s="330">
        <f>'d3'!K247</f>
        <v>0</v>
      </c>
      <c r="K191" s="187"/>
      <c r="L191" s="187"/>
      <c r="M191" s="187"/>
      <c r="N191" s="187"/>
      <c r="O191" s="187"/>
      <c r="P191" s="187"/>
      <c r="Q191" s="187"/>
    </row>
    <row r="192" spans="1:17" s="158" customFormat="1" ht="276" customHeight="1" thickTop="1" thickBot="1" x14ac:dyDescent="0.25">
      <c r="A192" s="1048" t="s">
        <v>647</v>
      </c>
      <c r="B192" s="1048" t="s">
        <v>316</v>
      </c>
      <c r="C192" s="1048" t="s">
        <v>301</v>
      </c>
      <c r="D192" s="1048" t="s">
        <v>317</v>
      </c>
      <c r="E192" s="314" t="s">
        <v>709</v>
      </c>
      <c r="F192" s="314" t="s">
        <v>710</v>
      </c>
      <c r="G192" s="1055">
        <f t="shared" si="23"/>
        <v>3430000</v>
      </c>
      <c r="H192" s="1055">
        <f>'d3'!E248</f>
        <v>3430000</v>
      </c>
      <c r="I192" s="1055">
        <f>'d3'!J248</f>
        <v>0</v>
      </c>
      <c r="J192" s="1055">
        <f>'d3'!K248</f>
        <v>0</v>
      </c>
      <c r="K192" s="187"/>
      <c r="L192" s="187"/>
      <c r="M192" s="187"/>
      <c r="N192" s="187"/>
      <c r="O192" s="187"/>
      <c r="P192" s="187"/>
      <c r="Q192" s="187"/>
    </row>
    <row r="193" spans="1:17" s="158" customFormat="1" ht="230.25" hidden="1" thickTop="1" thickBot="1" x14ac:dyDescent="0.25">
      <c r="A193" s="1048"/>
      <c r="B193" s="1048"/>
      <c r="C193" s="1048"/>
      <c r="D193" s="1048"/>
      <c r="E193" s="490" t="s">
        <v>1050</v>
      </c>
      <c r="F193" s="488" t="s">
        <v>1048</v>
      </c>
      <c r="G193" s="1145"/>
      <c r="H193" s="1145"/>
      <c r="I193" s="1145"/>
      <c r="J193" s="1145"/>
      <c r="K193" s="187"/>
      <c r="L193" s="187"/>
      <c r="M193" s="187"/>
      <c r="N193" s="187"/>
      <c r="O193" s="187"/>
      <c r="P193" s="187"/>
      <c r="Q193" s="187"/>
    </row>
    <row r="194" spans="1:17" s="158" customFormat="1" ht="230.25" thickTop="1" thickBot="1" x14ac:dyDescent="0.25">
      <c r="A194" s="1024" t="s">
        <v>648</v>
      </c>
      <c r="B194" s="1024">
        <v>6030</v>
      </c>
      <c r="C194" s="1024" t="s">
        <v>301</v>
      </c>
      <c r="D194" s="1024" t="s">
        <v>308</v>
      </c>
      <c r="E194" s="314" t="s">
        <v>712</v>
      </c>
      <c r="F194" s="280" t="s">
        <v>1047</v>
      </c>
      <c r="G194" s="1055">
        <f t="shared" si="23"/>
        <v>177134181</v>
      </c>
      <c r="H194" s="1055">
        <f>'d3'!E249-H196</f>
        <v>161065650</v>
      </c>
      <c r="I194" s="1055">
        <f>'d3'!J249-I196</f>
        <v>16068531</v>
      </c>
      <c r="J194" s="1055">
        <f>'d3'!K249-J196</f>
        <v>16068531</v>
      </c>
      <c r="K194" s="187"/>
      <c r="L194" s="187"/>
      <c r="M194" s="187"/>
      <c r="N194" s="187"/>
      <c r="O194" s="187"/>
      <c r="P194" s="187"/>
      <c r="Q194" s="187"/>
    </row>
    <row r="195" spans="1:17" s="158" customFormat="1" ht="321.75" thickTop="1" thickBot="1" x14ac:dyDescent="0.25">
      <c r="A195" s="1146"/>
      <c r="B195" s="1146"/>
      <c r="C195" s="1146"/>
      <c r="D195" s="1146"/>
      <c r="E195" s="314" t="s">
        <v>709</v>
      </c>
      <c r="F195" s="280" t="s">
        <v>710</v>
      </c>
      <c r="G195" s="1145">
        <f t="shared" si="23"/>
        <v>0</v>
      </c>
      <c r="H195" s="1145"/>
      <c r="I195" s="1145"/>
      <c r="J195" s="1145"/>
      <c r="K195" s="187"/>
      <c r="L195" s="187"/>
      <c r="M195" s="187"/>
      <c r="N195" s="187"/>
      <c r="O195" s="187"/>
      <c r="P195" s="187"/>
      <c r="Q195" s="187"/>
    </row>
    <row r="196" spans="1:17" s="487" customFormat="1" ht="230.25" thickTop="1" thickBot="1" x14ac:dyDescent="0.25">
      <c r="A196" s="1026"/>
      <c r="B196" s="1026"/>
      <c r="C196" s="1026"/>
      <c r="D196" s="1026"/>
      <c r="E196" s="490" t="s">
        <v>1042</v>
      </c>
      <c r="F196" s="488" t="s">
        <v>1041</v>
      </c>
      <c r="G196" s="488">
        <f>H196+I196</f>
        <v>5973255</v>
      </c>
      <c r="H196" s="491">
        <v>5973255</v>
      </c>
      <c r="I196" s="491"/>
      <c r="J196" s="491"/>
      <c r="K196" s="492"/>
      <c r="L196" s="492"/>
      <c r="M196" s="492"/>
      <c r="N196" s="492"/>
      <c r="O196" s="492"/>
      <c r="P196" s="492"/>
      <c r="Q196" s="492"/>
    </row>
    <row r="197" spans="1:17" s="158" customFormat="1" ht="321.75" thickTop="1" thickBot="1" x14ac:dyDescent="0.25">
      <c r="A197" s="384" t="s">
        <v>649</v>
      </c>
      <c r="B197" s="384" t="s">
        <v>324</v>
      </c>
      <c r="C197" s="384" t="s">
        <v>323</v>
      </c>
      <c r="D197" s="384" t="s">
        <v>506</v>
      </c>
      <c r="E197" s="314" t="s">
        <v>709</v>
      </c>
      <c r="F197" s="314" t="s">
        <v>710</v>
      </c>
      <c r="G197" s="383">
        <f t="shared" si="23"/>
        <v>5950000</v>
      </c>
      <c r="H197" s="314">
        <f>'d3'!E252</f>
        <v>0</v>
      </c>
      <c r="I197" s="330">
        <f>'d3'!J252</f>
        <v>5950000</v>
      </c>
      <c r="J197" s="330">
        <f>'d3'!K252</f>
        <v>5950000</v>
      </c>
      <c r="K197" s="187"/>
      <c r="L197" s="187"/>
      <c r="M197" s="187"/>
      <c r="N197" s="187"/>
      <c r="O197" s="187"/>
      <c r="P197" s="187"/>
      <c r="Q197" s="187"/>
    </row>
    <row r="198" spans="1:17" s="158" customFormat="1" ht="184.5" thickTop="1" thickBot="1" x14ac:dyDescent="0.25">
      <c r="A198" s="1048" t="s">
        <v>650</v>
      </c>
      <c r="B198" s="1048" t="s">
        <v>312</v>
      </c>
      <c r="C198" s="1048" t="s">
        <v>314</v>
      </c>
      <c r="D198" s="1048" t="s">
        <v>313</v>
      </c>
      <c r="E198" s="314" t="s">
        <v>1049</v>
      </c>
      <c r="F198" s="314" t="s">
        <v>1066</v>
      </c>
      <c r="G198" s="1143">
        <f>H198+I198</f>
        <v>114743594.03</v>
      </c>
      <c r="H198" s="1143">
        <f>'d3'!E255</f>
        <v>50079366</v>
      </c>
      <c r="I198" s="1144">
        <f>'d3'!J255</f>
        <v>64664228.030000001</v>
      </c>
      <c r="J198" s="1144">
        <f>'d3'!K255</f>
        <v>64537213</v>
      </c>
      <c r="K198" s="187"/>
      <c r="L198" s="187"/>
      <c r="M198" s="187"/>
      <c r="N198" s="187"/>
      <c r="O198" s="187"/>
      <c r="P198" s="187"/>
      <c r="Q198" s="187"/>
    </row>
    <row r="199" spans="1:17" s="158" customFormat="1" ht="321.75" thickTop="1" thickBot="1" x14ac:dyDescent="0.25">
      <c r="A199" s="1048"/>
      <c r="B199" s="1048"/>
      <c r="C199" s="1048"/>
      <c r="D199" s="1048"/>
      <c r="E199" s="314" t="s">
        <v>709</v>
      </c>
      <c r="F199" s="314" t="s">
        <v>710</v>
      </c>
      <c r="G199" s="1143">
        <f t="shared" si="23"/>
        <v>0</v>
      </c>
      <c r="H199" s="1143"/>
      <c r="I199" s="1144"/>
      <c r="J199" s="1144"/>
      <c r="K199" s="187"/>
      <c r="L199" s="187"/>
      <c r="M199" s="187"/>
      <c r="N199" s="187"/>
      <c r="O199" s="187"/>
      <c r="P199" s="187"/>
      <c r="Q199" s="187"/>
    </row>
    <row r="200" spans="1:17" s="158" customFormat="1" ht="230.25" thickTop="1" thickBot="1" x14ac:dyDescent="0.25">
      <c r="A200" s="1048" t="s">
        <v>651</v>
      </c>
      <c r="B200" s="1048" t="s">
        <v>230</v>
      </c>
      <c r="C200" s="1048" t="s">
        <v>231</v>
      </c>
      <c r="D200" s="1048" t="s">
        <v>43</v>
      </c>
      <c r="E200" s="305" t="s">
        <v>1029</v>
      </c>
      <c r="F200" s="485" t="s">
        <v>1030</v>
      </c>
      <c r="G200" s="1143">
        <f t="shared" si="23"/>
        <v>20549522.579999998</v>
      </c>
      <c r="H200" s="1143">
        <f>'d3'!E257</f>
        <v>0</v>
      </c>
      <c r="I200" s="1143">
        <f>'d3'!J257</f>
        <v>20549522.579999998</v>
      </c>
      <c r="J200" s="1143">
        <f>'d3'!K257</f>
        <v>20549522.579999998</v>
      </c>
      <c r="K200" s="187"/>
      <c r="L200" s="187"/>
      <c r="M200" s="187"/>
      <c r="N200" s="187"/>
      <c r="O200" s="187"/>
      <c r="P200" s="187"/>
      <c r="Q200" s="187"/>
    </row>
    <row r="201" spans="1:17" s="158" customFormat="1" ht="321.75" thickTop="1" thickBot="1" x14ac:dyDescent="0.25">
      <c r="A201" s="1048"/>
      <c r="B201" s="1048"/>
      <c r="C201" s="1048"/>
      <c r="D201" s="1048"/>
      <c r="E201" s="314" t="s">
        <v>709</v>
      </c>
      <c r="F201" s="314" t="s">
        <v>710</v>
      </c>
      <c r="G201" s="1143">
        <f t="shared" si="23"/>
        <v>0</v>
      </c>
      <c r="H201" s="1143"/>
      <c r="I201" s="1143"/>
      <c r="J201" s="1143"/>
      <c r="K201" s="187"/>
      <c r="L201" s="187"/>
      <c r="M201" s="187"/>
      <c r="N201" s="187"/>
      <c r="O201" s="187"/>
      <c r="P201" s="187"/>
      <c r="Q201" s="187"/>
    </row>
    <row r="202" spans="1:17" s="158" customFormat="1" ht="276" customHeight="1" thickTop="1" thickBot="1" x14ac:dyDescent="0.25">
      <c r="A202" s="1048" t="s">
        <v>652</v>
      </c>
      <c r="B202" s="1048" t="s">
        <v>215</v>
      </c>
      <c r="C202" s="1048" t="s">
        <v>184</v>
      </c>
      <c r="D202" s="1048" t="s">
        <v>36</v>
      </c>
      <c r="E202" s="314" t="s">
        <v>709</v>
      </c>
      <c r="F202" s="314" t="s">
        <v>710</v>
      </c>
      <c r="G202" s="1144">
        <f t="shared" si="23"/>
        <v>43539904</v>
      </c>
      <c r="H202" s="1143">
        <f>'d3'!E258</f>
        <v>0</v>
      </c>
      <c r="I202" s="1144">
        <f>'d3'!J258</f>
        <v>43539904</v>
      </c>
      <c r="J202" s="1144">
        <f>'d3'!K258</f>
        <v>43539904</v>
      </c>
      <c r="K202" s="187"/>
      <c r="L202" s="187"/>
      <c r="M202" s="187"/>
      <c r="N202" s="187"/>
      <c r="O202" s="187"/>
      <c r="P202" s="187"/>
      <c r="Q202" s="187"/>
    </row>
    <row r="203" spans="1:17" s="158" customFormat="1" ht="230.25" thickTop="1" thickBot="1" x14ac:dyDescent="0.25">
      <c r="A203" s="1048"/>
      <c r="B203" s="1048"/>
      <c r="C203" s="1048"/>
      <c r="D203" s="1048"/>
      <c r="E203" s="495" t="s">
        <v>1050</v>
      </c>
      <c r="F203" s="494" t="s">
        <v>1048</v>
      </c>
      <c r="G203" s="1144">
        <f t="shared" si="23"/>
        <v>0</v>
      </c>
      <c r="H203" s="1143"/>
      <c r="I203" s="1144"/>
      <c r="J203" s="1144"/>
      <c r="K203" s="187"/>
      <c r="L203" s="187"/>
      <c r="M203" s="187"/>
      <c r="N203" s="187"/>
      <c r="O203" s="187"/>
      <c r="P203" s="187"/>
      <c r="Q203" s="187"/>
    </row>
    <row r="204" spans="1:17" s="158" customFormat="1" ht="409.6" customHeight="1" thickTop="1" thickBot="1" x14ac:dyDescent="0.7">
      <c r="A204" s="1048" t="s">
        <v>653</v>
      </c>
      <c r="B204" s="1048" t="s">
        <v>363</v>
      </c>
      <c r="C204" s="1048" t="s">
        <v>184</v>
      </c>
      <c r="D204" s="400" t="s">
        <v>473</v>
      </c>
      <c r="E204" s="1048" t="s">
        <v>1029</v>
      </c>
      <c r="F204" s="1048" t="s">
        <v>1030</v>
      </c>
      <c r="G204" s="1055">
        <f t="shared" si="23"/>
        <v>1670522</v>
      </c>
      <c r="H204" s="1055">
        <f>'d3'!E260</f>
        <v>0</v>
      </c>
      <c r="I204" s="1055">
        <f>'d3'!J260</f>
        <v>1670522</v>
      </c>
      <c r="J204" s="1055">
        <f>'d3'!K260</f>
        <v>0</v>
      </c>
      <c r="K204" s="187"/>
      <c r="L204" s="187"/>
      <c r="M204" s="187"/>
      <c r="N204" s="187"/>
      <c r="O204" s="187"/>
      <c r="P204" s="187"/>
      <c r="Q204" s="187"/>
    </row>
    <row r="205" spans="1:17" s="158" customFormat="1" ht="184.5" thickTop="1" thickBot="1" x14ac:dyDescent="0.25">
      <c r="A205" s="1050"/>
      <c r="B205" s="1050"/>
      <c r="C205" s="1050"/>
      <c r="D205" s="401" t="s">
        <v>474</v>
      </c>
      <c r="E205" s="1050"/>
      <c r="F205" s="1050"/>
      <c r="G205" s="1050">
        <f t="shared" si="23"/>
        <v>0</v>
      </c>
      <c r="H205" s="1050"/>
      <c r="I205" s="1050"/>
      <c r="J205" s="1050"/>
      <c r="K205" s="187"/>
      <c r="L205" s="187"/>
      <c r="M205" s="187"/>
      <c r="N205" s="187"/>
      <c r="O205" s="187"/>
      <c r="P205" s="187"/>
      <c r="Q205" s="187"/>
    </row>
    <row r="206" spans="1:17" s="158" customFormat="1" ht="409.6" thickTop="1" thickBot="1" x14ac:dyDescent="0.25">
      <c r="A206" s="384" t="s">
        <v>654</v>
      </c>
      <c r="B206" s="384" t="s">
        <v>565</v>
      </c>
      <c r="C206" s="384" t="s">
        <v>269</v>
      </c>
      <c r="D206" s="337" t="s">
        <v>566</v>
      </c>
      <c r="E206" s="486" t="s">
        <v>1027</v>
      </c>
      <c r="F206" s="485" t="s">
        <v>1028</v>
      </c>
      <c r="G206" s="383">
        <f t="shared" si="23"/>
        <v>108400</v>
      </c>
      <c r="H206" s="314">
        <f>'d3'!E264</f>
        <v>108400</v>
      </c>
      <c r="I206" s="330">
        <f>'d3'!J264</f>
        <v>0</v>
      </c>
      <c r="J206" s="330">
        <f>'d3'!K264</f>
        <v>0</v>
      </c>
      <c r="K206" s="187"/>
      <c r="L206" s="187"/>
      <c r="M206" s="187"/>
      <c r="N206" s="187"/>
      <c r="O206" s="187"/>
      <c r="P206" s="187"/>
      <c r="Q206" s="187"/>
    </row>
    <row r="207" spans="1:17" s="158" customFormat="1" ht="409.6" thickTop="1" thickBot="1" x14ac:dyDescent="0.25">
      <c r="A207" s="384" t="s">
        <v>655</v>
      </c>
      <c r="B207" s="384" t="s">
        <v>268</v>
      </c>
      <c r="C207" s="384" t="s">
        <v>269</v>
      </c>
      <c r="D207" s="384" t="s">
        <v>267</v>
      </c>
      <c r="E207" s="490" t="s">
        <v>1027</v>
      </c>
      <c r="F207" s="488" t="s">
        <v>1028</v>
      </c>
      <c r="G207" s="383">
        <f t="shared" si="23"/>
        <v>2379778</v>
      </c>
      <c r="H207" s="314">
        <f>'d3'!E265</f>
        <v>2347778</v>
      </c>
      <c r="I207" s="330">
        <f>'d3'!J265</f>
        <v>32000</v>
      </c>
      <c r="J207" s="330">
        <f>'d3'!K265</f>
        <v>32000</v>
      </c>
      <c r="K207" s="187"/>
      <c r="L207" s="187"/>
      <c r="M207" s="187"/>
      <c r="N207" s="187"/>
      <c r="O207" s="187"/>
      <c r="P207" s="187"/>
      <c r="Q207" s="187"/>
    </row>
    <row r="208" spans="1:17" s="158" customFormat="1" ht="409.6" hidden="1" thickTop="1" thickBot="1" x14ac:dyDescent="0.25">
      <c r="A208" s="384" t="s">
        <v>656</v>
      </c>
      <c r="B208" s="384" t="s">
        <v>657</v>
      </c>
      <c r="C208" s="384" t="s">
        <v>269</v>
      </c>
      <c r="D208" s="384" t="s">
        <v>658</v>
      </c>
      <c r="E208" s="490" t="s">
        <v>1027</v>
      </c>
      <c r="F208" s="488" t="s">
        <v>1028</v>
      </c>
      <c r="G208" s="383">
        <f t="shared" si="23"/>
        <v>0</v>
      </c>
      <c r="H208" s="314">
        <f>'d3'!E266</f>
        <v>0</v>
      </c>
      <c r="I208" s="330">
        <f>'d3'!J266</f>
        <v>0</v>
      </c>
      <c r="J208" s="330">
        <f>'d3'!K266</f>
        <v>0</v>
      </c>
      <c r="K208" s="187"/>
      <c r="L208" s="187"/>
      <c r="M208" s="187"/>
      <c r="N208" s="187"/>
      <c r="O208" s="187"/>
      <c r="P208" s="187"/>
      <c r="Q208" s="187"/>
    </row>
    <row r="209" spans="1:17" ht="181.5" thickTop="1" thickBot="1" x14ac:dyDescent="0.25">
      <c r="A209" s="853" t="s">
        <v>25</v>
      </c>
      <c r="B209" s="853"/>
      <c r="C209" s="853"/>
      <c r="D209" s="854" t="s">
        <v>1067</v>
      </c>
      <c r="E209" s="855"/>
      <c r="F209" s="856"/>
      <c r="G209" s="856">
        <f>G210</f>
        <v>265305566.50999999</v>
      </c>
      <c r="H209" s="856">
        <f>H210</f>
        <v>155000</v>
      </c>
      <c r="I209" s="855">
        <f>I210</f>
        <v>265150566.50999999</v>
      </c>
      <c r="J209" s="855">
        <f>J210</f>
        <v>263650566.50999999</v>
      </c>
    </row>
    <row r="210" spans="1:17" ht="316.5" customHeight="1" thickTop="1" thickBot="1" x14ac:dyDescent="0.25">
      <c r="A210" s="878" t="s">
        <v>26</v>
      </c>
      <c r="B210" s="878"/>
      <c r="C210" s="878"/>
      <c r="D210" s="879" t="s">
        <v>1068</v>
      </c>
      <c r="E210" s="880"/>
      <c r="F210" s="880"/>
      <c r="G210" s="880">
        <f>SUM(G211:G222)</f>
        <v>265305566.50999999</v>
      </c>
      <c r="H210" s="880">
        <f>SUM(H211:H222)</f>
        <v>155000</v>
      </c>
      <c r="I210" s="880">
        <f>SUM(I211:I222)</f>
        <v>265150566.50999999</v>
      </c>
      <c r="J210" s="880">
        <f>SUM(J211:J222)</f>
        <v>263650566.50999999</v>
      </c>
      <c r="K210" s="232" t="b">
        <f>H210='d3'!E268-'d3'!E270</f>
        <v>1</v>
      </c>
      <c r="L210" s="233" t="b">
        <f>I210='d3'!J268</f>
        <v>1</v>
      </c>
      <c r="M210" s="233" t="b">
        <f>J210='d3'!K268</f>
        <v>1</v>
      </c>
    </row>
    <row r="211" spans="1:17" s="319" customFormat="1" ht="409.5" customHeight="1" thickTop="1" thickBot="1" x14ac:dyDescent="0.25">
      <c r="A211" s="320" t="s">
        <v>788</v>
      </c>
      <c r="B211" s="320" t="s">
        <v>388</v>
      </c>
      <c r="C211" s="320" t="s">
        <v>778</v>
      </c>
      <c r="D211" s="320" t="s">
        <v>779</v>
      </c>
      <c r="E211" s="305" t="s">
        <v>1058</v>
      </c>
      <c r="F211" s="508" t="s">
        <v>1059</v>
      </c>
      <c r="G211" s="289">
        <f t="shared" ref="G211:G212" si="26">H211+I211</f>
        <v>5000</v>
      </c>
      <c r="H211" s="314">
        <f>'d3'!E271</f>
        <v>5000</v>
      </c>
      <c r="I211" s="330"/>
      <c r="J211" s="330"/>
      <c r="K211" s="334"/>
      <c r="L211" s="334"/>
      <c r="M211" s="334"/>
      <c r="N211" s="321"/>
      <c r="O211" s="321"/>
      <c r="P211" s="321"/>
      <c r="Q211" s="321"/>
    </row>
    <row r="212" spans="1:17" s="584" customFormat="1" ht="230.25" thickTop="1" thickBot="1" x14ac:dyDescent="0.25">
      <c r="A212" s="590" t="s">
        <v>1154</v>
      </c>
      <c r="B212" s="590" t="s">
        <v>45</v>
      </c>
      <c r="C212" s="590" t="s">
        <v>44</v>
      </c>
      <c r="D212" s="590" t="s">
        <v>266</v>
      </c>
      <c r="E212" s="305" t="s">
        <v>1029</v>
      </c>
      <c r="F212" s="585" t="s">
        <v>1030</v>
      </c>
      <c r="G212" s="585">
        <f t="shared" si="26"/>
        <v>150000</v>
      </c>
      <c r="H212" s="591">
        <f>'d3'!E272</f>
        <v>150000</v>
      </c>
      <c r="I212" s="592">
        <f>'d3'!J272</f>
        <v>0</v>
      </c>
      <c r="J212" s="592">
        <f>'d3'!K272</f>
        <v>0</v>
      </c>
      <c r="K212" s="334"/>
      <c r="L212" s="334"/>
      <c r="M212" s="334"/>
      <c r="N212" s="594"/>
      <c r="O212" s="594"/>
      <c r="P212" s="594"/>
      <c r="Q212" s="594"/>
    </row>
    <row r="213" spans="1:17" s="79" customFormat="1" ht="321.75" thickTop="1" thickBot="1" x14ac:dyDescent="0.25">
      <c r="A213" s="384" t="s">
        <v>463</v>
      </c>
      <c r="B213" s="384" t="s">
        <v>465</v>
      </c>
      <c r="C213" s="384" t="s">
        <v>213</v>
      </c>
      <c r="D213" s="384" t="s">
        <v>464</v>
      </c>
      <c r="E213" s="305" t="s">
        <v>1029</v>
      </c>
      <c r="F213" s="485" t="s">
        <v>1030</v>
      </c>
      <c r="G213" s="383">
        <f>H213+I213</f>
        <v>112000000</v>
      </c>
      <c r="H213" s="383">
        <f>'d3'!E275</f>
        <v>0</v>
      </c>
      <c r="I213" s="383">
        <f>'d3'!J275</f>
        <v>112000000</v>
      </c>
      <c r="J213" s="383">
        <f>'d3'!K275</f>
        <v>112000000</v>
      </c>
      <c r="K213" s="187"/>
      <c r="L213" s="187"/>
      <c r="M213" s="187"/>
      <c r="N213" s="187"/>
      <c r="O213" s="187"/>
      <c r="P213" s="187"/>
      <c r="Q213" s="187"/>
    </row>
    <row r="214" spans="1:17" s="79" customFormat="1" ht="230.25" thickTop="1" thickBot="1" x14ac:dyDescent="0.25">
      <c r="A214" s="588" t="s">
        <v>1153</v>
      </c>
      <c r="B214" s="588" t="s">
        <v>324</v>
      </c>
      <c r="C214" s="588" t="s">
        <v>323</v>
      </c>
      <c r="D214" s="588" t="s">
        <v>780</v>
      </c>
      <c r="E214" s="493" t="s">
        <v>1029</v>
      </c>
      <c r="F214" s="604" t="s">
        <v>1030</v>
      </c>
      <c r="G214" s="585">
        <f>H214+I214</f>
        <v>80574.510000000009</v>
      </c>
      <c r="H214" s="585">
        <f>'d3'!E278</f>
        <v>0</v>
      </c>
      <c r="I214" s="585">
        <f>'d3'!J278</f>
        <v>80574.510000000009</v>
      </c>
      <c r="J214" s="585">
        <f>'d3'!K278</f>
        <v>80574.510000000009</v>
      </c>
      <c r="K214" s="594"/>
      <c r="L214" s="594"/>
      <c r="M214" s="594"/>
      <c r="N214" s="594"/>
      <c r="O214" s="594"/>
      <c r="P214" s="594"/>
      <c r="Q214" s="594"/>
    </row>
    <row r="215" spans="1:17" s="79" customFormat="1" ht="230.25" thickTop="1" thickBot="1" x14ac:dyDescent="0.25">
      <c r="A215" s="384" t="s">
        <v>333</v>
      </c>
      <c r="B215" s="384" t="s">
        <v>334</v>
      </c>
      <c r="C215" s="384" t="s">
        <v>323</v>
      </c>
      <c r="D215" s="384" t="s">
        <v>781</v>
      </c>
      <c r="E215" s="305" t="s">
        <v>1029</v>
      </c>
      <c r="F215" s="485" t="s">
        <v>1030</v>
      </c>
      <c r="G215" s="383">
        <f>I215</f>
        <v>23814264</v>
      </c>
      <c r="H215" s="383">
        <f>'d3'!E280</f>
        <v>0</v>
      </c>
      <c r="I215" s="383">
        <f>'d3'!J280</f>
        <v>23814264</v>
      </c>
      <c r="J215" s="383">
        <f>I215</f>
        <v>23814264</v>
      </c>
      <c r="K215" s="187"/>
      <c r="L215" s="187"/>
      <c r="M215" s="187"/>
      <c r="N215" s="187"/>
      <c r="O215" s="187"/>
      <c r="P215" s="187"/>
      <c r="Q215" s="187"/>
    </row>
    <row r="216" spans="1:17" s="79" customFormat="1" ht="230.25" thickTop="1" thickBot="1" x14ac:dyDescent="0.25">
      <c r="A216" s="384" t="s">
        <v>563</v>
      </c>
      <c r="B216" s="384" t="s">
        <v>564</v>
      </c>
      <c r="C216" s="384" t="s">
        <v>323</v>
      </c>
      <c r="D216" s="384" t="s">
        <v>782</v>
      </c>
      <c r="E216" s="305" t="s">
        <v>1029</v>
      </c>
      <c r="F216" s="485" t="s">
        <v>1030</v>
      </c>
      <c r="G216" s="383">
        <f>I216</f>
        <v>200000</v>
      </c>
      <c r="H216" s="383">
        <f>'d3'!E281</f>
        <v>0</v>
      </c>
      <c r="I216" s="383">
        <f>'d3'!J281</f>
        <v>200000</v>
      </c>
      <c r="J216" s="383">
        <f>I216</f>
        <v>200000</v>
      </c>
      <c r="K216" s="187"/>
      <c r="L216" s="187"/>
      <c r="M216" s="187"/>
      <c r="N216" s="187"/>
      <c r="O216" s="187"/>
      <c r="P216" s="187"/>
      <c r="Q216" s="187"/>
    </row>
    <row r="217" spans="1:17" s="79" customFormat="1" ht="230.25" thickTop="1" thickBot="1" x14ac:dyDescent="0.25">
      <c r="A217" s="384" t="s">
        <v>335</v>
      </c>
      <c r="B217" s="384" t="s">
        <v>336</v>
      </c>
      <c r="C217" s="384" t="s">
        <v>323</v>
      </c>
      <c r="D217" s="384" t="s">
        <v>783</v>
      </c>
      <c r="E217" s="305" t="s">
        <v>1029</v>
      </c>
      <c r="F217" s="485" t="s">
        <v>1030</v>
      </c>
      <c r="G217" s="383">
        <f t="shared" ref="G217:G219" si="27">I217</f>
        <v>0</v>
      </c>
      <c r="H217" s="383">
        <f>'d3'!E282</f>
        <v>0</v>
      </c>
      <c r="I217" s="383">
        <f>'d3'!J282</f>
        <v>0</v>
      </c>
      <c r="J217" s="383">
        <f>I217</f>
        <v>0</v>
      </c>
      <c r="K217" s="187"/>
      <c r="L217" s="187"/>
      <c r="M217" s="187"/>
      <c r="N217" s="187"/>
      <c r="O217" s="187"/>
      <c r="P217" s="187"/>
      <c r="Q217" s="187"/>
    </row>
    <row r="218" spans="1:17" s="79" customFormat="1" ht="230.25" thickTop="1" thickBot="1" x14ac:dyDescent="0.25">
      <c r="A218" s="384" t="s">
        <v>337</v>
      </c>
      <c r="B218" s="384" t="s">
        <v>338</v>
      </c>
      <c r="C218" s="384" t="s">
        <v>323</v>
      </c>
      <c r="D218" s="384" t="s">
        <v>784</v>
      </c>
      <c r="E218" s="305" t="s">
        <v>1029</v>
      </c>
      <c r="F218" s="485" t="s">
        <v>1030</v>
      </c>
      <c r="G218" s="383">
        <f t="shared" si="27"/>
        <v>16278456</v>
      </c>
      <c r="H218" s="383">
        <f>'d3'!E283-H219</f>
        <v>0</v>
      </c>
      <c r="I218" s="383">
        <f>'d3'!J283-I219</f>
        <v>16278456</v>
      </c>
      <c r="J218" s="631">
        <f>'d3'!K283-J219</f>
        <v>16278456</v>
      </c>
      <c r="K218" s="187"/>
      <c r="L218" s="187"/>
      <c r="M218" s="187"/>
      <c r="N218" s="187"/>
      <c r="O218" s="187"/>
      <c r="P218" s="187"/>
      <c r="Q218" s="187"/>
    </row>
    <row r="219" spans="1:17" s="79" customFormat="1" ht="184.5" thickTop="1" thickBot="1" x14ac:dyDescent="0.25">
      <c r="A219" s="632" t="s">
        <v>337</v>
      </c>
      <c r="B219" s="632" t="s">
        <v>338</v>
      </c>
      <c r="C219" s="632" t="s">
        <v>323</v>
      </c>
      <c r="D219" s="632" t="s">
        <v>784</v>
      </c>
      <c r="E219" s="171" t="s">
        <v>484</v>
      </c>
      <c r="F219" s="280" t="s">
        <v>453</v>
      </c>
      <c r="G219" s="631">
        <f t="shared" si="27"/>
        <v>1195970</v>
      </c>
      <c r="H219" s="631">
        <v>0</v>
      </c>
      <c r="I219" s="631">
        <v>1195970</v>
      </c>
      <c r="J219" s="631">
        <v>1195970</v>
      </c>
      <c r="K219" s="633"/>
      <c r="L219" s="633"/>
      <c r="M219" s="633"/>
      <c r="N219" s="633"/>
      <c r="O219" s="633"/>
      <c r="P219" s="633"/>
      <c r="Q219" s="633"/>
    </row>
    <row r="220" spans="1:17" s="79" customFormat="1" ht="230.25" thickTop="1" thickBot="1" x14ac:dyDescent="0.25">
      <c r="A220" s="384" t="s">
        <v>469</v>
      </c>
      <c r="B220" s="384" t="s">
        <v>376</v>
      </c>
      <c r="C220" s="384" t="s">
        <v>184</v>
      </c>
      <c r="D220" s="384" t="s">
        <v>280</v>
      </c>
      <c r="E220" s="305" t="s">
        <v>1029</v>
      </c>
      <c r="F220" s="485" t="s">
        <v>1030</v>
      </c>
      <c r="G220" s="383">
        <f>H220+I220</f>
        <v>110081302</v>
      </c>
      <c r="H220" s="383">
        <f>'d3'!E284</f>
        <v>0</v>
      </c>
      <c r="I220" s="383">
        <f>'d3'!J284</f>
        <v>110081302</v>
      </c>
      <c r="J220" s="383">
        <f>'d3'!K284</f>
        <v>110081302</v>
      </c>
      <c r="K220" s="187"/>
      <c r="L220" s="187"/>
      <c r="M220" s="187"/>
      <c r="N220" s="187"/>
      <c r="O220" s="187"/>
      <c r="P220" s="187"/>
      <c r="Q220" s="187"/>
    </row>
    <row r="221" spans="1:17" s="79" customFormat="1" ht="409.6" customHeight="1" thickTop="1" thickBot="1" x14ac:dyDescent="0.7">
      <c r="A221" s="1037" t="s">
        <v>1303</v>
      </c>
      <c r="B221" s="1037" t="s">
        <v>363</v>
      </c>
      <c r="C221" s="1037" t="s">
        <v>184</v>
      </c>
      <c r="D221" s="326" t="s">
        <v>473</v>
      </c>
      <c r="E221" s="1048" t="s">
        <v>1029</v>
      </c>
      <c r="F221" s="1048" t="s">
        <v>1030</v>
      </c>
      <c r="G221" s="1055">
        <f t="shared" ref="G221:G222" si="28">H221+I221</f>
        <v>1500000</v>
      </c>
      <c r="H221" s="1055">
        <f>'d3'!E287</f>
        <v>0</v>
      </c>
      <c r="I221" s="1055">
        <f>'d3'!J287</f>
        <v>1500000</v>
      </c>
      <c r="J221" s="1055">
        <f>'d3'!K287</f>
        <v>0</v>
      </c>
      <c r="K221" s="719"/>
      <c r="L221" s="719"/>
      <c r="M221" s="719"/>
      <c r="N221" s="719"/>
      <c r="O221" s="719"/>
      <c r="P221" s="719"/>
      <c r="Q221" s="719"/>
    </row>
    <row r="222" spans="1:17" s="79" customFormat="1" ht="184.5" thickTop="1" thickBot="1" x14ac:dyDescent="0.25">
      <c r="A222" s="1037"/>
      <c r="B222" s="1037"/>
      <c r="C222" s="1037"/>
      <c r="D222" s="329" t="s">
        <v>474</v>
      </c>
      <c r="E222" s="1050"/>
      <c r="F222" s="1050"/>
      <c r="G222" s="1050">
        <f t="shared" si="28"/>
        <v>0</v>
      </c>
      <c r="H222" s="1050"/>
      <c r="I222" s="1050"/>
      <c r="J222" s="1050"/>
      <c r="K222" s="719"/>
      <c r="L222" s="719"/>
      <c r="M222" s="719"/>
      <c r="N222" s="719"/>
      <c r="O222" s="719"/>
      <c r="P222" s="719"/>
      <c r="Q222" s="719"/>
    </row>
    <row r="223" spans="1:17" ht="292.7" customHeight="1" thickTop="1" thickBot="1" x14ac:dyDescent="0.25">
      <c r="A223" s="853" t="s">
        <v>174</v>
      </c>
      <c r="B223" s="853"/>
      <c r="C223" s="853"/>
      <c r="D223" s="854" t="s">
        <v>1069</v>
      </c>
      <c r="E223" s="855"/>
      <c r="F223" s="856"/>
      <c r="G223" s="856">
        <f>G224</f>
        <v>830700</v>
      </c>
      <c r="H223" s="856">
        <f t="shared" ref="H223:J223" si="29">H224</f>
        <v>7000</v>
      </c>
      <c r="I223" s="855">
        <f t="shared" si="29"/>
        <v>823700</v>
      </c>
      <c r="J223" s="855">
        <f t="shared" si="29"/>
        <v>760000</v>
      </c>
      <c r="K223" s="232" t="b">
        <f>H223='d3'!E290-'d3'!E292+H225+H227</f>
        <v>1</v>
      </c>
      <c r="L223" s="233" t="b">
        <f>I223='d3'!J290-'d3'!J292+'d7'!I225</f>
        <v>1</v>
      </c>
      <c r="M223" s="233" t="b">
        <f>J223='d3'!K290-'d3'!K292+'d7'!J225</f>
        <v>1</v>
      </c>
    </row>
    <row r="224" spans="1:17" ht="226.5" thickTop="1" thickBot="1" x14ac:dyDescent="0.25">
      <c r="A224" s="878" t="s">
        <v>175</v>
      </c>
      <c r="B224" s="878"/>
      <c r="C224" s="878"/>
      <c r="D224" s="879" t="s">
        <v>1089</v>
      </c>
      <c r="E224" s="880"/>
      <c r="F224" s="880"/>
      <c r="G224" s="880">
        <f>SUM(G225:G227)</f>
        <v>830700</v>
      </c>
      <c r="H224" s="880">
        <f>SUM(H225:H227)</f>
        <v>7000</v>
      </c>
      <c r="I224" s="880">
        <f>SUM(I225:I227)</f>
        <v>823700</v>
      </c>
      <c r="J224" s="880">
        <f>SUM(J225:J227)</f>
        <v>760000</v>
      </c>
    </row>
    <row r="225" spans="1:17" ht="230.25" thickTop="1" thickBot="1" x14ac:dyDescent="0.25">
      <c r="A225" s="279" t="s">
        <v>447</v>
      </c>
      <c r="B225" s="279" t="s">
        <v>254</v>
      </c>
      <c r="C225" s="279" t="s">
        <v>252</v>
      </c>
      <c r="D225" s="279" t="s">
        <v>253</v>
      </c>
      <c r="E225" s="305" t="s">
        <v>1386</v>
      </c>
      <c r="F225" s="485" t="s">
        <v>1024</v>
      </c>
      <c r="G225" s="289">
        <f>H225+I225</f>
        <v>225700</v>
      </c>
      <c r="H225" s="289">
        <v>0</v>
      </c>
      <c r="I225" s="289">
        <f>63700+((100000+26000)+36000)</f>
        <v>225700</v>
      </c>
      <c r="J225" s="289">
        <f>(100000+26000)+36000</f>
        <v>162000</v>
      </c>
    </row>
    <row r="226" spans="1:17" s="319" customFormat="1" ht="409.6" thickTop="1" thickBot="1" x14ac:dyDescent="0.25">
      <c r="A226" s="325" t="s">
        <v>789</v>
      </c>
      <c r="B226" s="325" t="s">
        <v>388</v>
      </c>
      <c r="C226" s="325" t="s">
        <v>778</v>
      </c>
      <c r="D226" s="325" t="s">
        <v>779</v>
      </c>
      <c r="E226" s="305" t="s">
        <v>1058</v>
      </c>
      <c r="F226" s="508" t="s">
        <v>1059</v>
      </c>
      <c r="G226" s="289">
        <f t="shared" ref="G226:G227" si="30">H226+I226</f>
        <v>7000</v>
      </c>
      <c r="H226" s="314">
        <f>'d3'!E293</f>
        <v>7000</v>
      </c>
      <c r="I226" s="330"/>
      <c r="J226" s="330"/>
      <c r="K226" s="321"/>
      <c r="L226" s="321"/>
      <c r="M226" s="321"/>
      <c r="N226" s="321"/>
      <c r="O226" s="321"/>
      <c r="P226" s="321"/>
      <c r="Q226" s="321"/>
    </row>
    <row r="227" spans="1:17" s="536" customFormat="1" ht="230.25" thickTop="1" thickBot="1" x14ac:dyDescent="0.25">
      <c r="A227" s="538" t="s">
        <v>1117</v>
      </c>
      <c r="B227" s="538" t="s">
        <v>1118</v>
      </c>
      <c r="C227" s="538" t="s">
        <v>323</v>
      </c>
      <c r="D227" s="538" t="s">
        <v>1119</v>
      </c>
      <c r="E227" s="305" t="s">
        <v>1029</v>
      </c>
      <c r="F227" s="537" t="s">
        <v>1030</v>
      </c>
      <c r="G227" s="537">
        <f t="shared" si="30"/>
        <v>598000</v>
      </c>
      <c r="H227" s="540">
        <f>'d3'!E296</f>
        <v>0</v>
      </c>
      <c r="I227" s="541">
        <f>'d3'!J296</f>
        <v>598000</v>
      </c>
      <c r="J227" s="543">
        <f>'d3'!K296</f>
        <v>598000</v>
      </c>
      <c r="K227" s="542"/>
      <c r="L227" s="542"/>
      <c r="M227" s="542"/>
      <c r="N227" s="542"/>
      <c r="O227" s="542"/>
      <c r="P227" s="542"/>
      <c r="Q227" s="542"/>
    </row>
    <row r="228" spans="1:17" ht="201.75" customHeight="1" thickTop="1" thickBot="1" x14ac:dyDescent="0.25">
      <c r="A228" s="853" t="s">
        <v>477</v>
      </c>
      <c r="B228" s="853"/>
      <c r="C228" s="853"/>
      <c r="D228" s="854" t="s">
        <v>479</v>
      </c>
      <c r="E228" s="855"/>
      <c r="F228" s="856"/>
      <c r="G228" s="856">
        <f>G229</f>
        <v>90976701</v>
      </c>
      <c r="H228" s="856">
        <f t="shared" ref="H228:J228" si="31">H229</f>
        <v>90940701</v>
      </c>
      <c r="I228" s="855">
        <f t="shared" si="31"/>
        <v>36000</v>
      </c>
      <c r="J228" s="855">
        <f t="shared" si="31"/>
        <v>36000</v>
      </c>
    </row>
    <row r="229" spans="1:17" ht="226.5" thickTop="1" thickBot="1" x14ac:dyDescent="0.25">
      <c r="A229" s="878" t="s">
        <v>478</v>
      </c>
      <c r="B229" s="878"/>
      <c r="C229" s="878"/>
      <c r="D229" s="879" t="s">
        <v>480</v>
      </c>
      <c r="E229" s="880"/>
      <c r="F229" s="880"/>
      <c r="G229" s="880">
        <f>SUM(G230:G234)</f>
        <v>90976701</v>
      </c>
      <c r="H229" s="880">
        <f>SUM(H230:H234)</f>
        <v>90940701</v>
      </c>
      <c r="I229" s="880">
        <f>SUM(I230:I234)</f>
        <v>36000</v>
      </c>
      <c r="J229" s="880">
        <f>SUM(J230:J234)</f>
        <v>36000</v>
      </c>
      <c r="K229" s="232" t="b">
        <f>H229='d3'!E298-'d3'!E300+'d7'!H230</f>
        <v>1</v>
      </c>
      <c r="L229" s="233" t="b">
        <f>I229='d3'!J298-'d3'!J300+'d7'!I230</f>
        <v>1</v>
      </c>
      <c r="M229" s="233" t="b">
        <f>J229='d3'!K298-'d3'!K300+'d7'!J230</f>
        <v>1</v>
      </c>
    </row>
    <row r="230" spans="1:17" ht="230.25" thickTop="1" thickBot="1" x14ac:dyDescent="0.25">
      <c r="A230" s="279" t="s">
        <v>481</v>
      </c>
      <c r="B230" s="279" t="s">
        <v>254</v>
      </c>
      <c r="C230" s="279" t="s">
        <v>252</v>
      </c>
      <c r="D230" s="279" t="s">
        <v>253</v>
      </c>
      <c r="E230" s="305" t="s">
        <v>1386</v>
      </c>
      <c r="F230" s="485" t="s">
        <v>1024</v>
      </c>
      <c r="G230" s="289">
        <f>H230+I230</f>
        <v>36000</v>
      </c>
      <c r="H230" s="314"/>
      <c r="I230" s="289">
        <f>(18000)+18000</f>
        <v>36000</v>
      </c>
      <c r="J230" s="555">
        <f>(18000)+18000</f>
        <v>36000</v>
      </c>
    </row>
    <row r="231" spans="1:17" s="319" customFormat="1" ht="409.6" thickTop="1" thickBot="1" x14ac:dyDescent="0.25">
      <c r="A231" s="325" t="s">
        <v>790</v>
      </c>
      <c r="B231" s="325" t="s">
        <v>388</v>
      </c>
      <c r="C231" s="325" t="s">
        <v>778</v>
      </c>
      <c r="D231" s="325" t="s">
        <v>779</v>
      </c>
      <c r="E231" s="305" t="s">
        <v>1058</v>
      </c>
      <c r="F231" s="508" t="s">
        <v>1059</v>
      </c>
      <c r="G231" s="289">
        <f t="shared" ref="G231:G233" si="32">H231+I231</f>
        <v>5080</v>
      </c>
      <c r="H231" s="314">
        <f>'d3'!E301</f>
        <v>5080</v>
      </c>
      <c r="I231" s="330"/>
      <c r="J231" s="330"/>
      <c r="K231" s="321"/>
      <c r="L231" s="321"/>
      <c r="M231" s="321"/>
      <c r="N231" s="321"/>
      <c r="O231" s="321"/>
      <c r="P231" s="321"/>
      <c r="Q231" s="321"/>
    </row>
    <row r="232" spans="1:17" s="721" customFormat="1" ht="276" thickTop="1" thickBot="1" x14ac:dyDescent="0.25">
      <c r="A232" s="728" t="s">
        <v>504</v>
      </c>
      <c r="B232" s="728" t="s">
        <v>440</v>
      </c>
      <c r="C232" s="728" t="s">
        <v>441</v>
      </c>
      <c r="D232" s="728" t="s">
        <v>442</v>
      </c>
      <c r="E232" s="333" t="s">
        <v>1349</v>
      </c>
      <c r="F232" s="724" t="s">
        <v>534</v>
      </c>
      <c r="G232" s="727">
        <f t="shared" si="32"/>
        <v>2093008</v>
      </c>
      <c r="H232" s="729">
        <f>'d3'!E306</f>
        <v>2093008</v>
      </c>
      <c r="I232" s="730">
        <f>'d3'!J306</f>
        <v>0</v>
      </c>
      <c r="J232" s="730">
        <f>'d3'!K306</f>
        <v>0</v>
      </c>
      <c r="K232" s="731"/>
      <c r="L232" s="731"/>
      <c r="M232" s="731"/>
      <c r="N232" s="731"/>
      <c r="O232" s="731"/>
      <c r="P232" s="731"/>
      <c r="Q232" s="731"/>
    </row>
    <row r="233" spans="1:17" ht="230.25" thickTop="1" thickBot="1" x14ac:dyDescent="0.25">
      <c r="A233" s="384" t="s">
        <v>505</v>
      </c>
      <c r="B233" s="384" t="s">
        <v>309</v>
      </c>
      <c r="C233" s="384" t="s">
        <v>311</v>
      </c>
      <c r="D233" s="384" t="s">
        <v>310</v>
      </c>
      <c r="E233" s="333" t="s">
        <v>1190</v>
      </c>
      <c r="F233" s="599" t="s">
        <v>1191</v>
      </c>
      <c r="G233" s="727">
        <f t="shared" si="32"/>
        <v>88642613</v>
      </c>
      <c r="H233" s="729">
        <f>'d3'!E308</f>
        <v>88642613</v>
      </c>
      <c r="I233" s="730">
        <f>'d3'!J308</f>
        <v>0</v>
      </c>
      <c r="J233" s="730">
        <f>'d3'!K308</f>
        <v>0</v>
      </c>
    </row>
    <row r="234" spans="1:17" s="912" customFormat="1" ht="276" thickTop="1" thickBot="1" x14ac:dyDescent="0.25">
      <c r="A234" s="1024" t="s">
        <v>1478</v>
      </c>
      <c r="B234" s="1024" t="s">
        <v>1479</v>
      </c>
      <c r="C234" s="1024" t="s">
        <v>314</v>
      </c>
      <c r="D234" s="1024" t="s">
        <v>1477</v>
      </c>
      <c r="E234" s="333" t="s">
        <v>1349</v>
      </c>
      <c r="F234" s="919" t="s">
        <v>534</v>
      </c>
      <c r="G234" s="1149">
        <f>H234+I234</f>
        <v>200000</v>
      </c>
      <c r="H234" s="1158">
        <f>'d3'!E309</f>
        <v>200000</v>
      </c>
      <c r="I234" s="1159">
        <f>'d3'!J309</f>
        <v>0</v>
      </c>
      <c r="J234" s="1159">
        <f>'d3'!K309</f>
        <v>0</v>
      </c>
      <c r="K234" s="934"/>
      <c r="L234" s="934"/>
      <c r="M234" s="934"/>
      <c r="N234" s="934"/>
      <c r="O234" s="934"/>
      <c r="P234" s="934"/>
      <c r="Q234" s="934"/>
    </row>
    <row r="235" spans="1:17" s="912" customFormat="1" ht="230.25" thickTop="1" thickBot="1" x14ac:dyDescent="0.25">
      <c r="A235" s="1026"/>
      <c r="B235" s="1026" t="s">
        <v>1479</v>
      </c>
      <c r="C235" s="1026"/>
      <c r="D235" s="1026"/>
      <c r="E235" s="305" t="s">
        <v>1029</v>
      </c>
      <c r="F235" s="926" t="s">
        <v>1030</v>
      </c>
      <c r="G235" s="1026"/>
      <c r="H235" s="1026"/>
      <c r="I235" s="1026"/>
      <c r="J235" s="1026"/>
      <c r="K235" s="934"/>
      <c r="L235" s="934"/>
      <c r="M235" s="934"/>
      <c r="N235" s="934"/>
      <c r="O235" s="934"/>
      <c r="P235" s="934"/>
      <c r="Q235" s="934"/>
    </row>
    <row r="236" spans="1:17" ht="160.5" customHeight="1" thickTop="1" thickBot="1" x14ac:dyDescent="0.25">
      <c r="A236" s="853" t="s">
        <v>180</v>
      </c>
      <c r="B236" s="853"/>
      <c r="C236" s="853"/>
      <c r="D236" s="854" t="s">
        <v>380</v>
      </c>
      <c r="E236" s="855"/>
      <c r="F236" s="856"/>
      <c r="G236" s="856">
        <f>G237</f>
        <v>13752386.41</v>
      </c>
      <c r="H236" s="856">
        <f t="shared" ref="H236:J236" si="33">H237</f>
        <v>11842501.41</v>
      </c>
      <c r="I236" s="855">
        <f t="shared" si="33"/>
        <v>1909885</v>
      </c>
      <c r="J236" s="855">
        <f t="shared" si="33"/>
        <v>1909885</v>
      </c>
      <c r="K236" s="232" t="b">
        <f>H236='d3'!E310</f>
        <v>1</v>
      </c>
      <c r="L236" s="233" t="b">
        <f>I236='d3'!J310</f>
        <v>1</v>
      </c>
      <c r="M236" s="233" t="b">
        <f>J236='d3'!K310</f>
        <v>1</v>
      </c>
    </row>
    <row r="237" spans="1:17" ht="181.5" thickTop="1" thickBot="1" x14ac:dyDescent="0.25">
      <c r="A237" s="878" t="s">
        <v>181</v>
      </c>
      <c r="B237" s="878"/>
      <c r="C237" s="878"/>
      <c r="D237" s="879" t="s">
        <v>381</v>
      </c>
      <c r="E237" s="880"/>
      <c r="F237" s="880"/>
      <c r="G237" s="880">
        <f>SUM(G238:G246)</f>
        <v>13752386.41</v>
      </c>
      <c r="H237" s="880">
        <f>SUM(H238:H246)</f>
        <v>11842501.41</v>
      </c>
      <c r="I237" s="880">
        <f>SUM(I238:I246)</f>
        <v>1909885</v>
      </c>
      <c r="J237" s="880">
        <f>SUM(J238:J246)</f>
        <v>1909885</v>
      </c>
    </row>
    <row r="238" spans="1:17" s="721" customFormat="1" ht="230.25" thickTop="1" thickBot="1" x14ac:dyDescent="0.25">
      <c r="A238" s="725" t="s">
        <v>1345</v>
      </c>
      <c r="B238" s="725" t="s">
        <v>376</v>
      </c>
      <c r="C238" s="725" t="s">
        <v>184</v>
      </c>
      <c r="D238" s="725" t="s">
        <v>280</v>
      </c>
      <c r="E238" s="305" t="s">
        <v>1029</v>
      </c>
      <c r="F238" s="727" t="s">
        <v>1030</v>
      </c>
      <c r="G238" s="729">
        <f>H238+I238</f>
        <v>70000</v>
      </c>
      <c r="H238" s="727">
        <v>70000</v>
      </c>
      <c r="I238" s="727"/>
      <c r="J238" s="727"/>
      <c r="K238" s="232" t="b">
        <f>H238='d3'!E314</f>
        <v>1</v>
      </c>
      <c r="L238" s="233" t="b">
        <f>I238='d3'!J314</f>
        <v>1</v>
      </c>
      <c r="M238" s="233" t="b">
        <f>J238='d3'!K314</f>
        <v>1</v>
      </c>
      <c r="N238" s="731"/>
      <c r="O238" s="731"/>
      <c r="P238" s="731"/>
      <c r="Q238" s="731"/>
    </row>
    <row r="239" spans="1:17" ht="230.25" thickTop="1" thickBot="1" x14ac:dyDescent="0.25">
      <c r="A239" s="384" t="s">
        <v>278</v>
      </c>
      <c r="B239" s="384" t="s">
        <v>279</v>
      </c>
      <c r="C239" s="384" t="s">
        <v>277</v>
      </c>
      <c r="D239" s="384" t="s">
        <v>276</v>
      </c>
      <c r="E239" s="171" t="s">
        <v>483</v>
      </c>
      <c r="F239" s="280" t="s">
        <v>457</v>
      </c>
      <c r="G239" s="314">
        <f>H239+I239</f>
        <v>4332230</v>
      </c>
      <c r="H239" s="383">
        <f>-150000+(-490000+300000+((5468200)-795970))</f>
        <v>4332230</v>
      </c>
      <c r="I239" s="383"/>
      <c r="J239" s="383"/>
      <c r="K239" s="232" t="b">
        <f>H239+H240='d3'!E316</f>
        <v>1</v>
      </c>
      <c r="L239" s="233" t="b">
        <f>I239+I240='d3'!J316</f>
        <v>1</v>
      </c>
      <c r="M239" s="233" t="b">
        <f>J239+J240='d3'!K316</f>
        <v>1</v>
      </c>
    </row>
    <row r="240" spans="1:17" ht="184.5" thickTop="1" thickBot="1" x14ac:dyDescent="0.25">
      <c r="A240" s="384" t="s">
        <v>278</v>
      </c>
      <c r="B240" s="384" t="s">
        <v>279</v>
      </c>
      <c r="C240" s="384" t="s">
        <v>277</v>
      </c>
      <c r="D240" s="384" t="s">
        <v>276</v>
      </c>
      <c r="E240" s="171" t="s">
        <v>484</v>
      </c>
      <c r="F240" s="280" t="s">
        <v>453</v>
      </c>
      <c r="G240" s="314">
        <f t="shared" ref="G240:G246" si="34">H240+I240</f>
        <v>120000</v>
      </c>
      <c r="H240" s="383">
        <v>120000</v>
      </c>
      <c r="I240" s="383"/>
      <c r="J240" s="383"/>
      <c r="M240" s="233"/>
    </row>
    <row r="241" spans="1:17" ht="230.25" thickTop="1" thickBot="1" x14ac:dyDescent="0.25">
      <c r="A241" s="384" t="s">
        <v>270</v>
      </c>
      <c r="B241" s="384" t="s">
        <v>272</v>
      </c>
      <c r="C241" s="384" t="s">
        <v>231</v>
      </c>
      <c r="D241" s="384" t="s">
        <v>271</v>
      </c>
      <c r="E241" s="484" t="s">
        <v>1031</v>
      </c>
      <c r="F241" s="485" t="s">
        <v>1032</v>
      </c>
      <c r="G241" s="314">
        <f t="shared" si="34"/>
        <v>1235000</v>
      </c>
      <c r="H241" s="383">
        <f>(745000)+490000</f>
        <v>1235000</v>
      </c>
      <c r="I241" s="383">
        <v>0</v>
      </c>
      <c r="J241" s="383">
        <v>0</v>
      </c>
      <c r="K241" s="232" t="b">
        <f>H241='d3'!E317</f>
        <v>1</v>
      </c>
      <c r="L241" s="233" t="b">
        <f>I241='d3'!J317</f>
        <v>1</v>
      </c>
      <c r="M241" s="233" t="b">
        <f>J241='d3'!K317</f>
        <v>1</v>
      </c>
    </row>
    <row r="242" spans="1:17" ht="321.75" thickTop="1" thickBot="1" x14ac:dyDescent="0.25">
      <c r="A242" s="384" t="s">
        <v>274</v>
      </c>
      <c r="B242" s="384" t="s">
        <v>275</v>
      </c>
      <c r="C242" s="384" t="s">
        <v>184</v>
      </c>
      <c r="D242" s="384" t="s">
        <v>273</v>
      </c>
      <c r="E242" s="383" t="s">
        <v>482</v>
      </c>
      <c r="F242" s="280" t="s">
        <v>458</v>
      </c>
      <c r="G242" s="314">
        <f t="shared" si="34"/>
        <v>449037.40999999992</v>
      </c>
      <c r="H242" s="383">
        <f>2049580-1600542.59</f>
        <v>449037.40999999992</v>
      </c>
      <c r="I242" s="383">
        <v>0</v>
      </c>
      <c r="J242" s="383">
        <v>0</v>
      </c>
      <c r="K242" s="232" t="b">
        <f>'d3'!E319=H242+H243+H244+H245</f>
        <v>1</v>
      </c>
      <c r="L242" s="233" t="b">
        <f>'d3'!J319=I242+I243+I244+I245</f>
        <v>1</v>
      </c>
      <c r="M242" s="233" t="b">
        <f>'d3'!K319=J242+J243+J244+J245</f>
        <v>1</v>
      </c>
    </row>
    <row r="243" spans="1:17" ht="184.5" thickTop="1" thickBot="1" x14ac:dyDescent="0.25">
      <c r="A243" s="384" t="s">
        <v>274</v>
      </c>
      <c r="B243" s="384" t="s">
        <v>275</v>
      </c>
      <c r="C243" s="384" t="s">
        <v>184</v>
      </c>
      <c r="D243" s="384" t="s">
        <v>273</v>
      </c>
      <c r="E243" s="383" t="s">
        <v>721</v>
      </c>
      <c r="F243" s="383" t="s">
        <v>722</v>
      </c>
      <c r="G243" s="314">
        <f t="shared" si="34"/>
        <v>1146119</v>
      </c>
      <c r="H243" s="383">
        <f>(800000)+30296+105938</f>
        <v>936234</v>
      </c>
      <c r="I243" s="383">
        <f>(400000)-190115</f>
        <v>209885</v>
      </c>
      <c r="J243" s="383">
        <f>(400000)-190115</f>
        <v>209885</v>
      </c>
      <c r="K243" s="221"/>
      <c r="L243" s="224"/>
      <c r="M243" s="225"/>
    </row>
    <row r="244" spans="1:17" s="598" customFormat="1" ht="230.25" thickTop="1" thickBot="1" x14ac:dyDescent="0.25">
      <c r="A244" s="600" t="s">
        <v>274</v>
      </c>
      <c r="B244" s="600" t="s">
        <v>275</v>
      </c>
      <c r="C244" s="600" t="s">
        <v>184</v>
      </c>
      <c r="D244" s="600" t="s">
        <v>273</v>
      </c>
      <c r="E244" s="493" t="s">
        <v>1238</v>
      </c>
      <c r="F244" s="642" t="s">
        <v>1239</v>
      </c>
      <c r="G244" s="605">
        <f t="shared" si="34"/>
        <v>300000</v>
      </c>
      <c r="H244" s="599">
        <v>300000</v>
      </c>
      <c r="I244" s="599">
        <v>0</v>
      </c>
      <c r="J244" s="599">
        <v>0</v>
      </c>
      <c r="K244" s="221"/>
      <c r="L244" s="224"/>
      <c r="M244" s="225"/>
      <c r="N244" s="607"/>
      <c r="O244" s="607"/>
      <c r="P244" s="607"/>
      <c r="Q244" s="607"/>
    </row>
    <row r="245" spans="1:17" s="609" customFormat="1" ht="230.25" thickTop="1" thickBot="1" x14ac:dyDescent="0.25">
      <c r="A245" s="611" t="s">
        <v>274</v>
      </c>
      <c r="B245" s="611" t="s">
        <v>275</v>
      </c>
      <c r="C245" s="611" t="s">
        <v>184</v>
      </c>
      <c r="D245" s="611" t="s">
        <v>273</v>
      </c>
      <c r="E245" s="305" t="s">
        <v>1029</v>
      </c>
      <c r="F245" s="610" t="s">
        <v>1030</v>
      </c>
      <c r="G245" s="612">
        <f t="shared" si="34"/>
        <v>2700000</v>
      </c>
      <c r="H245" s="610">
        <f>(700000)+1500000+500000</f>
        <v>2700000</v>
      </c>
      <c r="I245" s="610">
        <v>0</v>
      </c>
      <c r="J245" s="610">
        <v>0</v>
      </c>
      <c r="K245" s="221"/>
      <c r="L245" s="224"/>
      <c r="M245" s="225"/>
      <c r="N245" s="613"/>
      <c r="O245" s="613"/>
      <c r="P245" s="613"/>
      <c r="Q245" s="613"/>
    </row>
    <row r="246" spans="1:17" s="519" customFormat="1" ht="230.25" thickTop="1" thickBot="1" x14ac:dyDescent="0.25">
      <c r="A246" s="521" t="s">
        <v>1104</v>
      </c>
      <c r="B246" s="521" t="s">
        <v>389</v>
      </c>
      <c r="C246" s="521" t="s">
        <v>45</v>
      </c>
      <c r="D246" s="521" t="s">
        <v>390</v>
      </c>
      <c r="E246" s="305" t="s">
        <v>1029</v>
      </c>
      <c r="F246" s="522" t="s">
        <v>1030</v>
      </c>
      <c r="G246" s="523">
        <f t="shared" si="34"/>
        <v>3400000</v>
      </c>
      <c r="H246" s="522">
        <f>'d3'!E322</f>
        <v>1700000</v>
      </c>
      <c r="I246" s="522">
        <f>'d3'!J322</f>
        <v>1700000</v>
      </c>
      <c r="J246" s="526">
        <f>'d3'!K322</f>
        <v>1700000</v>
      </c>
      <c r="K246" s="221"/>
      <c r="L246" s="224"/>
      <c r="M246" s="225"/>
      <c r="N246" s="524"/>
      <c r="O246" s="524"/>
      <c r="P246" s="524"/>
      <c r="Q246" s="524"/>
    </row>
    <row r="247" spans="1:17" ht="226.5" thickTop="1" thickBot="1" x14ac:dyDescent="0.25">
      <c r="A247" s="853" t="s">
        <v>178</v>
      </c>
      <c r="B247" s="853"/>
      <c r="C247" s="853"/>
      <c r="D247" s="854" t="s">
        <v>1062</v>
      </c>
      <c r="E247" s="855"/>
      <c r="F247" s="856"/>
      <c r="G247" s="856">
        <f>G248</f>
        <v>3254138.96</v>
      </c>
      <c r="H247" s="856">
        <f t="shared" ref="H247:J247" si="35">H248</f>
        <v>5000</v>
      </c>
      <c r="I247" s="855">
        <f t="shared" si="35"/>
        <v>3249138.96</v>
      </c>
      <c r="J247" s="855">
        <f t="shared" si="35"/>
        <v>64000</v>
      </c>
      <c r="K247" s="232" t="b">
        <f>H247='d3'!E324-'d3'!E326+H249</f>
        <v>1</v>
      </c>
      <c r="L247" s="233" t="b">
        <f>I247='d3'!J324-'d3'!J326+'d7'!I249</f>
        <v>1</v>
      </c>
      <c r="M247" s="233" t="b">
        <f>J247='d3'!K324-'d3'!K326+'d7'!J249</f>
        <v>1</v>
      </c>
    </row>
    <row r="248" spans="1:17" ht="271.5" thickTop="1" thickBot="1" x14ac:dyDescent="0.25">
      <c r="A248" s="878" t="s">
        <v>179</v>
      </c>
      <c r="B248" s="878"/>
      <c r="C248" s="878"/>
      <c r="D248" s="879" t="s">
        <v>1063</v>
      </c>
      <c r="E248" s="880"/>
      <c r="F248" s="880"/>
      <c r="G248" s="880">
        <f>SUM(G249:G254)</f>
        <v>3254138.96</v>
      </c>
      <c r="H248" s="880">
        <f>SUM(H249:H254)</f>
        <v>5000</v>
      </c>
      <c r="I248" s="880">
        <f>SUM(I249:I254)</f>
        <v>3249138.96</v>
      </c>
      <c r="J248" s="880">
        <f>SUM(J249:J254)</f>
        <v>64000</v>
      </c>
    </row>
    <row r="249" spans="1:17" s="255" customFormat="1" ht="230.25" thickTop="1" thickBot="1" x14ac:dyDescent="0.25">
      <c r="A249" s="279" t="s">
        <v>450</v>
      </c>
      <c r="B249" s="279" t="s">
        <v>254</v>
      </c>
      <c r="C249" s="279" t="s">
        <v>252</v>
      </c>
      <c r="D249" s="279" t="s">
        <v>253</v>
      </c>
      <c r="E249" s="305" t="s">
        <v>1386</v>
      </c>
      <c r="F249" s="485" t="s">
        <v>1024</v>
      </c>
      <c r="G249" s="289">
        <f>H249+I249</f>
        <v>64000</v>
      </c>
      <c r="H249" s="314"/>
      <c r="I249" s="289">
        <f>(18000)+46000</f>
        <v>64000</v>
      </c>
      <c r="J249" s="555">
        <f>(18000)+46000</f>
        <v>64000</v>
      </c>
      <c r="K249" s="256"/>
      <c r="L249" s="256"/>
      <c r="M249" s="256"/>
      <c r="N249" s="256"/>
      <c r="O249" s="256"/>
      <c r="P249" s="256"/>
      <c r="Q249" s="256"/>
    </row>
    <row r="250" spans="1:17" s="319" customFormat="1" ht="409.6" thickTop="1" thickBot="1" x14ac:dyDescent="0.25">
      <c r="A250" s="325" t="s">
        <v>791</v>
      </c>
      <c r="B250" s="325" t="s">
        <v>388</v>
      </c>
      <c r="C250" s="325" t="s">
        <v>778</v>
      </c>
      <c r="D250" s="325" t="s">
        <v>779</v>
      </c>
      <c r="E250" s="305" t="s">
        <v>1058</v>
      </c>
      <c r="F250" s="508" t="s">
        <v>1059</v>
      </c>
      <c r="G250" s="289">
        <f t="shared" ref="G250" si="36">H250+I250</f>
        <v>5000</v>
      </c>
      <c r="H250" s="314">
        <f>'d3'!E327</f>
        <v>5000</v>
      </c>
      <c r="I250" s="330"/>
      <c r="J250" s="330"/>
      <c r="K250" s="321"/>
      <c r="L250" s="321"/>
      <c r="M250" s="321"/>
      <c r="N250" s="321"/>
      <c r="O250" s="321"/>
      <c r="P250" s="321"/>
      <c r="Q250" s="321"/>
    </row>
    <row r="251" spans="1:17" ht="184.5" thickTop="1" thickBot="1" x14ac:dyDescent="0.25">
      <c r="A251" s="384" t="s">
        <v>328</v>
      </c>
      <c r="B251" s="384" t="s">
        <v>329</v>
      </c>
      <c r="C251" s="384" t="s">
        <v>54</v>
      </c>
      <c r="D251" s="384" t="s">
        <v>55</v>
      </c>
      <c r="E251" s="333" t="s">
        <v>1236</v>
      </c>
      <c r="F251" s="642" t="s">
        <v>1237</v>
      </c>
      <c r="G251" s="314">
        <f t="shared" ref="G251:G254" si="37">H251+I251</f>
        <v>403900</v>
      </c>
      <c r="H251" s="383">
        <f>'d3'!E331</f>
        <v>0</v>
      </c>
      <c r="I251" s="383">
        <f>'d3'!J331</f>
        <v>403900</v>
      </c>
      <c r="J251" s="383">
        <f>'d3'!K331</f>
        <v>0</v>
      </c>
    </row>
    <row r="252" spans="1:17" ht="184.5" thickTop="1" thickBot="1" x14ac:dyDescent="0.25">
      <c r="A252" s="384" t="s">
        <v>508</v>
      </c>
      <c r="B252" s="384" t="s">
        <v>509</v>
      </c>
      <c r="C252" s="384" t="s">
        <v>507</v>
      </c>
      <c r="D252" s="384" t="s">
        <v>510</v>
      </c>
      <c r="E252" s="333" t="s">
        <v>1236</v>
      </c>
      <c r="F252" s="642" t="s">
        <v>1237</v>
      </c>
      <c r="G252" s="314">
        <f t="shared" si="37"/>
        <v>361238.96</v>
      </c>
      <c r="H252" s="383">
        <f>'d3'!E332</f>
        <v>0</v>
      </c>
      <c r="I252" s="383">
        <f>'d3'!J332</f>
        <v>361238.96</v>
      </c>
      <c r="J252" s="383">
        <f>'d3'!K332</f>
        <v>0</v>
      </c>
    </row>
    <row r="253" spans="1:17" ht="184.5" thickTop="1" thickBot="1" x14ac:dyDescent="0.25">
      <c r="A253" s="384" t="s">
        <v>569</v>
      </c>
      <c r="B253" s="384" t="s">
        <v>567</v>
      </c>
      <c r="C253" s="384" t="s">
        <v>570</v>
      </c>
      <c r="D253" s="384" t="s">
        <v>568</v>
      </c>
      <c r="E253" s="333" t="s">
        <v>1236</v>
      </c>
      <c r="F253" s="642" t="s">
        <v>1237</v>
      </c>
      <c r="G253" s="314">
        <f t="shared" si="37"/>
        <v>175000</v>
      </c>
      <c r="H253" s="383">
        <f>'d3'!E333</f>
        <v>0</v>
      </c>
      <c r="I253" s="383">
        <f>'d3'!J333</f>
        <v>175000</v>
      </c>
      <c r="J253" s="383">
        <f>'d3'!K333</f>
        <v>0</v>
      </c>
    </row>
    <row r="254" spans="1:17" ht="184.5" thickTop="1" thickBot="1" x14ac:dyDescent="0.25">
      <c r="A254" s="384" t="s">
        <v>330</v>
      </c>
      <c r="B254" s="384" t="s">
        <v>331</v>
      </c>
      <c r="C254" s="384" t="s">
        <v>56</v>
      </c>
      <c r="D254" s="384" t="s">
        <v>511</v>
      </c>
      <c r="E254" s="333" t="s">
        <v>1236</v>
      </c>
      <c r="F254" s="642" t="s">
        <v>1237</v>
      </c>
      <c r="G254" s="314">
        <f t="shared" si="37"/>
        <v>2245000</v>
      </c>
      <c r="H254" s="383">
        <f>'d3'!E334</f>
        <v>0</v>
      </c>
      <c r="I254" s="383">
        <f>'d3'!J334</f>
        <v>2245000</v>
      </c>
      <c r="J254" s="383">
        <f>'d3'!K334</f>
        <v>0</v>
      </c>
    </row>
    <row r="255" spans="1:17" ht="226.5" thickTop="1" thickBot="1" x14ac:dyDescent="0.25">
      <c r="A255" s="853" t="s">
        <v>176</v>
      </c>
      <c r="B255" s="853"/>
      <c r="C255" s="853"/>
      <c r="D255" s="854" t="s">
        <v>1090</v>
      </c>
      <c r="E255" s="855"/>
      <c r="F255" s="856"/>
      <c r="G255" s="856">
        <f>G256</f>
        <v>350000</v>
      </c>
      <c r="H255" s="856">
        <f t="shared" ref="H255:J255" si="38">H256</f>
        <v>0</v>
      </c>
      <c r="I255" s="855">
        <f t="shared" si="38"/>
        <v>350000</v>
      </c>
      <c r="J255" s="855">
        <f t="shared" si="38"/>
        <v>350000</v>
      </c>
      <c r="K255" s="232" t="b">
        <f>H255='d3'!E336-'d3'!E338+H257</f>
        <v>1</v>
      </c>
      <c r="L255" s="233" t="b">
        <f>I255='d3'!J336-'d3'!J338+I257</f>
        <v>1</v>
      </c>
      <c r="M255" s="233" t="b">
        <f>J255='d3'!K336-'d3'!K338+J257</f>
        <v>1</v>
      </c>
    </row>
    <row r="256" spans="1:17" ht="271.5" thickTop="1" thickBot="1" x14ac:dyDescent="0.25">
      <c r="A256" s="878" t="s">
        <v>177</v>
      </c>
      <c r="B256" s="878"/>
      <c r="C256" s="878"/>
      <c r="D256" s="879" t="s">
        <v>1091</v>
      </c>
      <c r="E256" s="880"/>
      <c r="F256" s="880"/>
      <c r="G256" s="880">
        <f>SUM(G257:G259)</f>
        <v>350000</v>
      </c>
      <c r="H256" s="880">
        <f>SUM(H257:H259)</f>
        <v>0</v>
      </c>
      <c r="I256" s="880">
        <f>SUM(I257:I259)</f>
        <v>350000</v>
      </c>
      <c r="J256" s="880">
        <f>SUM(J257:J259)</f>
        <v>350000</v>
      </c>
    </row>
    <row r="257" spans="1:17" s="551" customFormat="1" ht="230.25" thickTop="1" thickBot="1" x14ac:dyDescent="0.25">
      <c r="A257" s="556" t="s">
        <v>446</v>
      </c>
      <c r="B257" s="556" t="s">
        <v>254</v>
      </c>
      <c r="C257" s="556" t="s">
        <v>252</v>
      </c>
      <c r="D257" s="556" t="s">
        <v>253</v>
      </c>
      <c r="E257" s="305" t="s">
        <v>1386</v>
      </c>
      <c r="F257" s="555" t="s">
        <v>1024</v>
      </c>
      <c r="G257" s="555">
        <f>H257+I257</f>
        <v>100000</v>
      </c>
      <c r="H257" s="557"/>
      <c r="I257" s="555">
        <v>100000</v>
      </c>
      <c r="J257" s="555">
        <v>100000</v>
      </c>
      <c r="K257" s="559"/>
      <c r="L257" s="559"/>
      <c r="M257" s="559"/>
      <c r="N257" s="559"/>
      <c r="O257" s="559"/>
      <c r="P257" s="559"/>
      <c r="Q257" s="559"/>
    </row>
    <row r="258" spans="1:17" ht="230.25" thickTop="1" thickBot="1" x14ac:dyDescent="0.25">
      <c r="A258" s="384" t="s">
        <v>325</v>
      </c>
      <c r="B258" s="384" t="s">
        <v>326</v>
      </c>
      <c r="C258" s="384" t="s">
        <v>327</v>
      </c>
      <c r="D258" s="384" t="s">
        <v>497</v>
      </c>
      <c r="E258" s="305" t="s">
        <v>1029</v>
      </c>
      <c r="F258" s="485" t="s">
        <v>1030</v>
      </c>
      <c r="G258" s="314">
        <f t="shared" ref="G258:G259" si="39">H258+I258</f>
        <v>200000</v>
      </c>
      <c r="H258" s="383">
        <f>'d3'!E341</f>
        <v>0</v>
      </c>
      <c r="I258" s="383">
        <f>'d3'!J341</f>
        <v>200000</v>
      </c>
      <c r="J258" s="383">
        <f>'d3'!K341</f>
        <v>200000</v>
      </c>
    </row>
    <row r="259" spans="1:17" ht="230.25" thickTop="1" thickBot="1" x14ac:dyDescent="0.25">
      <c r="A259" s="384" t="s">
        <v>394</v>
      </c>
      <c r="B259" s="384" t="s">
        <v>395</v>
      </c>
      <c r="C259" s="384" t="s">
        <v>184</v>
      </c>
      <c r="D259" s="384" t="s">
        <v>396</v>
      </c>
      <c r="E259" s="305" t="s">
        <v>1029</v>
      </c>
      <c r="F259" s="485" t="s">
        <v>1030</v>
      </c>
      <c r="G259" s="314">
        <f t="shared" si="39"/>
        <v>50000</v>
      </c>
      <c r="H259" s="383">
        <f>'d3'!E343</f>
        <v>0</v>
      </c>
      <c r="I259" s="383">
        <f>'d3'!J343</f>
        <v>50000</v>
      </c>
      <c r="J259" s="383">
        <f>'d3'!K343</f>
        <v>50000</v>
      </c>
    </row>
    <row r="260" spans="1:17" s="319" customFormat="1" ht="136.5" thickTop="1" thickBot="1" x14ac:dyDescent="0.25">
      <c r="A260" s="853" t="s">
        <v>182</v>
      </c>
      <c r="B260" s="853"/>
      <c r="C260" s="853"/>
      <c r="D260" s="854" t="s">
        <v>27</v>
      </c>
      <c r="E260" s="855"/>
      <c r="F260" s="856"/>
      <c r="G260" s="856">
        <f>G261</f>
        <v>43000</v>
      </c>
      <c r="H260" s="856">
        <f t="shared" ref="H260:J260" si="40">H261</f>
        <v>3000</v>
      </c>
      <c r="I260" s="855">
        <f t="shared" si="40"/>
        <v>40000</v>
      </c>
      <c r="J260" s="855">
        <f t="shared" si="40"/>
        <v>40000</v>
      </c>
      <c r="K260" s="321"/>
      <c r="L260" s="321"/>
      <c r="M260" s="321"/>
      <c r="N260" s="321"/>
      <c r="O260" s="321"/>
      <c r="P260" s="321"/>
      <c r="Q260" s="321"/>
    </row>
    <row r="261" spans="1:17" s="319" customFormat="1" ht="181.5" thickTop="1" thickBot="1" x14ac:dyDescent="0.25">
      <c r="A261" s="878" t="s">
        <v>183</v>
      </c>
      <c r="B261" s="878"/>
      <c r="C261" s="878"/>
      <c r="D261" s="879" t="s">
        <v>42</v>
      </c>
      <c r="E261" s="880"/>
      <c r="F261" s="880"/>
      <c r="G261" s="880">
        <f>SUM(G262:G263)</f>
        <v>43000</v>
      </c>
      <c r="H261" s="880">
        <f>SUM(H262:H263)</f>
        <v>3000</v>
      </c>
      <c r="I261" s="880">
        <f>SUM(I262:I263)</f>
        <v>40000</v>
      </c>
      <c r="J261" s="880">
        <f>SUM(J262:J263)</f>
        <v>40000</v>
      </c>
      <c r="K261" s="321"/>
      <c r="L261" s="321"/>
      <c r="M261" s="321"/>
      <c r="N261" s="321"/>
      <c r="O261" s="321"/>
      <c r="P261" s="321"/>
      <c r="Q261" s="321"/>
    </row>
    <row r="262" spans="1:17" s="711" customFormat="1" ht="230.25" thickTop="1" thickBot="1" x14ac:dyDescent="0.25">
      <c r="A262" s="713" t="s">
        <v>448</v>
      </c>
      <c r="B262" s="713" t="s">
        <v>254</v>
      </c>
      <c r="C262" s="713" t="s">
        <v>252</v>
      </c>
      <c r="D262" s="713" t="s">
        <v>253</v>
      </c>
      <c r="E262" s="305" t="s">
        <v>1386</v>
      </c>
      <c r="F262" s="712" t="s">
        <v>1024</v>
      </c>
      <c r="G262" s="712">
        <f t="shared" ref="G262:G263" si="41">H262+I262</f>
        <v>40000</v>
      </c>
      <c r="H262" s="715">
        <f>0</f>
        <v>0</v>
      </c>
      <c r="I262" s="716">
        <v>40000</v>
      </c>
      <c r="J262" s="716">
        <v>40000</v>
      </c>
      <c r="K262" s="719"/>
      <c r="L262" s="719"/>
      <c r="M262" s="719"/>
      <c r="N262" s="719"/>
      <c r="O262" s="719"/>
      <c r="P262" s="719"/>
      <c r="Q262" s="719"/>
    </row>
    <row r="263" spans="1:17" s="319" customFormat="1" ht="409.6" thickTop="1" thickBot="1" x14ac:dyDescent="0.25">
      <c r="A263" s="385" t="s">
        <v>792</v>
      </c>
      <c r="B263" s="385" t="s">
        <v>388</v>
      </c>
      <c r="C263" s="385" t="s">
        <v>778</v>
      </c>
      <c r="D263" s="385" t="s">
        <v>779</v>
      </c>
      <c r="E263" s="305" t="s">
        <v>1058</v>
      </c>
      <c r="F263" s="508" t="s">
        <v>1059</v>
      </c>
      <c r="G263" s="383">
        <f t="shared" si="41"/>
        <v>3000</v>
      </c>
      <c r="H263" s="314">
        <f>'d3'!E348</f>
        <v>3000</v>
      </c>
      <c r="I263" s="330"/>
      <c r="J263" s="330"/>
      <c r="K263" s="321"/>
      <c r="L263" s="321"/>
      <c r="M263" s="321"/>
      <c r="N263" s="321"/>
      <c r="O263" s="321"/>
      <c r="P263" s="321"/>
      <c r="Q263" s="321"/>
    </row>
    <row r="264" spans="1:17" ht="81.75" customHeight="1" thickTop="1" thickBot="1" x14ac:dyDescent="1.2">
      <c r="A264" s="246" t="s">
        <v>408</v>
      </c>
      <c r="B264" s="246" t="s">
        <v>408</v>
      </c>
      <c r="C264" s="246" t="s">
        <v>408</v>
      </c>
      <c r="D264" s="247" t="s">
        <v>418</v>
      </c>
      <c r="E264" s="246" t="s">
        <v>408</v>
      </c>
      <c r="F264" s="246" t="s">
        <v>408</v>
      </c>
      <c r="G264" s="248">
        <f>G16+G41+G152+G75+G101+G134+G210+G237+G248+G256+G229+G224+G186+G170+G261</f>
        <v>3219606661.5900006</v>
      </c>
      <c r="H264" s="248">
        <f>H16+H41+H152+H75+H101+H134+H210+H237+H248+H256+H229+H224+H186+H170+H261</f>
        <v>2482368954.48</v>
      </c>
      <c r="I264" s="248">
        <f>I16+I41+I152+I75+I101+I134+I210+I237+I248+I256+I229+I224+I186+I170+I261</f>
        <v>737237707.11000001</v>
      </c>
      <c r="J264" s="248">
        <f>J16+J41+J152+J75+J101+J134+J210+J237+J248+J256+J229+J224+J186+J170+J261</f>
        <v>565914635.33999991</v>
      </c>
      <c r="K264" s="261" t="b">
        <f>G264=H264+I264</f>
        <v>1</v>
      </c>
    </row>
    <row r="265" spans="1:17" ht="31.7" customHeight="1" thickTop="1" x14ac:dyDescent="0.2">
      <c r="A265" s="1071" t="s">
        <v>542</v>
      </c>
      <c r="B265" s="1072"/>
      <c r="C265" s="1072"/>
      <c r="D265" s="1072"/>
      <c r="E265" s="1072"/>
      <c r="F265" s="1072"/>
      <c r="G265" s="1072"/>
      <c r="H265" s="1072"/>
      <c r="I265" s="1072"/>
      <c r="J265" s="1072"/>
    </row>
    <row r="266" spans="1:17" ht="31.7" customHeight="1" x14ac:dyDescent="0.2">
      <c r="A266" s="136"/>
      <c r="B266" s="137"/>
      <c r="C266" s="137"/>
      <c r="D266" s="137"/>
      <c r="E266" s="137"/>
      <c r="F266" s="137"/>
      <c r="G266" s="137"/>
      <c r="H266" s="137"/>
      <c r="I266" s="137"/>
      <c r="J266" s="137"/>
    </row>
    <row r="267" spans="1:17" ht="45" customHeight="1" x14ac:dyDescent="0.65">
      <c r="A267" s="136"/>
      <c r="B267" s="137"/>
      <c r="C267" s="137"/>
      <c r="D267" s="760" t="s">
        <v>1508</v>
      </c>
      <c r="E267" s="658"/>
      <c r="F267" s="758"/>
      <c r="G267" s="658" t="s">
        <v>1509</v>
      </c>
      <c r="H267" s="661"/>
      <c r="I267" s="661"/>
      <c r="J267" s="661"/>
      <c r="K267" s="661"/>
      <c r="L267" s="144"/>
      <c r="M267" s="9"/>
      <c r="N267" s="45"/>
      <c r="O267" s="144"/>
      <c r="P267" s="144"/>
      <c r="Q267" s="9"/>
    </row>
    <row r="268" spans="1:17" ht="61.5" customHeight="1" x14ac:dyDescent="0.65">
      <c r="A268" s="134"/>
      <c r="B268" s="134"/>
      <c r="C268" s="134"/>
      <c r="D268" s="760"/>
      <c r="E268" s="658"/>
      <c r="F268" s="758"/>
      <c r="G268" s="658"/>
      <c r="H268" s="658"/>
      <c r="I268" s="123"/>
      <c r="J268" s="123"/>
      <c r="K268" s="658"/>
      <c r="L268" s="144"/>
      <c r="M268" s="9"/>
      <c r="N268" s="45"/>
      <c r="O268" s="144"/>
      <c r="P268" s="144"/>
      <c r="Q268" s="9"/>
    </row>
    <row r="269" spans="1:17" ht="45.75" x14ac:dyDescent="0.65">
      <c r="D269" s="144" t="s">
        <v>606</v>
      </c>
      <c r="E269" s="665"/>
      <c r="F269" s="666"/>
      <c r="G269" s="144" t="s">
        <v>607</v>
      </c>
      <c r="H269" s="68"/>
      <c r="I269" s="45"/>
      <c r="J269" s="9"/>
      <c r="K269" s="204"/>
      <c r="L269" s="204"/>
      <c r="M269" s="204"/>
      <c r="N269" s="204"/>
      <c r="O269" s="204"/>
      <c r="P269" s="204"/>
      <c r="Q269" s="204"/>
    </row>
    <row r="270" spans="1:17" ht="45.75" x14ac:dyDescent="0.65">
      <c r="D270" s="1004"/>
      <c r="E270" s="1004"/>
      <c r="F270" s="1004"/>
      <c r="G270" s="1004"/>
      <c r="H270" s="1004"/>
      <c r="I270" s="1004"/>
      <c r="J270" s="1004"/>
      <c r="K270" s="204"/>
      <c r="L270" s="204"/>
      <c r="M270" s="204"/>
      <c r="N270" s="204"/>
      <c r="O270" s="204"/>
      <c r="P270" s="204"/>
      <c r="Q270" s="204"/>
    </row>
    <row r="271" spans="1:17" x14ac:dyDescent="0.2">
      <c r="E271" s="4"/>
      <c r="F271" s="3"/>
    </row>
    <row r="272" spans="1:17" x14ac:dyDescent="0.2">
      <c r="E272" s="4"/>
      <c r="F272" s="3"/>
    </row>
    <row r="273" spans="1:10" ht="62.25" x14ac:dyDescent="0.8">
      <c r="A273" s="132"/>
      <c r="B273" s="132"/>
      <c r="C273" s="132"/>
      <c r="D273" s="132"/>
      <c r="E273" s="9"/>
      <c r="F273" s="45"/>
      <c r="I273" s="132"/>
      <c r="J273" s="50"/>
    </row>
    <row r="274" spans="1:10" ht="45.75" x14ac:dyDescent="0.2">
      <c r="E274" s="10"/>
      <c r="F274" s="68"/>
    </row>
    <row r="275" spans="1:10" ht="45.75" x14ac:dyDescent="0.2">
      <c r="A275" s="132"/>
      <c r="B275" s="132"/>
      <c r="C275" s="132"/>
      <c r="D275" s="132"/>
      <c r="E275" s="9" t="s">
        <v>612</v>
      </c>
      <c r="F275" s="45"/>
      <c r="I275" s="132"/>
      <c r="J275" s="132"/>
    </row>
    <row r="276" spans="1:10" ht="45.75" x14ac:dyDescent="0.2">
      <c r="E276" s="10"/>
      <c r="F276" s="68"/>
    </row>
    <row r="277" spans="1:10" ht="45.75" x14ac:dyDescent="0.2">
      <c r="E277" s="10" t="s">
        <v>613</v>
      </c>
      <c r="F277" s="68"/>
    </row>
    <row r="278" spans="1:10" ht="45.75" x14ac:dyDescent="0.2">
      <c r="E278" s="10"/>
      <c r="F278" s="68"/>
    </row>
    <row r="279" spans="1:10" ht="45.75" x14ac:dyDescent="0.2">
      <c r="A279" s="132"/>
      <c r="B279" s="132"/>
      <c r="C279" s="132"/>
      <c r="D279" s="132"/>
      <c r="E279" s="10"/>
      <c r="F279" s="68"/>
      <c r="G279" s="132"/>
      <c r="H279" s="132"/>
      <c r="I279" s="132"/>
      <c r="J279" s="132"/>
    </row>
    <row r="280" spans="1:10" ht="45.75" x14ac:dyDescent="0.2">
      <c r="A280" s="132"/>
      <c r="B280" s="132"/>
      <c r="C280" s="132"/>
      <c r="D280" s="132"/>
      <c r="E280" s="10"/>
      <c r="F280" s="68"/>
      <c r="G280" s="132"/>
      <c r="H280" s="132"/>
      <c r="I280" s="132"/>
      <c r="J280" s="132"/>
    </row>
    <row r="281" spans="1:10" ht="45.75" x14ac:dyDescent="0.2">
      <c r="A281" s="132"/>
      <c r="B281" s="132"/>
      <c r="C281" s="132"/>
      <c r="D281" s="132"/>
      <c r="E281" s="10"/>
      <c r="F281" s="68"/>
      <c r="G281" s="132"/>
      <c r="H281" s="132"/>
      <c r="I281" s="132"/>
      <c r="J281" s="132"/>
    </row>
    <row r="282" spans="1:10" ht="45.75" x14ac:dyDescent="0.2">
      <c r="A282" s="132"/>
      <c r="B282" s="132"/>
      <c r="C282" s="132"/>
      <c r="D282" s="132"/>
      <c r="E282" s="10"/>
      <c r="F282" s="68"/>
      <c r="G282" s="132"/>
      <c r="H282" s="132"/>
      <c r="I282" s="132"/>
      <c r="J282" s="132"/>
    </row>
  </sheetData>
  <mergeCells count="181">
    <mergeCell ref="H234:H235"/>
    <mergeCell ref="I234:I235"/>
    <mergeCell ref="J234:J235"/>
    <mergeCell ref="D234:D235"/>
    <mergeCell ref="A234:A235"/>
    <mergeCell ref="B234:B235"/>
    <mergeCell ref="C234:C235"/>
    <mergeCell ref="G234:G235"/>
    <mergeCell ref="J64:J65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H180:H181"/>
    <mergeCell ref="I180:I181"/>
    <mergeCell ref="J180:J181"/>
    <mergeCell ref="A183:A184"/>
    <mergeCell ref="B183:B184"/>
    <mergeCell ref="C183:C184"/>
    <mergeCell ref="E183:E184"/>
    <mergeCell ref="F183:F184"/>
    <mergeCell ref="G183:G184"/>
    <mergeCell ref="H183:H184"/>
    <mergeCell ref="I183:I184"/>
    <mergeCell ref="J183:J184"/>
    <mergeCell ref="D270:J270"/>
    <mergeCell ref="A265:J265"/>
    <mergeCell ref="G96:G97"/>
    <mergeCell ref="H96:H97"/>
    <mergeCell ref="I96:I97"/>
    <mergeCell ref="J96:J97"/>
    <mergeCell ref="A131:A132"/>
    <mergeCell ref="B131:B132"/>
    <mergeCell ref="C131:C132"/>
    <mergeCell ref="E131:E132"/>
    <mergeCell ref="F131:F132"/>
    <mergeCell ref="G131:G132"/>
    <mergeCell ref="H131:H132"/>
    <mergeCell ref="I131:I132"/>
    <mergeCell ref="J131:J132"/>
    <mergeCell ref="A180:A181"/>
    <mergeCell ref="B180:B181"/>
    <mergeCell ref="C180:C181"/>
    <mergeCell ref="D180:D181"/>
    <mergeCell ref="G180:G181"/>
    <mergeCell ref="A173:A174"/>
    <mergeCell ref="B173:B174"/>
    <mergeCell ref="C173:C174"/>
    <mergeCell ref="D173:D174"/>
    <mergeCell ref="J82:J83"/>
    <mergeCell ref="G91:G92"/>
    <mergeCell ref="H91:H92"/>
    <mergeCell ref="I91:I92"/>
    <mergeCell ref="J91:J92"/>
    <mergeCell ref="G93:G94"/>
    <mergeCell ref="H93:H94"/>
    <mergeCell ref="I93:I94"/>
    <mergeCell ref="J93:J94"/>
    <mergeCell ref="G87:G88"/>
    <mergeCell ref="H87:H88"/>
    <mergeCell ref="I87:I88"/>
    <mergeCell ref="J87:J88"/>
    <mergeCell ref="G89:G90"/>
    <mergeCell ref="H89:H90"/>
    <mergeCell ref="I89:I90"/>
    <mergeCell ref="J89:J90"/>
    <mergeCell ref="A176:A177"/>
    <mergeCell ref="I1:J1"/>
    <mergeCell ref="I2:J2"/>
    <mergeCell ref="I3:J3"/>
    <mergeCell ref="A5:J5"/>
    <mergeCell ref="A8:J8"/>
    <mergeCell ref="A26:A27"/>
    <mergeCell ref="B26:B27"/>
    <mergeCell ref="C26:C27"/>
    <mergeCell ref="E26:E27"/>
    <mergeCell ref="F26:F27"/>
    <mergeCell ref="H26:H27"/>
    <mergeCell ref="I26:I27"/>
    <mergeCell ref="J26:J27"/>
    <mergeCell ref="G26:G27"/>
    <mergeCell ref="L21:L22"/>
    <mergeCell ref="M21:M22"/>
    <mergeCell ref="A6:J6"/>
    <mergeCell ref="A9:J9"/>
    <mergeCell ref="A10:J10"/>
    <mergeCell ref="F12:F13"/>
    <mergeCell ref="G12:G13"/>
    <mergeCell ref="A12:A13"/>
    <mergeCell ref="B12:B13"/>
    <mergeCell ref="C12:C13"/>
    <mergeCell ref="D12:D13"/>
    <mergeCell ref="E12:E13"/>
    <mergeCell ref="H12:H13"/>
    <mergeCell ref="I12:J12"/>
    <mergeCell ref="B176:B177"/>
    <mergeCell ref="C176:C177"/>
    <mergeCell ref="D176:D177"/>
    <mergeCell ref="K21:K22"/>
    <mergeCell ref="G76:G77"/>
    <mergeCell ref="H76:H77"/>
    <mergeCell ref="I76:I77"/>
    <mergeCell ref="J76:J77"/>
    <mergeCell ref="G84:G85"/>
    <mergeCell ref="H84:H85"/>
    <mergeCell ref="I84:I85"/>
    <mergeCell ref="J84:J85"/>
    <mergeCell ref="G78:G79"/>
    <mergeCell ref="H78:H79"/>
    <mergeCell ref="I78:I79"/>
    <mergeCell ref="J78:J79"/>
    <mergeCell ref="G80:G81"/>
    <mergeCell ref="H80:H81"/>
    <mergeCell ref="I80:I81"/>
    <mergeCell ref="J80:J81"/>
    <mergeCell ref="G82:G83"/>
    <mergeCell ref="H82:H83"/>
    <mergeCell ref="I82:I83"/>
    <mergeCell ref="H192:H193"/>
    <mergeCell ref="I192:I193"/>
    <mergeCell ref="J192:J193"/>
    <mergeCell ref="H194:H195"/>
    <mergeCell ref="I194:I195"/>
    <mergeCell ref="J194:J195"/>
    <mergeCell ref="A192:A193"/>
    <mergeCell ref="B192:B193"/>
    <mergeCell ref="C192:C193"/>
    <mergeCell ref="D192:D193"/>
    <mergeCell ref="G192:G193"/>
    <mergeCell ref="G194:G195"/>
    <mergeCell ref="A194:A196"/>
    <mergeCell ref="B194:B196"/>
    <mergeCell ref="C194:C196"/>
    <mergeCell ref="D194:D196"/>
    <mergeCell ref="H198:H199"/>
    <mergeCell ref="I198:I199"/>
    <mergeCell ref="J198:J199"/>
    <mergeCell ref="A200:A201"/>
    <mergeCell ref="B200:B201"/>
    <mergeCell ref="C200:C201"/>
    <mergeCell ref="D200:D201"/>
    <mergeCell ref="H200:H201"/>
    <mergeCell ref="I200:I201"/>
    <mergeCell ref="A198:A199"/>
    <mergeCell ref="B198:B199"/>
    <mergeCell ref="C198:C199"/>
    <mergeCell ref="D198:D199"/>
    <mergeCell ref="G198:G199"/>
    <mergeCell ref="G200:G201"/>
    <mergeCell ref="G202:G203"/>
    <mergeCell ref="G204:G205"/>
    <mergeCell ref="A221:A222"/>
    <mergeCell ref="B221:B222"/>
    <mergeCell ref="C221:C222"/>
    <mergeCell ref="E221:E222"/>
    <mergeCell ref="F221:F222"/>
    <mergeCell ref="G221:G222"/>
    <mergeCell ref="H221:H222"/>
    <mergeCell ref="A204:A205"/>
    <mergeCell ref="B204:B205"/>
    <mergeCell ref="C204:C205"/>
    <mergeCell ref="E204:E205"/>
    <mergeCell ref="F204:F205"/>
    <mergeCell ref="A202:A203"/>
    <mergeCell ref="B202:B203"/>
    <mergeCell ref="C202:C203"/>
    <mergeCell ref="D202:D203"/>
    <mergeCell ref="I221:I222"/>
    <mergeCell ref="J200:J201"/>
    <mergeCell ref="J221:J222"/>
    <mergeCell ref="H202:H203"/>
    <mergeCell ref="I202:I203"/>
    <mergeCell ref="J202:J203"/>
    <mergeCell ref="H204:H205"/>
    <mergeCell ref="I204:I205"/>
    <mergeCell ref="J204:J205"/>
  </mergeCells>
  <pageMargins left="0.23622047244094491" right="0.27559055118110237" top="0.27559055118110237" bottom="0.15748031496062992" header="0.23622047244094491" footer="0.27559055118110237"/>
  <pageSetup paperSize="9" scale="18" fitToHeight="0" orientation="landscape" r:id="rId1"/>
  <headerFooter alignWithMargins="0">
    <oddFooter>&amp;C&amp;"Times New Roman Cyr,курсив"Сторінка &amp;P з &amp;N</oddFooter>
  </headerFooter>
  <rowBreaks count="7" manualBreakCount="7">
    <brk id="21" max="9" man="1"/>
    <brk id="32" max="9" man="1"/>
    <brk id="105" max="9" man="1"/>
    <brk id="137" max="9" man="1"/>
    <brk id="194" max="9" man="1"/>
    <brk id="236" max="9" man="1"/>
    <brk id="269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6"/>
  <dimension ref="A1:J164"/>
  <sheetViews>
    <sheetView view="pageBreakPreview" zoomScale="85" zoomScaleNormal="85" zoomScaleSheetLayoutView="85" workbookViewId="0">
      <selection activeCell="C3" sqref="C3:D3"/>
    </sheetView>
  </sheetViews>
  <sheetFormatPr defaultColWidth="9.140625" defaultRowHeight="12.75" x14ac:dyDescent="0.2"/>
  <cols>
    <col min="1" max="1" width="18.140625" style="30" customWidth="1"/>
    <col min="2" max="2" width="108" style="30" customWidth="1"/>
    <col min="3" max="3" width="4" style="30" hidden="1" customWidth="1"/>
    <col min="4" max="4" width="17" style="30" customWidth="1"/>
    <col min="5" max="5" width="14.7109375" style="212" customWidth="1"/>
    <col min="6" max="6" width="21.85546875" style="212" bestFit="1" customWidth="1"/>
    <col min="7" max="7" width="18.85546875" style="30" bestFit="1" customWidth="1"/>
    <col min="8" max="9" width="9.140625" style="30"/>
    <col min="10" max="10" width="52.5703125" style="30" customWidth="1"/>
    <col min="11" max="16384" width="9.140625" style="30"/>
  </cols>
  <sheetData>
    <row r="1" spans="1:9" ht="16.5" customHeight="1" x14ac:dyDescent="0.2">
      <c r="C1" s="999" t="s">
        <v>727</v>
      </c>
      <c r="D1" s="999"/>
      <c r="E1" s="211"/>
      <c r="F1" s="211"/>
    </row>
    <row r="2" spans="1:9" ht="16.5" customHeight="1" x14ac:dyDescent="0.2">
      <c r="C2" s="1168" t="s">
        <v>1520</v>
      </c>
      <c r="D2" s="1169"/>
      <c r="E2" s="1169"/>
      <c r="F2" s="1169"/>
    </row>
    <row r="3" spans="1:9" ht="12.75" customHeight="1" x14ac:dyDescent="0.2">
      <c r="C3" s="999" t="s">
        <v>1521</v>
      </c>
      <c r="D3" s="1160"/>
    </row>
    <row r="4" spans="1:9" ht="12.75" customHeight="1" x14ac:dyDescent="0.2">
      <c r="C4" s="999"/>
      <c r="D4" s="1001"/>
    </row>
    <row r="5" spans="1:9" ht="16.5" x14ac:dyDescent="0.25">
      <c r="A5" s="1192" t="s">
        <v>684</v>
      </c>
      <c r="B5" s="1192"/>
      <c r="C5" s="1192"/>
      <c r="D5" s="1001"/>
      <c r="E5" s="1170"/>
      <c r="F5" s="1171"/>
      <c r="G5" s="1171"/>
      <c r="H5" s="1171"/>
      <c r="I5" s="1003"/>
    </row>
    <row r="6" spans="1:9" s="166" customFormat="1" ht="16.5" x14ac:dyDescent="0.25">
      <c r="A6" s="1192" t="s">
        <v>683</v>
      </c>
      <c r="B6" s="1192"/>
      <c r="C6" s="1192"/>
      <c r="D6" s="1001"/>
      <c r="E6" s="213"/>
      <c r="F6" s="214"/>
      <c r="G6" s="164"/>
      <c r="H6" s="164"/>
      <c r="I6" s="165"/>
    </row>
    <row r="7" spans="1:9" ht="16.5" x14ac:dyDescent="0.25">
      <c r="A7" s="1175" t="s">
        <v>138</v>
      </c>
      <c r="B7" s="1175"/>
      <c r="C7" s="1175"/>
      <c r="D7" s="1060"/>
      <c r="E7" s="1170"/>
      <c r="F7" s="1170"/>
      <c r="G7" s="1170"/>
      <c r="H7" s="1170"/>
      <c r="I7" s="1000"/>
    </row>
    <row r="8" spans="1:9" ht="16.5" x14ac:dyDescent="0.2">
      <c r="A8" s="1175" t="s">
        <v>620</v>
      </c>
      <c r="B8" s="1175"/>
      <c r="C8" s="1175"/>
      <c r="D8" s="1060"/>
      <c r="E8" s="1172"/>
      <c r="F8" s="1172"/>
      <c r="G8" s="1172"/>
      <c r="H8" s="1172"/>
      <c r="I8" s="1173"/>
    </row>
    <row r="9" spans="1:9" s="86" customFormat="1" ht="16.5" x14ac:dyDescent="0.2">
      <c r="A9" s="87"/>
      <c r="B9" s="87"/>
      <c r="C9" s="87"/>
      <c r="D9" s="81"/>
      <c r="E9" s="215"/>
      <c r="F9" s="215"/>
      <c r="G9" s="84"/>
      <c r="H9" s="84"/>
      <c r="I9" s="85"/>
    </row>
    <row r="10" spans="1:9" s="86" customFormat="1" ht="16.5" x14ac:dyDescent="0.2">
      <c r="A10" s="92">
        <v>22564000000</v>
      </c>
      <c r="B10" s="91"/>
      <c r="C10" s="87"/>
      <c r="D10" s="81"/>
      <c r="E10" s="215"/>
      <c r="F10" s="215"/>
      <c r="G10" s="84"/>
      <c r="H10" s="84"/>
      <c r="I10" s="85"/>
    </row>
    <row r="11" spans="1:9" s="86" customFormat="1" ht="16.5" x14ac:dyDescent="0.2">
      <c r="A11" s="93" t="s">
        <v>535</v>
      </c>
      <c r="B11" s="90"/>
      <c r="C11" s="87"/>
      <c r="D11" s="81"/>
      <c r="E11" s="215"/>
      <c r="F11" s="215"/>
      <c r="G11" s="84"/>
      <c r="H11" s="84"/>
      <c r="I11" s="85"/>
    </row>
    <row r="12" spans="1:9" ht="17.25" thickBot="1" x14ac:dyDescent="0.25">
      <c r="A12" s="76"/>
      <c r="B12" s="76"/>
      <c r="C12" s="77"/>
      <c r="D12" s="77" t="s">
        <v>431</v>
      </c>
      <c r="E12" s="215"/>
      <c r="F12" s="215"/>
      <c r="G12" s="31"/>
    </row>
    <row r="13" spans="1:9" s="32" customFormat="1" ht="50.25" customHeight="1" thickTop="1" thickBot="1" x14ac:dyDescent="0.25">
      <c r="A13" s="177" t="s">
        <v>139</v>
      </c>
      <c r="B13" s="1165" t="s">
        <v>140</v>
      </c>
      <c r="C13" s="1164"/>
      <c r="D13" s="1164"/>
      <c r="E13" s="216"/>
      <c r="F13" s="216"/>
    </row>
    <row r="14" spans="1:9" s="32" customFormat="1" ht="39.75" customHeight="1" thickTop="1" thickBot="1" x14ac:dyDescent="0.25">
      <c r="A14" s="94" t="s">
        <v>141</v>
      </c>
      <c r="B14" s="1161" t="s">
        <v>142</v>
      </c>
      <c r="C14" s="1174"/>
      <c r="D14" s="95">
        <v>100</v>
      </c>
      <c r="E14" s="216"/>
      <c r="F14" s="216"/>
    </row>
    <row r="15" spans="1:9" s="32" customFormat="1" ht="40.700000000000003" customHeight="1" thickTop="1" thickBot="1" x14ac:dyDescent="0.25">
      <c r="A15" s="94" t="s">
        <v>143</v>
      </c>
      <c r="B15" s="1161" t="s">
        <v>144</v>
      </c>
      <c r="C15" s="1174"/>
      <c r="D15" s="95">
        <v>4200000</v>
      </c>
      <c r="E15" s="216"/>
      <c r="F15" s="216"/>
    </row>
    <row r="16" spans="1:9" s="32" customFormat="1" ht="17.25" hidden="1" customHeight="1" thickTop="1" thickBot="1" x14ac:dyDescent="0.25">
      <c r="A16" s="94" t="s">
        <v>145</v>
      </c>
      <c r="B16" s="1161" t="s">
        <v>146</v>
      </c>
      <c r="C16" s="1174"/>
      <c r="D16" s="95">
        <v>0</v>
      </c>
      <c r="E16" s="216"/>
      <c r="F16" s="216"/>
    </row>
    <row r="17" spans="1:6" s="32" customFormat="1" ht="41.25" customHeight="1" thickTop="1" thickBot="1" x14ac:dyDescent="0.25">
      <c r="A17" s="732" t="s">
        <v>1339</v>
      </c>
      <c r="B17" s="752" t="s">
        <v>1340</v>
      </c>
      <c r="C17" s="733"/>
      <c r="D17" s="95">
        <f>2300000+500000</f>
        <v>2800000</v>
      </c>
      <c r="E17" s="216"/>
      <c r="F17" s="216"/>
    </row>
    <row r="18" spans="1:6" s="32" customFormat="1" ht="41.25" customHeight="1" thickTop="1" thickBot="1" x14ac:dyDescent="0.25">
      <c r="A18" s="94" t="s">
        <v>147</v>
      </c>
      <c r="B18" s="1161" t="s">
        <v>148</v>
      </c>
      <c r="C18" s="1174"/>
      <c r="D18" s="95">
        <v>1100</v>
      </c>
      <c r="E18" s="216"/>
      <c r="F18" s="216"/>
    </row>
    <row r="19" spans="1:6" s="32" customFormat="1" ht="26.45" customHeight="1" thickTop="1" thickBot="1" x14ac:dyDescent="0.25">
      <c r="A19" s="94"/>
      <c r="B19" s="1180" t="s">
        <v>149</v>
      </c>
      <c r="C19" s="1174"/>
      <c r="D19" s="96">
        <f>SUM(D14:D18)</f>
        <v>7001200</v>
      </c>
      <c r="E19" s="216"/>
      <c r="F19" s="216"/>
    </row>
    <row r="20" spans="1:6" s="32" customFormat="1" ht="26.45" hidden="1" customHeight="1" thickTop="1" thickBot="1" x14ac:dyDescent="0.25">
      <c r="A20" s="94"/>
      <c r="B20" s="1180" t="s">
        <v>471</v>
      </c>
      <c r="C20" s="1174"/>
      <c r="D20" s="96"/>
      <c r="E20" s="216"/>
      <c r="F20" s="216"/>
    </row>
    <row r="21" spans="1:6" s="32" customFormat="1" ht="26.45" customHeight="1" thickTop="1" thickBot="1" x14ac:dyDescent="0.25">
      <c r="A21" s="108"/>
      <c r="B21" s="1180" t="s">
        <v>621</v>
      </c>
      <c r="C21" s="1174"/>
      <c r="D21" s="96">
        <v>1155966.58</v>
      </c>
      <c r="E21" s="216"/>
      <c r="F21" s="216"/>
    </row>
    <row r="22" spans="1:6" s="32" customFormat="1" ht="26.45" customHeight="1" thickTop="1" thickBot="1" x14ac:dyDescent="0.25">
      <c r="A22" s="98" t="s">
        <v>408</v>
      </c>
      <c r="B22" s="1166" t="s">
        <v>539</v>
      </c>
      <c r="C22" s="1167"/>
      <c r="D22" s="97">
        <f>D19+D21</f>
        <v>8157166.5800000001</v>
      </c>
      <c r="E22" s="216"/>
      <c r="F22" s="216"/>
    </row>
    <row r="23" spans="1:6" s="32" customFormat="1" ht="47.25" customHeight="1" thickTop="1" thickBot="1" x14ac:dyDescent="0.25">
      <c r="A23" s="177" t="s">
        <v>139</v>
      </c>
      <c r="B23" s="1163" t="s">
        <v>150</v>
      </c>
      <c r="C23" s="1164"/>
      <c r="D23" s="1164"/>
      <c r="E23" s="216"/>
      <c r="F23" s="216"/>
    </row>
    <row r="24" spans="1:6" s="32" customFormat="1" ht="43.5" customHeight="1" thickTop="1" thickBot="1" x14ac:dyDescent="0.25">
      <c r="A24" s="153" t="s">
        <v>151</v>
      </c>
      <c r="B24" s="1161" t="s">
        <v>152</v>
      </c>
      <c r="C24" s="1162"/>
      <c r="D24" s="95">
        <v>114000</v>
      </c>
      <c r="E24" s="216"/>
      <c r="F24" s="216"/>
    </row>
    <row r="25" spans="1:6" s="32" customFormat="1" ht="44.45" customHeight="1" thickTop="1" thickBot="1" x14ac:dyDescent="0.25">
      <c r="A25" s="153" t="s">
        <v>153</v>
      </c>
      <c r="B25" s="1161" t="s">
        <v>154</v>
      </c>
      <c r="C25" s="1162"/>
      <c r="D25" s="95">
        <f>(126000)+18000</f>
        <v>144000</v>
      </c>
      <c r="E25" s="216"/>
      <c r="F25" s="216"/>
    </row>
    <row r="26" spans="1:6" s="32" customFormat="1" ht="44.45" customHeight="1" thickTop="1" thickBot="1" x14ac:dyDescent="0.25">
      <c r="A26" s="153" t="s">
        <v>514</v>
      </c>
      <c r="B26" s="1161" t="s">
        <v>437</v>
      </c>
      <c r="C26" s="1162"/>
      <c r="D26" s="95">
        <v>322000</v>
      </c>
      <c r="E26" s="216"/>
      <c r="F26" s="216"/>
    </row>
    <row r="27" spans="1:6" s="32" customFormat="1" ht="32.25" customHeight="1" thickTop="1" thickBot="1" x14ac:dyDescent="0.25">
      <c r="A27" s="153" t="s">
        <v>155</v>
      </c>
      <c r="B27" s="1161" t="s">
        <v>157</v>
      </c>
      <c r="C27" s="1162"/>
      <c r="D27" s="95">
        <v>268330</v>
      </c>
      <c r="E27" s="216"/>
      <c r="F27" s="216"/>
    </row>
    <row r="28" spans="1:6" s="32" customFormat="1" ht="55.5" customHeight="1" thickTop="1" thickBot="1" x14ac:dyDescent="0.25">
      <c r="A28" s="153" t="s">
        <v>156</v>
      </c>
      <c r="B28" s="1161" t="s">
        <v>472</v>
      </c>
      <c r="C28" s="1162"/>
      <c r="D28" s="95">
        <f>((190000+1753600)+1137966.58)-450000-580522+50000</f>
        <v>2101044.58</v>
      </c>
      <c r="E28" s="216"/>
      <c r="F28" s="216"/>
    </row>
    <row r="29" spans="1:6" s="32" customFormat="1" ht="76.5" customHeight="1" thickTop="1" thickBot="1" x14ac:dyDescent="0.25">
      <c r="A29" s="153" t="s">
        <v>158</v>
      </c>
      <c r="B29" s="1161" t="s">
        <v>159</v>
      </c>
      <c r="C29" s="1162"/>
      <c r="D29" s="95">
        <f>(190000)+800000</f>
        <v>990000</v>
      </c>
      <c r="E29" s="216"/>
      <c r="F29" s="216"/>
    </row>
    <row r="30" spans="1:6" s="32" customFormat="1" ht="76.5" customHeight="1" thickTop="1" thickBot="1" x14ac:dyDescent="0.25">
      <c r="A30" s="720" t="s">
        <v>1304</v>
      </c>
      <c r="B30" s="717" t="s">
        <v>1305</v>
      </c>
      <c r="C30" s="718"/>
      <c r="D30" s="95">
        <f>980522+1500000+500000</f>
        <v>2980522</v>
      </c>
      <c r="E30" s="216"/>
      <c r="F30" s="216"/>
    </row>
    <row r="31" spans="1:6" s="32" customFormat="1" ht="48" customHeight="1" thickTop="1" thickBot="1" x14ac:dyDescent="0.25">
      <c r="A31" s="153" t="s">
        <v>515</v>
      </c>
      <c r="B31" s="1161" t="s">
        <v>160</v>
      </c>
      <c r="C31" s="1162"/>
      <c r="D31" s="95">
        <v>49000</v>
      </c>
      <c r="E31" s="216"/>
      <c r="F31" s="216"/>
    </row>
    <row r="32" spans="1:6" s="32" customFormat="1" ht="54" customHeight="1" thickTop="1" thickBot="1" x14ac:dyDescent="0.3">
      <c r="A32" s="1186" t="s">
        <v>516</v>
      </c>
      <c r="B32" s="1184" t="s">
        <v>513</v>
      </c>
      <c r="C32" s="1185"/>
      <c r="D32" s="1188">
        <v>1188270</v>
      </c>
      <c r="E32" s="216"/>
      <c r="F32" s="216"/>
    </row>
    <row r="33" spans="1:7" s="32" customFormat="1" ht="54" customHeight="1" thickTop="1" thickBot="1" x14ac:dyDescent="0.25">
      <c r="A33" s="1187"/>
      <c r="B33" s="1181" t="s">
        <v>512</v>
      </c>
      <c r="C33" s="1182"/>
      <c r="D33" s="1189"/>
      <c r="E33" s="216"/>
      <c r="F33" s="216"/>
    </row>
    <row r="34" spans="1:7" s="32" customFormat="1" ht="27.75" customHeight="1" thickTop="1" thickBot="1" x14ac:dyDescent="0.25">
      <c r="A34" s="98" t="s">
        <v>408</v>
      </c>
      <c r="B34" s="1166" t="s">
        <v>539</v>
      </c>
      <c r="C34" s="1183"/>
      <c r="D34" s="97">
        <f>SUM(D24:D33)</f>
        <v>8157166.5800000001</v>
      </c>
      <c r="E34" s="263" t="b">
        <f>D22=D34</f>
        <v>1</v>
      </c>
      <c r="F34" s="263" t="b">
        <f>D34='d3'!J30+'d3'!J167+'d3'!J236+'d3'!J260+'d3'!J287</f>
        <v>1</v>
      </c>
      <c r="G34" s="263" t="b">
        <f>D34='d7'!G204+'d7'!G183+'d7'!G131+'d7'!G26+'d7'!G221</f>
        <v>1</v>
      </c>
    </row>
    <row r="35" spans="1:7" s="119" customFormat="1" ht="27.75" customHeight="1" thickTop="1" x14ac:dyDescent="0.2">
      <c r="A35" s="115"/>
      <c r="B35" s="116"/>
      <c r="C35" s="117"/>
      <c r="D35" s="118"/>
      <c r="E35" s="217"/>
      <c r="F35" s="217"/>
    </row>
    <row r="36" spans="1:7" ht="19.5" customHeight="1" x14ac:dyDescent="0.25">
      <c r="B36" s="1190" t="s">
        <v>1508</v>
      </c>
      <c r="C36" s="1191"/>
      <c r="D36" s="763" t="s">
        <v>1509</v>
      </c>
      <c r="E36" s="759"/>
    </row>
    <row r="37" spans="1:7" ht="16.5" x14ac:dyDescent="0.2">
      <c r="B37" s="149"/>
      <c r="C37" s="150"/>
      <c r="D37" s="150"/>
      <c r="E37" s="219"/>
    </row>
    <row r="38" spans="1:7" ht="18.75" x14ac:dyDescent="0.25">
      <c r="A38" s="65" t="s">
        <v>611</v>
      </c>
      <c r="B38" s="628" t="s">
        <v>606</v>
      </c>
      <c r="C38" s="629" t="s">
        <v>607</v>
      </c>
      <c r="D38" s="630" t="s">
        <v>607</v>
      </c>
      <c r="E38" s="218"/>
    </row>
    <row r="39" spans="1:7" ht="18.75" x14ac:dyDescent="0.2">
      <c r="A39" s="65"/>
      <c r="B39" s="65"/>
      <c r="C39" s="65"/>
    </row>
    <row r="40" spans="1:7" ht="18.75" x14ac:dyDescent="0.2">
      <c r="A40" s="1179"/>
      <c r="B40" s="1179"/>
      <c r="C40" s="64"/>
    </row>
    <row r="46" spans="1:7" ht="16.5" x14ac:dyDescent="0.2">
      <c r="A46" s="1178"/>
      <c r="B46" s="33"/>
      <c r="C46" s="34"/>
      <c r="D46" s="35"/>
    </row>
    <row r="47" spans="1:7" ht="16.5" x14ac:dyDescent="0.2">
      <c r="A47" s="1178"/>
      <c r="B47" s="36"/>
      <c r="C47" s="34"/>
      <c r="D47" s="35"/>
    </row>
    <row r="48" spans="1:7" ht="16.5" x14ac:dyDescent="0.2">
      <c r="A48" s="1178"/>
      <c r="B48" s="37"/>
      <c r="C48" s="34"/>
      <c r="D48" s="35"/>
    </row>
    <row r="49" spans="1:4" ht="16.5" x14ac:dyDescent="0.2">
      <c r="A49" s="1178"/>
      <c r="B49" s="33"/>
      <c r="C49" s="34"/>
      <c r="D49" s="35"/>
    </row>
    <row r="50" spans="1:4" ht="16.5" x14ac:dyDescent="0.2">
      <c r="A50" s="1178"/>
      <c r="B50" s="33"/>
      <c r="C50" s="34"/>
      <c r="D50" s="35"/>
    </row>
    <row r="81" spans="6:6" x14ac:dyDescent="0.2">
      <c r="F81" s="1176"/>
    </row>
    <row r="82" spans="6:6" x14ac:dyDescent="0.2">
      <c r="F82" s="1177"/>
    </row>
    <row r="118" spans="6:6" x14ac:dyDescent="0.2">
      <c r="F118" s="212">
        <f>G118+H118</f>
        <v>0</v>
      </c>
    </row>
    <row r="120" spans="6:6" x14ac:dyDescent="0.2">
      <c r="F120" s="212">
        <f t="shared" ref="F120:F130" si="0">G120+H120</f>
        <v>0</v>
      </c>
    </row>
    <row r="121" spans="6:6" x14ac:dyDescent="0.2">
      <c r="F121" s="212">
        <f t="shared" si="0"/>
        <v>0</v>
      </c>
    </row>
    <row r="122" spans="6:6" x14ac:dyDescent="0.2">
      <c r="F122" s="212">
        <f t="shared" si="0"/>
        <v>0</v>
      </c>
    </row>
    <row r="123" spans="6:6" x14ac:dyDescent="0.2">
      <c r="F123" s="212">
        <f t="shared" si="0"/>
        <v>0</v>
      </c>
    </row>
    <row r="124" spans="6:6" x14ac:dyDescent="0.2">
      <c r="F124" s="212">
        <f t="shared" si="0"/>
        <v>0</v>
      </c>
    </row>
    <row r="125" spans="6:6" x14ac:dyDescent="0.2">
      <c r="F125" s="212">
        <f t="shared" si="0"/>
        <v>0</v>
      </c>
    </row>
    <row r="126" spans="6:6" x14ac:dyDescent="0.2">
      <c r="F126" s="212">
        <f t="shared" si="0"/>
        <v>0</v>
      </c>
    </row>
    <row r="127" spans="6:6" x14ac:dyDescent="0.2">
      <c r="F127" s="212">
        <f t="shared" si="0"/>
        <v>0</v>
      </c>
    </row>
    <row r="128" spans="6:6" x14ac:dyDescent="0.2">
      <c r="F128" s="212">
        <f t="shared" si="0"/>
        <v>0</v>
      </c>
    </row>
    <row r="129" spans="6:9" x14ac:dyDescent="0.2">
      <c r="F129" s="212">
        <f t="shared" si="0"/>
        <v>0</v>
      </c>
    </row>
    <row r="130" spans="6:9" x14ac:dyDescent="0.2">
      <c r="F130" s="212">
        <f t="shared" si="0"/>
        <v>0</v>
      </c>
    </row>
    <row r="132" spans="6:9" x14ac:dyDescent="0.2">
      <c r="F132" s="212">
        <f>G133+H133</f>
        <v>0</v>
      </c>
    </row>
    <row r="133" spans="6:9" x14ac:dyDescent="0.2">
      <c r="F133" s="212">
        <f t="shared" ref="F133" si="1">G133+H133</f>
        <v>0</v>
      </c>
    </row>
    <row r="134" spans="6:9" x14ac:dyDescent="0.2">
      <c r="F134" s="212">
        <f>G134+H134</f>
        <v>0</v>
      </c>
    </row>
    <row r="135" spans="6:9" x14ac:dyDescent="0.2">
      <c r="F135" s="212">
        <f>G135+H135</f>
        <v>0</v>
      </c>
    </row>
    <row r="136" spans="6:9" x14ac:dyDescent="0.2">
      <c r="F136" s="212">
        <f>G136+H136</f>
        <v>0</v>
      </c>
    </row>
    <row r="137" spans="6:9" x14ac:dyDescent="0.2">
      <c r="F137" s="212">
        <f>G137+H137</f>
        <v>0</v>
      </c>
    </row>
    <row r="142" spans="6:9" ht="46.5" x14ac:dyDescent="0.2">
      <c r="I142" s="74"/>
    </row>
    <row r="145" spans="6:9" ht="46.5" x14ac:dyDescent="0.2">
      <c r="F145" s="220">
        <f>G145+H145</f>
        <v>0</v>
      </c>
      <c r="I145" s="74"/>
    </row>
    <row r="164" spans="10:10" ht="90" x14ac:dyDescent="0.2">
      <c r="J164" s="72" t="b">
        <f>F164=G164+H164</f>
        <v>1</v>
      </c>
    </row>
  </sheetData>
  <mergeCells count="37">
    <mergeCell ref="B16:C16"/>
    <mergeCell ref="B15:C15"/>
    <mergeCell ref="B14:C14"/>
    <mergeCell ref="A5:D5"/>
    <mergeCell ref="A7:D7"/>
    <mergeCell ref="A6:D6"/>
    <mergeCell ref="F81:F82"/>
    <mergeCell ref="A46:A50"/>
    <mergeCell ref="A40:B40"/>
    <mergeCell ref="B20:C20"/>
    <mergeCell ref="B19:C19"/>
    <mergeCell ref="B33:C33"/>
    <mergeCell ref="B34:C34"/>
    <mergeCell ref="B32:C32"/>
    <mergeCell ref="B31:C31"/>
    <mergeCell ref="B29:C29"/>
    <mergeCell ref="B28:C28"/>
    <mergeCell ref="A32:A33"/>
    <mergeCell ref="D32:D33"/>
    <mergeCell ref="B21:C21"/>
    <mergeCell ref="B36:C36"/>
    <mergeCell ref="C1:D1"/>
    <mergeCell ref="C3:D3"/>
    <mergeCell ref="C4:D4"/>
    <mergeCell ref="B27:C27"/>
    <mergeCell ref="B26:C26"/>
    <mergeCell ref="B25:C25"/>
    <mergeCell ref="B24:C24"/>
    <mergeCell ref="B23:D23"/>
    <mergeCell ref="B13:D13"/>
    <mergeCell ref="B22:C22"/>
    <mergeCell ref="C2:F2"/>
    <mergeCell ref="E5:I5"/>
    <mergeCell ref="E7:I7"/>
    <mergeCell ref="E8:I8"/>
    <mergeCell ref="B18:C18"/>
    <mergeCell ref="A8:D8"/>
  </mergeCells>
  <pageMargins left="0.23622047244094491" right="0.31496062992125984" top="0.27559055118110237" bottom="0" header="0.23622047244094491" footer="0.19685039370078741"/>
  <pageSetup paperSize="9" scale="6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6"/>
  <sheetViews>
    <sheetView tabSelected="1" view="pageBreakPreview" zoomScale="85" zoomScaleNormal="85" zoomScaleSheetLayoutView="85" workbookViewId="0">
      <selection activeCell="F3" sqref="F3:I3"/>
    </sheetView>
  </sheetViews>
  <sheetFormatPr defaultColWidth="9.140625" defaultRowHeight="12.75" x14ac:dyDescent="0.2"/>
  <cols>
    <col min="1" max="1" width="6.85546875" style="109" customWidth="1"/>
    <col min="2" max="2" width="15.140625" style="109" customWidth="1"/>
    <col min="3" max="3" width="15.28515625" style="109" customWidth="1"/>
    <col min="4" max="4" width="10.85546875" style="109" customWidth="1"/>
    <col min="5" max="5" width="58.140625" style="109" customWidth="1"/>
    <col min="6" max="6" width="15.85546875" style="109" customWidth="1"/>
    <col min="7" max="7" width="9.140625" style="187"/>
    <col min="8" max="10" width="9.140625" style="109"/>
    <col min="11" max="11" width="52.5703125" style="109" customWidth="1"/>
    <col min="12" max="16384" width="9.140625" style="109"/>
  </cols>
  <sheetData>
    <row r="1" spans="1:10" x14ac:dyDescent="0.2">
      <c r="A1" s="40"/>
      <c r="B1" s="40"/>
      <c r="C1" s="40"/>
      <c r="D1" s="40"/>
      <c r="E1" s="40"/>
      <c r="F1" s="40" t="s">
        <v>728</v>
      </c>
    </row>
    <row r="2" spans="1:10" x14ac:dyDescent="0.2">
      <c r="A2" s="40"/>
      <c r="B2" s="40"/>
      <c r="C2" s="40"/>
      <c r="D2" s="40"/>
      <c r="E2" s="40"/>
      <c r="F2" s="40" t="s">
        <v>1520</v>
      </c>
    </row>
    <row r="3" spans="1:10" x14ac:dyDescent="0.2">
      <c r="A3" s="40"/>
      <c r="B3" s="40"/>
      <c r="C3" s="40"/>
      <c r="D3" s="40"/>
      <c r="E3" s="40"/>
      <c r="F3" s="1197" t="s">
        <v>1522</v>
      </c>
      <c r="G3" s="1198"/>
      <c r="H3" s="1198"/>
      <c r="I3" s="1198"/>
    </row>
    <row r="4" spans="1:10" ht="15.75" x14ac:dyDescent="0.25">
      <c r="A4" s="1199" t="s">
        <v>686</v>
      </c>
      <c r="B4" s="1200"/>
      <c r="C4" s="1200"/>
      <c r="D4" s="1200"/>
      <c r="E4" s="1200"/>
      <c r="F4" s="1200"/>
    </row>
    <row r="5" spans="1:10" s="158" customFormat="1" ht="15.75" x14ac:dyDescent="0.25">
      <c r="A5" s="1199" t="s">
        <v>685</v>
      </c>
      <c r="B5" s="1200"/>
      <c r="C5" s="1200"/>
      <c r="D5" s="1200"/>
      <c r="E5" s="1200"/>
      <c r="F5" s="1200"/>
      <c r="G5" s="187"/>
    </row>
    <row r="6" spans="1:10" ht="15.75" x14ac:dyDescent="0.25">
      <c r="A6" s="1199" t="s">
        <v>1075</v>
      </c>
      <c r="B6" s="1200"/>
      <c r="C6" s="1200"/>
      <c r="D6" s="1200"/>
      <c r="E6" s="1200"/>
      <c r="F6" s="1200"/>
    </row>
    <row r="7" spans="1:10" ht="15.75" x14ac:dyDescent="0.25">
      <c r="B7" s="512"/>
      <c r="C7" s="1199" t="s">
        <v>1074</v>
      </c>
      <c r="D7" s="1200"/>
      <c r="E7" s="1200"/>
      <c r="F7" s="512"/>
    </row>
    <row r="8" spans="1:10" ht="12.75" customHeight="1" x14ac:dyDescent="0.25">
      <c r="A8" s="513"/>
      <c r="B8" s="513"/>
      <c r="C8" s="513"/>
      <c r="D8" s="513"/>
      <c r="E8" s="513"/>
      <c r="F8" s="513"/>
      <c r="G8" s="513"/>
      <c r="H8" s="513"/>
      <c r="I8" s="513"/>
      <c r="J8" s="513"/>
    </row>
    <row r="9" spans="1:10" x14ac:dyDescent="0.2">
      <c r="A9" s="1201">
        <v>22564000000</v>
      </c>
      <c r="B9" s="1003"/>
      <c r="C9" s="111"/>
      <c r="D9" s="111"/>
      <c r="E9" s="111"/>
      <c r="F9" s="111"/>
    </row>
    <row r="10" spans="1:10" x14ac:dyDescent="0.2">
      <c r="A10" s="1202" t="s">
        <v>535</v>
      </c>
      <c r="B10" s="1203"/>
      <c r="C10" s="111"/>
      <c r="D10" s="111"/>
      <c r="E10" s="111"/>
      <c r="F10" s="111"/>
    </row>
    <row r="11" spans="1:10" ht="13.5" thickBot="1" x14ac:dyDescent="0.25">
      <c r="A11" s="110"/>
      <c r="B11" s="110"/>
      <c r="C11" s="111"/>
      <c r="D11" s="111"/>
      <c r="E11" s="111"/>
      <c r="F11" s="111"/>
    </row>
    <row r="12" spans="1:10" ht="48" customHeight="1" thickTop="1" thickBot="1" x14ac:dyDescent="0.25">
      <c r="A12" s="174" t="s">
        <v>339</v>
      </c>
      <c r="B12" s="175" t="s">
        <v>340</v>
      </c>
      <c r="C12" s="175" t="s">
        <v>20</v>
      </c>
      <c r="D12" s="175" t="s">
        <v>16</v>
      </c>
      <c r="E12" s="174" t="s">
        <v>341</v>
      </c>
      <c r="F12" s="176" t="s">
        <v>432</v>
      </c>
    </row>
    <row r="13" spans="1:10" ht="17.25" thickTop="1" thickBot="1" x14ac:dyDescent="0.25">
      <c r="A13" s="181">
        <v>1</v>
      </c>
      <c r="B13" s="482" t="s">
        <v>328</v>
      </c>
      <c r="C13" s="482" t="s">
        <v>329</v>
      </c>
      <c r="D13" s="482" t="s">
        <v>54</v>
      </c>
      <c r="E13" s="482" t="s">
        <v>1107</v>
      </c>
      <c r="F13" s="483">
        <f>100900+50000</f>
        <v>150900</v>
      </c>
    </row>
    <row r="14" spans="1:10" ht="17.25" thickTop="1" thickBot="1" x14ac:dyDescent="0.25">
      <c r="A14" s="181">
        <v>2</v>
      </c>
      <c r="B14" s="482" t="s">
        <v>328</v>
      </c>
      <c r="C14" s="482" t="s">
        <v>329</v>
      </c>
      <c r="D14" s="482" t="s">
        <v>54</v>
      </c>
      <c r="E14" s="482" t="s">
        <v>571</v>
      </c>
      <c r="F14" s="483">
        <f>100000+60000</f>
        <v>160000</v>
      </c>
    </row>
    <row r="15" spans="1:10" ht="64.5" thickTop="1" thickBot="1" x14ac:dyDescent="0.25">
      <c r="A15" s="181">
        <v>3</v>
      </c>
      <c r="B15" s="482" t="s">
        <v>328</v>
      </c>
      <c r="C15" s="482" t="s">
        <v>329</v>
      </c>
      <c r="D15" s="482" t="s">
        <v>54</v>
      </c>
      <c r="E15" s="482" t="s">
        <v>1108</v>
      </c>
      <c r="F15" s="483">
        <v>48000</v>
      </c>
    </row>
    <row r="16" spans="1:10" s="536" customFormat="1" ht="17.25" thickTop="1" thickBot="1" x14ac:dyDescent="0.25">
      <c r="A16" s="181">
        <v>4</v>
      </c>
      <c r="B16" s="482" t="s">
        <v>328</v>
      </c>
      <c r="C16" s="482" t="s">
        <v>329</v>
      </c>
      <c r="D16" s="482" t="s">
        <v>54</v>
      </c>
      <c r="E16" s="482" t="s">
        <v>1109</v>
      </c>
      <c r="F16" s="483">
        <v>45000</v>
      </c>
      <c r="G16" s="542"/>
    </row>
    <row r="17" spans="1:7" s="536" customFormat="1" ht="80.25" thickTop="1" thickBot="1" x14ac:dyDescent="0.25">
      <c r="A17" s="181">
        <v>5</v>
      </c>
      <c r="B17" s="482" t="s">
        <v>508</v>
      </c>
      <c r="C17" s="482" t="s">
        <v>509</v>
      </c>
      <c r="D17" s="482" t="s">
        <v>507</v>
      </c>
      <c r="E17" s="482" t="s">
        <v>632</v>
      </c>
      <c r="F17" s="483">
        <f>70000+45000+196238.96</f>
        <v>311238.95999999996</v>
      </c>
      <c r="G17" s="542"/>
    </row>
    <row r="18" spans="1:7" s="536" customFormat="1" ht="64.5" thickTop="1" thickBot="1" x14ac:dyDescent="0.25">
      <c r="A18" s="181">
        <v>6</v>
      </c>
      <c r="B18" s="482" t="s">
        <v>508</v>
      </c>
      <c r="C18" s="482" t="s">
        <v>509</v>
      </c>
      <c r="D18" s="482" t="s">
        <v>507</v>
      </c>
      <c r="E18" s="482" t="s">
        <v>1110</v>
      </c>
      <c r="F18" s="483">
        <v>50000</v>
      </c>
      <c r="G18" s="542"/>
    </row>
    <row r="19" spans="1:7" s="536" customFormat="1" ht="33" thickTop="1" thickBot="1" x14ac:dyDescent="0.25">
      <c r="A19" s="181">
        <v>7</v>
      </c>
      <c r="B19" s="482" t="s">
        <v>569</v>
      </c>
      <c r="C19" s="482" t="s">
        <v>567</v>
      </c>
      <c r="D19" s="482" t="s">
        <v>570</v>
      </c>
      <c r="E19" s="482" t="s">
        <v>633</v>
      </c>
      <c r="F19" s="483">
        <v>5000</v>
      </c>
      <c r="G19" s="542"/>
    </row>
    <row r="20" spans="1:7" s="536" customFormat="1" ht="33" thickTop="1" thickBot="1" x14ac:dyDescent="0.25">
      <c r="A20" s="181">
        <v>8</v>
      </c>
      <c r="B20" s="482" t="s">
        <v>569</v>
      </c>
      <c r="C20" s="482" t="s">
        <v>567</v>
      </c>
      <c r="D20" s="482" t="s">
        <v>570</v>
      </c>
      <c r="E20" s="482" t="s">
        <v>634</v>
      </c>
      <c r="F20" s="483">
        <v>120000</v>
      </c>
      <c r="G20" s="542"/>
    </row>
    <row r="21" spans="1:7" s="536" customFormat="1" ht="64.5" thickTop="1" thickBot="1" x14ac:dyDescent="0.25">
      <c r="A21" s="181">
        <v>9</v>
      </c>
      <c r="B21" s="482" t="s">
        <v>569</v>
      </c>
      <c r="C21" s="482" t="s">
        <v>567</v>
      </c>
      <c r="D21" s="482" t="s">
        <v>570</v>
      </c>
      <c r="E21" s="482" t="s">
        <v>1111</v>
      </c>
      <c r="F21" s="483">
        <v>50000</v>
      </c>
      <c r="G21" s="542"/>
    </row>
    <row r="22" spans="1:7" s="536" customFormat="1" ht="80.25" thickTop="1" thickBot="1" x14ac:dyDescent="0.25">
      <c r="A22" s="181">
        <v>10</v>
      </c>
      <c r="B22" s="482" t="s">
        <v>330</v>
      </c>
      <c r="C22" s="482" t="s">
        <v>331</v>
      </c>
      <c r="D22" s="482" t="s">
        <v>56</v>
      </c>
      <c r="E22" s="482" t="s">
        <v>433</v>
      </c>
      <c r="F22" s="483">
        <v>92500</v>
      </c>
      <c r="G22" s="542"/>
    </row>
    <row r="23" spans="1:7" s="536" customFormat="1" ht="33" thickTop="1" thickBot="1" x14ac:dyDescent="0.25">
      <c r="A23" s="181">
        <v>11</v>
      </c>
      <c r="B23" s="482" t="s">
        <v>330</v>
      </c>
      <c r="C23" s="482" t="s">
        <v>331</v>
      </c>
      <c r="D23" s="482" t="s">
        <v>56</v>
      </c>
      <c r="E23" s="482" t="s">
        <v>635</v>
      </c>
      <c r="F23" s="483">
        <v>35000</v>
      </c>
      <c r="G23" s="542"/>
    </row>
    <row r="24" spans="1:7" s="536" customFormat="1" ht="48.75" thickTop="1" thickBot="1" x14ac:dyDescent="0.25">
      <c r="A24" s="181">
        <v>12</v>
      </c>
      <c r="B24" s="482" t="s">
        <v>330</v>
      </c>
      <c r="C24" s="482" t="s">
        <v>331</v>
      </c>
      <c r="D24" s="482" t="s">
        <v>56</v>
      </c>
      <c r="E24" s="482" t="s">
        <v>637</v>
      </c>
      <c r="F24" s="483">
        <v>19500</v>
      </c>
      <c r="G24" s="542"/>
    </row>
    <row r="25" spans="1:7" s="536" customFormat="1" ht="33" thickTop="1" thickBot="1" x14ac:dyDescent="0.25">
      <c r="A25" s="181">
        <v>13</v>
      </c>
      <c r="B25" s="482" t="s">
        <v>330</v>
      </c>
      <c r="C25" s="482" t="s">
        <v>331</v>
      </c>
      <c r="D25" s="482" t="s">
        <v>56</v>
      </c>
      <c r="E25" s="482" t="s">
        <v>636</v>
      </c>
      <c r="F25" s="483">
        <f>40000+60000</f>
        <v>100000</v>
      </c>
      <c r="G25" s="542"/>
    </row>
    <row r="26" spans="1:7" s="536" customFormat="1" ht="64.5" thickTop="1" thickBot="1" x14ac:dyDescent="0.25">
      <c r="A26" s="181">
        <v>14</v>
      </c>
      <c r="B26" s="482" t="s">
        <v>330</v>
      </c>
      <c r="C26" s="482" t="s">
        <v>331</v>
      </c>
      <c r="D26" s="482" t="s">
        <v>56</v>
      </c>
      <c r="E26" s="482" t="s">
        <v>1112</v>
      </c>
      <c r="F26" s="483">
        <v>48000</v>
      </c>
      <c r="G26" s="542"/>
    </row>
    <row r="27" spans="1:7" s="536" customFormat="1" ht="33" thickTop="1" thickBot="1" x14ac:dyDescent="0.25">
      <c r="A27" s="181">
        <v>15</v>
      </c>
      <c r="B27" s="482" t="s">
        <v>330</v>
      </c>
      <c r="C27" s="482" t="s">
        <v>331</v>
      </c>
      <c r="D27" s="482" t="s">
        <v>56</v>
      </c>
      <c r="E27" s="482" t="s">
        <v>1113</v>
      </c>
      <c r="F27" s="483">
        <v>50000</v>
      </c>
      <c r="G27" s="542"/>
    </row>
    <row r="28" spans="1:7" s="536" customFormat="1" ht="33" thickTop="1" thickBot="1" x14ac:dyDescent="0.25">
      <c r="A28" s="181">
        <v>16</v>
      </c>
      <c r="B28" s="482" t="s">
        <v>330</v>
      </c>
      <c r="C28" s="482" t="s">
        <v>331</v>
      </c>
      <c r="D28" s="482" t="s">
        <v>56</v>
      </c>
      <c r="E28" s="482" t="s">
        <v>1114</v>
      </c>
      <c r="F28" s="483">
        <v>200000</v>
      </c>
      <c r="G28" s="542"/>
    </row>
    <row r="29" spans="1:7" ht="17.25" thickTop="1" thickBot="1" x14ac:dyDescent="0.25">
      <c r="A29" s="182" t="s">
        <v>408</v>
      </c>
      <c r="B29" s="182" t="s">
        <v>408</v>
      </c>
      <c r="C29" s="182" t="s">
        <v>408</v>
      </c>
      <c r="D29" s="182" t="s">
        <v>408</v>
      </c>
      <c r="E29" s="183" t="s">
        <v>418</v>
      </c>
      <c r="F29" s="184">
        <f>SUM(F13:F28)</f>
        <v>1485138.96</v>
      </c>
      <c r="G29" s="262" t="b">
        <f>F29='d3'!J331+'d3'!J332+'d3'!J333+'d3'!J334-1700000</f>
        <v>1</v>
      </c>
    </row>
    <row r="30" spans="1:7" ht="16.5" thickTop="1" x14ac:dyDescent="0.2">
      <c r="A30" s="43"/>
      <c r="B30" s="43"/>
      <c r="C30" s="43"/>
      <c r="D30" s="43"/>
      <c r="E30" s="43"/>
      <c r="F30" s="44"/>
    </row>
    <row r="31" spans="1:7" s="79" customFormat="1" ht="15.75" customHeight="1" x14ac:dyDescent="0.25">
      <c r="A31" s="61"/>
      <c r="B31" s="1204" t="s">
        <v>1508</v>
      </c>
      <c r="C31" s="1205"/>
      <c r="D31" s="41"/>
      <c r="E31" s="151"/>
      <c r="F31" s="41" t="s">
        <v>1509</v>
      </c>
      <c r="G31" s="187"/>
    </row>
    <row r="32" spans="1:7" ht="27" hidden="1" customHeight="1" x14ac:dyDescent="0.2">
      <c r="A32" s="1193" t="s">
        <v>606</v>
      </c>
      <c r="B32" s="1194"/>
      <c r="C32" s="1194"/>
      <c r="D32" s="1194"/>
      <c r="E32" s="61"/>
      <c r="F32" s="63" t="s">
        <v>607</v>
      </c>
    </row>
    <row r="33" spans="1:7" s="141" customFormat="1" ht="15.75" x14ac:dyDescent="0.2">
      <c r="A33" s="761"/>
      <c r="B33" s="761"/>
      <c r="C33" s="761"/>
      <c r="D33" s="761"/>
      <c r="E33" s="61"/>
      <c r="F33" s="62"/>
      <c r="G33" s="187"/>
    </row>
    <row r="34" spans="1:7" s="141" customFormat="1" ht="15.75" x14ac:dyDescent="0.25">
      <c r="A34" s="761"/>
      <c r="B34" s="66" t="s">
        <v>606</v>
      </c>
      <c r="C34" s="151"/>
      <c r="D34" s="761"/>
      <c r="E34" s="61"/>
      <c r="F34" s="151" t="s">
        <v>607</v>
      </c>
      <c r="G34" s="187"/>
    </row>
    <row r="35" spans="1:7" ht="15.75" x14ac:dyDescent="0.25">
      <c r="A35" s="1196"/>
      <c r="B35" s="1196"/>
      <c r="C35" s="1196"/>
      <c r="D35" s="1196"/>
      <c r="E35" s="41"/>
      <c r="F35" s="41"/>
    </row>
    <row r="36" spans="1:7" ht="15.75" x14ac:dyDescent="0.2">
      <c r="A36" s="1195"/>
      <c r="B36" s="1195"/>
      <c r="C36" s="1195"/>
      <c r="D36" s="1195"/>
      <c r="E36" s="1195"/>
      <c r="F36" s="42"/>
    </row>
    <row r="93" spans="7:7" x14ac:dyDescent="0.2">
      <c r="G93" s="1177"/>
    </row>
    <row r="94" spans="7:7" x14ac:dyDescent="0.2">
      <c r="G94" s="1177"/>
    </row>
    <row r="154" spans="7:10" ht="46.5" x14ac:dyDescent="0.65">
      <c r="J154" s="51"/>
    </row>
    <row r="157" spans="7:10" ht="46.5" x14ac:dyDescent="0.65">
      <c r="G157" s="210"/>
      <c r="J157" s="51"/>
    </row>
    <row r="176" spans="11:11" ht="90" x14ac:dyDescent="1.1499999999999999">
      <c r="K176" s="71" t="b">
        <f>G176=H176+I176</f>
        <v>1</v>
      </c>
    </row>
  </sheetData>
  <mergeCells count="12">
    <mergeCell ref="A32:D32"/>
    <mergeCell ref="A36:E36"/>
    <mergeCell ref="G93:G94"/>
    <mergeCell ref="A35:D35"/>
    <mergeCell ref="F3:I3"/>
    <mergeCell ref="A4:F4"/>
    <mergeCell ref="A6:F6"/>
    <mergeCell ref="A9:B9"/>
    <mergeCell ref="A10:B10"/>
    <mergeCell ref="A5:F5"/>
    <mergeCell ref="C7:E7"/>
    <mergeCell ref="B31:C31"/>
  </mergeCells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15</vt:i4>
      </vt:variant>
      <vt:variant>
        <vt:lpstr>Іменовані діапазони</vt:lpstr>
      </vt:variant>
      <vt:variant>
        <vt:i4>21</vt:i4>
      </vt:variant>
    </vt:vector>
  </HeadingPairs>
  <TitlesOfParts>
    <vt:vector size="36" baseType="lpstr"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d1-ч</vt:lpstr>
      <vt:lpstr>d3-ч</vt:lpstr>
      <vt:lpstr>d3-07</vt:lpstr>
      <vt:lpstr>Р-07</vt:lpstr>
      <vt:lpstr>d1-07</vt:lpstr>
      <vt:lpstr>Р1-07</vt:lpstr>
      <vt:lpstr>'d3'!Заголовки_для_друку</vt:lpstr>
      <vt:lpstr>'d3-07'!Заголовки_для_друку</vt:lpstr>
      <vt:lpstr>'d3-ч'!Заголовки_для_друку</vt:lpstr>
      <vt:lpstr>'d6'!Заголовки_для_друку</vt:lpstr>
      <vt:lpstr>'d7'!Заголовки_для_друку</vt:lpstr>
      <vt:lpstr>'Р-07'!Заголовки_для_друку</vt:lpstr>
      <vt:lpstr>'d1'!Область_друку</vt:lpstr>
      <vt:lpstr>'d1-07'!Область_друку</vt:lpstr>
      <vt:lpstr>'d1-ч'!Область_друку</vt:lpstr>
      <vt:lpstr>'d2'!Область_друку</vt:lpstr>
      <vt:lpstr>'d3'!Область_друку</vt:lpstr>
      <vt:lpstr>'d3-07'!Область_друку</vt:lpstr>
      <vt:lpstr>'d3-ч'!Область_друку</vt:lpstr>
      <vt:lpstr>'d4'!Область_друку</vt:lpstr>
      <vt:lpstr>'d5'!Область_друку</vt:lpstr>
      <vt:lpstr>'d6'!Область_друку</vt:lpstr>
      <vt:lpstr>'d7'!Область_друку</vt:lpstr>
      <vt:lpstr>'d8'!Область_друку</vt:lpstr>
      <vt:lpstr>'d9'!Область_друку</vt:lpstr>
      <vt:lpstr>'Р-07'!Область_друку</vt:lpstr>
      <vt:lpstr>'Р1-07'!Область_друку</vt:lpstr>
    </vt:vector>
  </TitlesOfParts>
  <Company>Міське фінуправління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Власюк Олена</dc:creator>
  <cp:lastModifiedBy>Кірічук Оксана Володимирівна</cp:lastModifiedBy>
  <cp:lastPrinted>2021-10-06T11:20:03Z</cp:lastPrinted>
  <dcterms:created xsi:type="dcterms:W3CDTF">2001-12-03T09:30:42Z</dcterms:created>
  <dcterms:modified xsi:type="dcterms:W3CDTF">2021-10-18T13:51:37Z</dcterms:modified>
</cp:coreProperties>
</file>