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1\Рішення бюджет від 08.12.2021 року №\"/>
    </mc:Choice>
  </mc:AlternateContent>
  <xr:revisionPtr revIDLastSave="0" documentId="13_ncr:1_{7D0DD810-28FA-4ED4-B7E3-C7265F08029E}" xr6:coauthVersionLast="45" xr6:coauthVersionMax="45" xr10:uidLastSave="{00000000-0000-0000-0000-000000000000}"/>
  <bookViews>
    <workbookView xWindow="-120" yWindow="480" windowWidth="29040" windowHeight="15840" tabRatio="583" activeTab="2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3-П" sheetId="189" r:id="rId10"/>
    <sheet name="Р-П" sheetId="190" r:id="rId11"/>
    <sheet name="d1-П" sheetId="191" r:id="rId12"/>
    <sheet name="Р-П1" sheetId="192" r:id="rId13"/>
  </sheets>
  <externalReferences>
    <externalReference r:id="rId14"/>
  </externalReferences>
  <definedNames>
    <definedName name="_GoBack" localSheetId="5">'d6'!#REF!</definedName>
    <definedName name="_xlnm.Print_Titles" localSheetId="2">'d3'!$12:$15</definedName>
    <definedName name="_xlnm.Print_Titles" localSheetId="9">'d3-П'!$12:$15</definedName>
    <definedName name="_xlnm.Print_Titles" localSheetId="5">'d6'!$10:$11</definedName>
    <definedName name="_xlnm.Print_Titles" localSheetId="6">'d7'!$12:$14</definedName>
    <definedName name="_xlnm.Print_Titles" localSheetId="10">'Р-П'!$12:$15</definedName>
    <definedName name="_xlnm.Print_Area" localSheetId="0">'d1'!$A$1:$F$134</definedName>
    <definedName name="_xlnm.Print_Area" localSheetId="11">'d1-П'!$A$1:$F$134</definedName>
    <definedName name="_xlnm.Print_Area" localSheetId="1">'d2'!$A$1:$F$55</definedName>
    <definedName name="_xlnm.Print_Area" localSheetId="2">'d3'!$A$1:$P$365</definedName>
    <definedName name="_xlnm.Print_Area" localSheetId="9">'d3-П'!$A$1:$P$362</definedName>
    <definedName name="_xlnm.Print_Area" localSheetId="3">'d4'!$B$1:$Q$25</definedName>
    <definedName name="_xlnm.Print_Area" localSheetId="4">'d5'!$A$1:$D$99</definedName>
    <definedName name="_xlnm.Print_Area" localSheetId="5">'d6'!$B$1:$K$334</definedName>
    <definedName name="_xlnm.Print_Area" localSheetId="6">'d7'!$A$1:$J$270</definedName>
    <definedName name="_xlnm.Print_Area" localSheetId="7">'d8'!$A$1:$D$37</definedName>
    <definedName name="_xlnm.Print_Area" localSheetId="8">'d9'!$A$1:$F$34</definedName>
    <definedName name="_xlnm.Print_Area" localSheetId="10">'Р-П'!$A$1:$P$361</definedName>
    <definedName name="_xlnm.Print_Area" localSheetId="12">'Р-П1'!$A$1:$F$129</definedName>
    <definedName name="С16" localSheetId="0">#REF!</definedName>
    <definedName name="С16" localSheetId="11">#REF!</definedName>
    <definedName name="С16" localSheetId="1">#REF!</definedName>
    <definedName name="С16" localSheetId="9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 localSheetId="12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F48" i="165" l="1"/>
  <c r="F236" i="165" l="1"/>
  <c r="J232" i="184" l="1"/>
  <c r="J231" i="184"/>
  <c r="K361" i="165" l="1"/>
  <c r="O361" i="165"/>
  <c r="J361" i="165"/>
  <c r="D48" i="188"/>
  <c r="F121" i="165"/>
  <c r="F120" i="165"/>
  <c r="F136" i="165"/>
  <c r="F156" i="165"/>
  <c r="J106" i="184" l="1"/>
  <c r="K110" i="165"/>
  <c r="F128" i="192" l="1"/>
  <c r="E128" i="192"/>
  <c r="D128" i="192"/>
  <c r="F127" i="192"/>
  <c r="E127" i="192"/>
  <c r="D127" i="192"/>
  <c r="F126" i="192"/>
  <c r="E126" i="192"/>
  <c r="D126" i="192"/>
  <c r="F125" i="192"/>
  <c r="E125" i="192"/>
  <c r="D125" i="192"/>
  <c r="F124" i="192"/>
  <c r="E124" i="192"/>
  <c r="D124" i="192"/>
  <c r="D123" i="192"/>
  <c r="F121" i="192"/>
  <c r="E121" i="192"/>
  <c r="D121" i="192"/>
  <c r="F120" i="192"/>
  <c r="E120" i="192"/>
  <c r="D120" i="192"/>
  <c r="F119" i="192"/>
  <c r="E119" i="192"/>
  <c r="D119" i="192"/>
  <c r="F118" i="192"/>
  <c r="E118" i="192"/>
  <c r="F117" i="192"/>
  <c r="E117" i="192"/>
  <c r="F116" i="192"/>
  <c r="E116" i="192"/>
  <c r="D116" i="192"/>
  <c r="F115" i="192"/>
  <c r="E115" i="192"/>
  <c r="D115" i="192"/>
  <c r="F114" i="192"/>
  <c r="E114" i="192"/>
  <c r="D114" i="192"/>
  <c r="F113" i="192"/>
  <c r="E113" i="192"/>
  <c r="F112" i="192"/>
  <c r="E112" i="192"/>
  <c r="D112" i="192"/>
  <c r="F111" i="192"/>
  <c r="E111" i="192"/>
  <c r="D111" i="192"/>
  <c r="F110" i="192"/>
  <c r="E110" i="192"/>
  <c r="D110" i="192"/>
  <c r="F108" i="192"/>
  <c r="E108" i="192"/>
  <c r="F107" i="192"/>
  <c r="E107" i="192"/>
  <c r="D107" i="192"/>
  <c r="F106" i="192"/>
  <c r="E106" i="192"/>
  <c r="D106" i="192"/>
  <c r="F105" i="192"/>
  <c r="E105" i="192"/>
  <c r="F104" i="192"/>
  <c r="E104" i="192"/>
  <c r="D104" i="192"/>
  <c r="F103" i="192"/>
  <c r="E103" i="192"/>
  <c r="D103" i="192"/>
  <c r="F102" i="192"/>
  <c r="E102" i="192"/>
  <c r="F99" i="192"/>
  <c r="E99" i="192"/>
  <c r="D99" i="192"/>
  <c r="F98" i="192"/>
  <c r="E98" i="192"/>
  <c r="F95" i="192"/>
  <c r="D95" i="192"/>
  <c r="D93" i="192"/>
  <c r="D92" i="192"/>
  <c r="D91" i="192"/>
  <c r="D90" i="192"/>
  <c r="D89" i="192"/>
  <c r="F88" i="192"/>
  <c r="E88" i="192"/>
  <c r="D88" i="192"/>
  <c r="F87" i="192"/>
  <c r="E87" i="192"/>
  <c r="F84" i="192"/>
  <c r="E84" i="192"/>
  <c r="D84" i="192"/>
  <c r="F83" i="192"/>
  <c r="E83" i="192"/>
  <c r="D83" i="192"/>
  <c r="F82" i="192"/>
  <c r="D82" i="192"/>
  <c r="F81" i="192"/>
  <c r="D81" i="192"/>
  <c r="F80" i="192"/>
  <c r="D80" i="192"/>
  <c r="F79" i="192"/>
  <c r="F78" i="192"/>
  <c r="E78" i="192"/>
  <c r="D78" i="192"/>
  <c r="F77" i="192"/>
  <c r="E77" i="192"/>
  <c r="D77" i="192"/>
  <c r="F76" i="192"/>
  <c r="E76" i="192"/>
  <c r="D76" i="192"/>
  <c r="F75" i="192"/>
  <c r="E75" i="192"/>
  <c r="D75" i="192"/>
  <c r="F73" i="192"/>
  <c r="E73" i="192"/>
  <c r="D73" i="192"/>
  <c r="F72" i="192"/>
  <c r="E72" i="192"/>
  <c r="D72" i="192"/>
  <c r="F71" i="192"/>
  <c r="E71" i="192"/>
  <c r="F70" i="192"/>
  <c r="E70" i="192"/>
  <c r="F69" i="192"/>
  <c r="E69" i="192"/>
  <c r="F68" i="192"/>
  <c r="E68" i="192"/>
  <c r="D68" i="192"/>
  <c r="F67" i="192"/>
  <c r="E67" i="192"/>
  <c r="F66" i="192"/>
  <c r="E66" i="192"/>
  <c r="D66" i="192"/>
  <c r="F65" i="192"/>
  <c r="E65" i="192"/>
  <c r="F64" i="192"/>
  <c r="E64" i="192"/>
  <c r="F63" i="192"/>
  <c r="E63" i="192"/>
  <c r="D63" i="192"/>
  <c r="F62" i="192"/>
  <c r="E62" i="192"/>
  <c r="F61" i="192"/>
  <c r="E61" i="192"/>
  <c r="F60" i="192"/>
  <c r="E60" i="192"/>
  <c r="F59" i="192"/>
  <c r="E59" i="192"/>
  <c r="F58" i="192"/>
  <c r="E58" i="192"/>
  <c r="D58" i="192"/>
  <c r="F57" i="192"/>
  <c r="E57" i="192"/>
  <c r="F56" i="192"/>
  <c r="E56" i="192"/>
  <c r="F54" i="192"/>
  <c r="E54" i="192"/>
  <c r="D54" i="192"/>
  <c r="F53" i="192"/>
  <c r="E53" i="192"/>
  <c r="D53" i="192"/>
  <c r="F52" i="192"/>
  <c r="E52" i="192"/>
  <c r="D52" i="192"/>
  <c r="F51" i="192"/>
  <c r="F50" i="192"/>
  <c r="D50" i="192"/>
  <c r="F49" i="192"/>
  <c r="E49" i="192"/>
  <c r="D49" i="192"/>
  <c r="F48" i="192"/>
  <c r="E48" i="192"/>
  <c r="F47" i="192"/>
  <c r="E47" i="192"/>
  <c r="F46" i="192"/>
  <c r="E46" i="192"/>
  <c r="F45" i="192"/>
  <c r="E45" i="192"/>
  <c r="F44" i="192"/>
  <c r="E44" i="192"/>
  <c r="F43" i="192"/>
  <c r="E43" i="192"/>
  <c r="F42" i="192"/>
  <c r="E42" i="192"/>
  <c r="D42" i="192"/>
  <c r="F41" i="192"/>
  <c r="E41" i="192"/>
  <c r="D41" i="192"/>
  <c r="F40" i="192"/>
  <c r="E40" i="192"/>
  <c r="F39" i="192"/>
  <c r="E39" i="192"/>
  <c r="D39" i="192"/>
  <c r="F38" i="192"/>
  <c r="E38" i="192"/>
  <c r="F37" i="192"/>
  <c r="E37" i="192"/>
  <c r="F36" i="192"/>
  <c r="E36" i="192"/>
  <c r="F35" i="192"/>
  <c r="E35" i="192"/>
  <c r="F34" i="192"/>
  <c r="E34" i="192"/>
  <c r="D34" i="192"/>
  <c r="F33" i="192"/>
  <c r="E33" i="192"/>
  <c r="D33" i="192"/>
  <c r="F32" i="192"/>
  <c r="E32" i="192"/>
  <c r="F31" i="192"/>
  <c r="F11" i="192" s="1"/>
  <c r="E31" i="192"/>
  <c r="F30" i="192"/>
  <c r="E30" i="192"/>
  <c r="F29" i="192"/>
  <c r="E29" i="192"/>
  <c r="D29" i="192"/>
  <c r="F28" i="192"/>
  <c r="E28" i="192"/>
  <c r="F27" i="192"/>
  <c r="E27" i="192"/>
  <c r="D27" i="192"/>
  <c r="F26" i="192"/>
  <c r="E26" i="192"/>
  <c r="F25" i="192"/>
  <c r="E25" i="192"/>
  <c r="F24" i="192"/>
  <c r="E24" i="192"/>
  <c r="D24" i="192"/>
  <c r="F23" i="192"/>
  <c r="E23" i="192"/>
  <c r="F22" i="192"/>
  <c r="E22" i="192"/>
  <c r="F21" i="192"/>
  <c r="E21" i="192"/>
  <c r="F20" i="192"/>
  <c r="E20" i="192"/>
  <c r="F19" i="192"/>
  <c r="E19" i="192"/>
  <c r="D19" i="192"/>
  <c r="F18" i="192"/>
  <c r="E18" i="192"/>
  <c r="F17" i="192"/>
  <c r="E17" i="192"/>
  <c r="F16" i="192"/>
  <c r="E16" i="192"/>
  <c r="F15" i="192"/>
  <c r="E15" i="192"/>
  <c r="D15" i="192"/>
  <c r="F14" i="192"/>
  <c r="E14" i="192"/>
  <c r="D14" i="192"/>
  <c r="F13" i="192"/>
  <c r="E13" i="192"/>
  <c r="F12" i="192"/>
  <c r="E12" i="192"/>
  <c r="C14" i="191"/>
  <c r="C15" i="191"/>
  <c r="C16" i="191"/>
  <c r="D16" i="191"/>
  <c r="D17" i="191"/>
  <c r="C17" i="191" s="1"/>
  <c r="D18" i="191"/>
  <c r="C18" i="191" s="1"/>
  <c r="C19" i="191"/>
  <c r="D22" i="191"/>
  <c r="D21" i="191" s="1"/>
  <c r="C23" i="191"/>
  <c r="D23" i="191"/>
  <c r="C24" i="191"/>
  <c r="D26" i="191"/>
  <c r="C26" i="191" s="1"/>
  <c r="C27" i="191"/>
  <c r="D28" i="191"/>
  <c r="C28" i="191" s="1"/>
  <c r="C29" i="191"/>
  <c r="C30" i="191"/>
  <c r="D30" i="191"/>
  <c r="C33" i="191"/>
  <c r="C34" i="191"/>
  <c r="C35" i="191"/>
  <c r="C36" i="191"/>
  <c r="C37" i="191"/>
  <c r="D37" i="191"/>
  <c r="D38" i="191"/>
  <c r="C38" i="191" s="1"/>
  <c r="C39" i="191"/>
  <c r="D40" i="191"/>
  <c r="C40" i="191" s="1"/>
  <c r="C41" i="191"/>
  <c r="C42" i="191"/>
  <c r="D44" i="191"/>
  <c r="C44" i="191" s="1"/>
  <c r="D45" i="191"/>
  <c r="D43" i="191" s="1"/>
  <c r="C43" i="191" s="1"/>
  <c r="D47" i="191"/>
  <c r="D48" i="191"/>
  <c r="C48" i="191" s="1"/>
  <c r="C49" i="191"/>
  <c r="E50" i="191"/>
  <c r="C50" i="191" s="1"/>
  <c r="D51" i="191"/>
  <c r="E51" i="191"/>
  <c r="C52" i="191"/>
  <c r="C53" i="191"/>
  <c r="C54" i="191"/>
  <c r="D57" i="191"/>
  <c r="C57" i="191" s="1"/>
  <c r="C58" i="191"/>
  <c r="D59" i="191"/>
  <c r="C59" i="191" s="1"/>
  <c r="D61" i="191"/>
  <c r="D60" i="191" s="1"/>
  <c r="C62" i="191"/>
  <c r="D62" i="191"/>
  <c r="C63" i="191"/>
  <c r="C66" i="191"/>
  <c r="D67" i="191"/>
  <c r="D65" i="191" s="1"/>
  <c r="C68" i="191"/>
  <c r="C70" i="191"/>
  <c r="D70" i="191"/>
  <c r="D69" i="191" s="1"/>
  <c r="C69" i="191" s="1"/>
  <c r="D71" i="191"/>
  <c r="C71" i="191" s="1"/>
  <c r="C72" i="191"/>
  <c r="C73" i="191"/>
  <c r="D74" i="191"/>
  <c r="E74" i="191"/>
  <c r="C74" i="191" s="1"/>
  <c r="F74" i="191"/>
  <c r="C75" i="191"/>
  <c r="C76" i="191"/>
  <c r="C77" i="191"/>
  <c r="C78" i="191"/>
  <c r="D79" i="191"/>
  <c r="E81" i="191"/>
  <c r="C81" i="191" s="1"/>
  <c r="E82" i="191"/>
  <c r="C82" i="191" s="1"/>
  <c r="C83" i="191"/>
  <c r="C84" i="191"/>
  <c r="D86" i="191"/>
  <c r="C86" i="191" s="1"/>
  <c r="D87" i="191"/>
  <c r="C87" i="191" s="1"/>
  <c r="C88" i="191"/>
  <c r="E89" i="191"/>
  <c r="E86" i="191" s="1"/>
  <c r="F89" i="191"/>
  <c r="F86" i="191" s="1"/>
  <c r="E92" i="191"/>
  <c r="F92" i="191"/>
  <c r="E93" i="191"/>
  <c r="C93" i="191" s="1"/>
  <c r="F93" i="191"/>
  <c r="F91" i="191" s="1"/>
  <c r="F90" i="191" s="1"/>
  <c r="F85" i="191" s="1"/>
  <c r="C95" i="191"/>
  <c r="E95" i="191"/>
  <c r="D98" i="191"/>
  <c r="C98" i="191" s="1"/>
  <c r="C99" i="191"/>
  <c r="D101" i="191"/>
  <c r="E101" i="191"/>
  <c r="E100" i="191" s="1"/>
  <c r="E97" i="191" s="1"/>
  <c r="F101" i="191"/>
  <c r="C102" i="191"/>
  <c r="C103" i="191"/>
  <c r="C104" i="191"/>
  <c r="C105" i="191"/>
  <c r="C106" i="191"/>
  <c r="C107" i="191"/>
  <c r="C108" i="191"/>
  <c r="C110" i="191"/>
  <c r="C111" i="191"/>
  <c r="C112" i="191"/>
  <c r="C113" i="191"/>
  <c r="C114" i="191"/>
  <c r="C115" i="191"/>
  <c r="C116" i="191"/>
  <c r="C117" i="191"/>
  <c r="D117" i="191"/>
  <c r="D118" i="191"/>
  <c r="C118" i="191" s="1"/>
  <c r="C119" i="191"/>
  <c r="C120" i="191"/>
  <c r="C121" i="191"/>
  <c r="D122" i="191"/>
  <c r="D109" i="191" s="1"/>
  <c r="E122" i="191"/>
  <c r="E109" i="191" s="1"/>
  <c r="F122" i="191"/>
  <c r="F109" i="191" s="1"/>
  <c r="C123" i="191"/>
  <c r="E123" i="191"/>
  <c r="F123" i="191"/>
  <c r="C124" i="191"/>
  <c r="C125" i="191"/>
  <c r="C126" i="191"/>
  <c r="C127" i="191"/>
  <c r="C128" i="191"/>
  <c r="E94" i="191"/>
  <c r="C94" i="191" s="1"/>
  <c r="F55" i="191"/>
  <c r="F11" i="191"/>
  <c r="E11" i="191"/>
  <c r="D64" i="191" l="1"/>
  <c r="C64" i="191" s="1"/>
  <c r="F100" i="191"/>
  <c r="C51" i="191"/>
  <c r="D48" i="192"/>
  <c r="C109" i="191"/>
  <c r="C101" i="191"/>
  <c r="C67" i="191"/>
  <c r="E91" i="191"/>
  <c r="D32" i="191"/>
  <c r="D25" i="191"/>
  <c r="C25" i="191" s="1"/>
  <c r="D46" i="191"/>
  <c r="C46" i="191" s="1"/>
  <c r="D13" i="191"/>
  <c r="D20" i="191"/>
  <c r="C20" i="191" s="1"/>
  <c r="C21" i="191"/>
  <c r="C22" i="191"/>
  <c r="C45" i="191"/>
  <c r="C47" i="191"/>
  <c r="C60" i="191"/>
  <c r="D56" i="191"/>
  <c r="C61" i="191"/>
  <c r="C65" i="191"/>
  <c r="E80" i="191"/>
  <c r="E90" i="191"/>
  <c r="C90" i="191" s="1"/>
  <c r="C91" i="191"/>
  <c r="C92" i="191"/>
  <c r="C89" i="191"/>
  <c r="D100" i="191"/>
  <c r="C100" i="191" s="1"/>
  <c r="C122" i="191"/>
  <c r="F96" i="191"/>
  <c r="F129" i="191" s="1"/>
  <c r="J129" i="191" s="1"/>
  <c r="F97" i="191"/>
  <c r="D85" i="191"/>
  <c r="C32" i="191" l="1"/>
  <c r="D31" i="191"/>
  <c r="C31" i="191" s="1"/>
  <c r="D12" i="191"/>
  <c r="C12" i="191" s="1"/>
  <c r="C13" i="191"/>
  <c r="C56" i="191"/>
  <c r="D55" i="191"/>
  <c r="E79" i="191"/>
  <c r="C80" i="191"/>
  <c r="E85" i="191"/>
  <c r="C79" i="191" l="1"/>
  <c r="E55" i="191"/>
  <c r="C55" i="191" s="1"/>
  <c r="C85" i="191"/>
  <c r="D11" i="191"/>
  <c r="D97" i="191"/>
  <c r="C97" i="191" s="1"/>
  <c r="E96" i="191" l="1"/>
  <c r="E129" i="191" s="1"/>
  <c r="I129" i="191" s="1"/>
  <c r="C11" i="191"/>
  <c r="D96" i="191"/>
  <c r="C96" i="191" l="1"/>
  <c r="D129" i="191"/>
  <c r="H129" i="191" l="1"/>
  <c r="C129" i="191"/>
  <c r="G129" i="191" s="1"/>
  <c r="F56" i="165" l="1"/>
  <c r="D47" i="188"/>
  <c r="D47" i="192" s="1"/>
  <c r="D36" i="188"/>
  <c r="D36" i="192" s="1"/>
  <c r="D35" i="188"/>
  <c r="D35" i="192" s="1"/>
  <c r="G361" i="165"/>
  <c r="F19" i="165"/>
  <c r="G19" i="165"/>
  <c r="J79" i="184"/>
  <c r="K56" i="165"/>
  <c r="N309" i="190" l="1"/>
  <c r="M309" i="190"/>
  <c r="L309" i="190"/>
  <c r="K309" i="190"/>
  <c r="I309" i="190"/>
  <c r="H309" i="190"/>
  <c r="G309" i="190"/>
  <c r="H361" i="165" l="1"/>
  <c r="D108" i="188"/>
  <c r="D108" i="192" s="1"/>
  <c r="D113" i="188"/>
  <c r="D113" i="192" s="1"/>
  <c r="N358" i="190"/>
  <c r="M358" i="190"/>
  <c r="L358" i="190"/>
  <c r="K358" i="190"/>
  <c r="I358" i="190"/>
  <c r="H358" i="190"/>
  <c r="G358" i="190"/>
  <c r="F358" i="190"/>
  <c r="N355" i="190"/>
  <c r="M355" i="190"/>
  <c r="L355" i="190"/>
  <c r="K355" i="190"/>
  <c r="I355" i="190"/>
  <c r="H355" i="190"/>
  <c r="G355" i="190"/>
  <c r="N353" i="190"/>
  <c r="M353" i="190"/>
  <c r="L353" i="190"/>
  <c r="K353" i="190"/>
  <c r="I353" i="190"/>
  <c r="H353" i="190"/>
  <c r="G353" i="190"/>
  <c r="N351" i="190"/>
  <c r="M351" i="190"/>
  <c r="L351" i="190"/>
  <c r="K351" i="190"/>
  <c r="I351" i="190"/>
  <c r="H351" i="190"/>
  <c r="G351" i="190"/>
  <c r="F351" i="190"/>
  <c r="N350" i="190"/>
  <c r="M350" i="190"/>
  <c r="L350" i="190"/>
  <c r="I350" i="190"/>
  <c r="N346" i="190"/>
  <c r="M346" i="190"/>
  <c r="L346" i="190"/>
  <c r="K346" i="190"/>
  <c r="I346" i="190"/>
  <c r="H346" i="190"/>
  <c r="G346" i="190"/>
  <c r="F346" i="190"/>
  <c r="O344" i="190"/>
  <c r="N344" i="190"/>
  <c r="M344" i="190"/>
  <c r="L344" i="190"/>
  <c r="K344" i="190"/>
  <c r="I344" i="190"/>
  <c r="H344" i="190"/>
  <c r="G344" i="190"/>
  <c r="F344" i="190"/>
  <c r="N341" i="190"/>
  <c r="M341" i="190"/>
  <c r="L341" i="190"/>
  <c r="K341" i="190"/>
  <c r="I341" i="190"/>
  <c r="N337" i="190"/>
  <c r="M337" i="190"/>
  <c r="K337" i="190"/>
  <c r="I337" i="190"/>
  <c r="H337" i="190"/>
  <c r="G337" i="190"/>
  <c r="F337" i="190"/>
  <c r="E337" i="190"/>
  <c r="N336" i="190"/>
  <c r="M336" i="190"/>
  <c r="K336" i="190"/>
  <c r="I336" i="190"/>
  <c r="H336" i="190"/>
  <c r="G336" i="190"/>
  <c r="F336" i="190"/>
  <c r="N335" i="190"/>
  <c r="M335" i="190"/>
  <c r="K335" i="190"/>
  <c r="I335" i="190"/>
  <c r="H335" i="190"/>
  <c r="G335" i="190"/>
  <c r="F335" i="190"/>
  <c r="N334" i="190"/>
  <c r="M334" i="190"/>
  <c r="K334" i="190"/>
  <c r="I334" i="190"/>
  <c r="H334" i="190"/>
  <c r="G334" i="190"/>
  <c r="F334" i="190"/>
  <c r="N330" i="190"/>
  <c r="M330" i="190"/>
  <c r="L330" i="190"/>
  <c r="K330" i="190"/>
  <c r="I330" i="190"/>
  <c r="H330" i="190"/>
  <c r="G330" i="190"/>
  <c r="F330" i="190"/>
  <c r="N329" i="190"/>
  <c r="M329" i="190"/>
  <c r="L329" i="190"/>
  <c r="I329" i="190"/>
  <c r="N325" i="190"/>
  <c r="M325" i="190"/>
  <c r="L325" i="190"/>
  <c r="I325" i="190"/>
  <c r="H325" i="190"/>
  <c r="G325" i="190"/>
  <c r="N322" i="190"/>
  <c r="M322" i="190"/>
  <c r="L322" i="190"/>
  <c r="I322" i="190"/>
  <c r="H322" i="190"/>
  <c r="G322" i="190"/>
  <c r="N320" i="190"/>
  <c r="M320" i="190"/>
  <c r="L320" i="190"/>
  <c r="K320" i="190"/>
  <c r="I320" i="190"/>
  <c r="H320" i="190"/>
  <c r="G320" i="190"/>
  <c r="N319" i="190"/>
  <c r="M319" i="190"/>
  <c r="L319" i="190"/>
  <c r="K319" i="190"/>
  <c r="I319" i="190"/>
  <c r="H319" i="190"/>
  <c r="G319" i="190"/>
  <c r="N317" i="190"/>
  <c r="M317" i="190"/>
  <c r="L317" i="190"/>
  <c r="K317" i="190"/>
  <c r="I317" i="190"/>
  <c r="H317" i="190"/>
  <c r="G317" i="190"/>
  <c r="N312" i="190"/>
  <c r="M312" i="190"/>
  <c r="L312" i="190"/>
  <c r="K312" i="190"/>
  <c r="I312" i="190"/>
  <c r="H312" i="190"/>
  <c r="G312" i="190"/>
  <c r="F312" i="190"/>
  <c r="N311" i="190"/>
  <c r="M311" i="190"/>
  <c r="L311" i="190"/>
  <c r="K311" i="190"/>
  <c r="I311" i="190"/>
  <c r="H311" i="190"/>
  <c r="G311" i="190"/>
  <c r="N305" i="190"/>
  <c r="M305" i="190"/>
  <c r="L305" i="190"/>
  <c r="K305" i="190"/>
  <c r="I305" i="190"/>
  <c r="H305" i="190"/>
  <c r="G305" i="190"/>
  <c r="N304" i="190"/>
  <c r="M304" i="190"/>
  <c r="L304" i="190"/>
  <c r="K304" i="190"/>
  <c r="I304" i="190"/>
  <c r="H304" i="190"/>
  <c r="G304" i="190"/>
  <c r="F304" i="190"/>
  <c r="N303" i="190"/>
  <c r="M303" i="190"/>
  <c r="L303" i="190"/>
  <c r="I303" i="190"/>
  <c r="N299" i="190"/>
  <c r="M299" i="190"/>
  <c r="L299" i="190"/>
  <c r="I299" i="190"/>
  <c r="H299" i="190"/>
  <c r="G299" i="190"/>
  <c r="F299" i="190"/>
  <c r="N296" i="190"/>
  <c r="M296" i="190"/>
  <c r="L296" i="190"/>
  <c r="K296" i="190"/>
  <c r="I296" i="190"/>
  <c r="H296" i="190"/>
  <c r="G296" i="190"/>
  <c r="F296" i="190"/>
  <c r="N295" i="190"/>
  <c r="M295" i="190"/>
  <c r="L295" i="190"/>
  <c r="I295" i="190"/>
  <c r="N290" i="190"/>
  <c r="M290" i="190"/>
  <c r="L290" i="190"/>
  <c r="K290" i="190"/>
  <c r="I290" i="190"/>
  <c r="H290" i="190"/>
  <c r="G290" i="190"/>
  <c r="F290" i="190"/>
  <c r="N287" i="190"/>
  <c r="M287" i="190"/>
  <c r="L287" i="190"/>
  <c r="I287" i="190"/>
  <c r="H287" i="190"/>
  <c r="G287" i="190"/>
  <c r="F287" i="190"/>
  <c r="N286" i="190"/>
  <c r="M286" i="190"/>
  <c r="L286" i="190"/>
  <c r="I286" i="190"/>
  <c r="H286" i="190"/>
  <c r="G286" i="190"/>
  <c r="F286" i="190"/>
  <c r="N285" i="190"/>
  <c r="M285" i="190"/>
  <c r="L285" i="190"/>
  <c r="K285" i="190"/>
  <c r="I285" i="190"/>
  <c r="H285" i="190"/>
  <c r="G285" i="190"/>
  <c r="F285" i="190"/>
  <c r="N284" i="190"/>
  <c r="M284" i="190"/>
  <c r="L284" i="190"/>
  <c r="K284" i="190"/>
  <c r="I284" i="190"/>
  <c r="H284" i="190"/>
  <c r="G284" i="190"/>
  <c r="F284" i="190"/>
  <c r="N283" i="190"/>
  <c r="M283" i="190"/>
  <c r="L283" i="190"/>
  <c r="I283" i="190"/>
  <c r="H283" i="190"/>
  <c r="G283" i="190"/>
  <c r="F283" i="190"/>
  <c r="N281" i="190"/>
  <c r="M281" i="190"/>
  <c r="L281" i="190"/>
  <c r="I281" i="190"/>
  <c r="H281" i="190"/>
  <c r="G281" i="190"/>
  <c r="F281" i="190"/>
  <c r="N278" i="190"/>
  <c r="M278" i="190"/>
  <c r="L278" i="190"/>
  <c r="I278" i="190"/>
  <c r="H278" i="190"/>
  <c r="G278" i="190"/>
  <c r="F278" i="190"/>
  <c r="N275" i="190"/>
  <c r="M275" i="190"/>
  <c r="L275" i="190"/>
  <c r="K275" i="190"/>
  <c r="I275" i="190"/>
  <c r="H275" i="190"/>
  <c r="G275" i="190"/>
  <c r="F275" i="190"/>
  <c r="N274" i="190"/>
  <c r="M274" i="190"/>
  <c r="L274" i="190"/>
  <c r="K274" i="190"/>
  <c r="I274" i="190"/>
  <c r="H274" i="190"/>
  <c r="G274" i="190"/>
  <c r="N273" i="190"/>
  <c r="M273" i="190"/>
  <c r="L273" i="190"/>
  <c r="K273" i="190"/>
  <c r="I273" i="190"/>
  <c r="N268" i="190"/>
  <c r="M268" i="190"/>
  <c r="L268" i="190"/>
  <c r="I268" i="190"/>
  <c r="N267" i="190"/>
  <c r="M267" i="190"/>
  <c r="L267" i="190"/>
  <c r="K267" i="190"/>
  <c r="I267" i="190"/>
  <c r="H267" i="190"/>
  <c r="G267" i="190"/>
  <c r="F267" i="190"/>
  <c r="P264" i="190"/>
  <c r="O264" i="190"/>
  <c r="N264" i="190"/>
  <c r="M264" i="190"/>
  <c r="L264" i="190"/>
  <c r="K264" i="190"/>
  <c r="J264" i="190"/>
  <c r="I264" i="190"/>
  <c r="H264" i="190"/>
  <c r="G264" i="190"/>
  <c r="F264" i="190"/>
  <c r="N263" i="190"/>
  <c r="M263" i="190"/>
  <c r="K263" i="190"/>
  <c r="I263" i="190"/>
  <c r="H263" i="190"/>
  <c r="G263" i="190"/>
  <c r="F263" i="190"/>
  <c r="E263" i="190"/>
  <c r="N261" i="190"/>
  <c r="M261" i="190"/>
  <c r="L261" i="190"/>
  <c r="I261" i="190"/>
  <c r="H261" i="190"/>
  <c r="G261" i="190"/>
  <c r="F261" i="190"/>
  <c r="N260" i="190"/>
  <c r="M260" i="190"/>
  <c r="L260" i="190"/>
  <c r="I260" i="190"/>
  <c r="H260" i="190"/>
  <c r="G260" i="190"/>
  <c r="F260" i="190"/>
  <c r="N258" i="190"/>
  <c r="M258" i="190"/>
  <c r="L258" i="190"/>
  <c r="I258" i="190"/>
  <c r="H258" i="190"/>
  <c r="G258" i="190"/>
  <c r="N255" i="190"/>
  <c r="M255" i="190"/>
  <c r="L255" i="190"/>
  <c r="I255" i="190"/>
  <c r="H255" i="190"/>
  <c r="G255" i="190"/>
  <c r="F255" i="190"/>
  <c r="N252" i="190"/>
  <c r="M252" i="190"/>
  <c r="L252" i="190"/>
  <c r="I252" i="190"/>
  <c r="G252" i="190"/>
  <c r="N251" i="190"/>
  <c r="M251" i="190"/>
  <c r="L251" i="190"/>
  <c r="K251" i="190"/>
  <c r="I251" i="190"/>
  <c r="H251" i="190"/>
  <c r="G251" i="190"/>
  <c r="N250" i="190"/>
  <c r="M250" i="190"/>
  <c r="L250" i="190"/>
  <c r="K250" i="190"/>
  <c r="I250" i="190"/>
  <c r="H250" i="190"/>
  <c r="G250" i="190"/>
  <c r="N249" i="190"/>
  <c r="M249" i="190"/>
  <c r="L249" i="190"/>
  <c r="K249" i="190"/>
  <c r="I249" i="190"/>
  <c r="H249" i="190"/>
  <c r="G249" i="190"/>
  <c r="N246" i="190"/>
  <c r="M246" i="190"/>
  <c r="L246" i="190"/>
  <c r="K246" i="190"/>
  <c r="I246" i="190"/>
  <c r="H246" i="190"/>
  <c r="G246" i="190"/>
  <c r="F246" i="190"/>
  <c r="N245" i="190"/>
  <c r="M245" i="190"/>
  <c r="L245" i="190"/>
  <c r="K245" i="190"/>
  <c r="I245" i="190"/>
  <c r="H245" i="190"/>
  <c r="G245" i="190"/>
  <c r="N244" i="190"/>
  <c r="M244" i="190"/>
  <c r="L244" i="190"/>
  <c r="K244" i="190"/>
  <c r="I244" i="190"/>
  <c r="P240" i="190"/>
  <c r="O240" i="190"/>
  <c r="N240" i="190"/>
  <c r="M240" i="190"/>
  <c r="L240" i="190"/>
  <c r="K240" i="190"/>
  <c r="J240" i="190"/>
  <c r="I240" i="190"/>
  <c r="H240" i="190"/>
  <c r="G240" i="190"/>
  <c r="F240" i="190"/>
  <c r="N239" i="190"/>
  <c r="M239" i="190"/>
  <c r="K239" i="190"/>
  <c r="I239" i="190"/>
  <c r="H239" i="190"/>
  <c r="G239" i="190"/>
  <c r="F239" i="190"/>
  <c r="N237" i="190"/>
  <c r="M237" i="190"/>
  <c r="L237" i="190"/>
  <c r="I237" i="190"/>
  <c r="H237" i="190"/>
  <c r="G237" i="190"/>
  <c r="F237" i="190"/>
  <c r="N236" i="190"/>
  <c r="M236" i="190"/>
  <c r="L236" i="190"/>
  <c r="I236" i="190"/>
  <c r="H236" i="190"/>
  <c r="G236" i="190"/>
  <c r="N233" i="190"/>
  <c r="M233" i="190"/>
  <c r="L233" i="190"/>
  <c r="K233" i="190"/>
  <c r="I233" i="190"/>
  <c r="H233" i="190"/>
  <c r="G233" i="190"/>
  <c r="F233" i="190"/>
  <c r="N232" i="190"/>
  <c r="M232" i="190"/>
  <c r="L232" i="190"/>
  <c r="K232" i="190"/>
  <c r="I232" i="190"/>
  <c r="H232" i="190"/>
  <c r="G232" i="190"/>
  <c r="N231" i="190"/>
  <c r="M231" i="190"/>
  <c r="L231" i="190"/>
  <c r="I231" i="190"/>
  <c r="H231" i="190"/>
  <c r="G231" i="190"/>
  <c r="F231" i="190"/>
  <c r="N230" i="190"/>
  <c r="M230" i="190"/>
  <c r="L230" i="190"/>
  <c r="I230" i="190"/>
  <c r="H230" i="190"/>
  <c r="G230" i="190"/>
  <c r="F230" i="190"/>
  <c r="N229" i="190"/>
  <c r="M229" i="190"/>
  <c r="L229" i="190"/>
  <c r="I229" i="190"/>
  <c r="H229" i="190"/>
  <c r="G229" i="190"/>
  <c r="N226" i="190"/>
  <c r="M226" i="190"/>
  <c r="L226" i="190"/>
  <c r="K226" i="190"/>
  <c r="I226" i="190"/>
  <c r="H226" i="190"/>
  <c r="G226" i="190"/>
  <c r="N225" i="190"/>
  <c r="M225" i="190"/>
  <c r="L225" i="190"/>
  <c r="I225" i="190"/>
  <c r="N221" i="190"/>
  <c r="M221" i="190"/>
  <c r="L221" i="190"/>
  <c r="K221" i="190"/>
  <c r="I221" i="190"/>
  <c r="H221" i="190"/>
  <c r="G221" i="190"/>
  <c r="F221" i="190"/>
  <c r="N218" i="190"/>
  <c r="M218" i="190"/>
  <c r="L218" i="190"/>
  <c r="I218" i="190"/>
  <c r="H218" i="190"/>
  <c r="G218" i="190"/>
  <c r="F218" i="190"/>
  <c r="N216" i="190"/>
  <c r="M216" i="190"/>
  <c r="L216" i="190"/>
  <c r="K216" i="190"/>
  <c r="I216" i="190"/>
  <c r="H216" i="190"/>
  <c r="G216" i="190"/>
  <c r="F216" i="190"/>
  <c r="N212" i="190"/>
  <c r="M212" i="190"/>
  <c r="L212" i="190"/>
  <c r="K212" i="190"/>
  <c r="I212" i="190"/>
  <c r="H212" i="190"/>
  <c r="G212" i="190"/>
  <c r="N209" i="190"/>
  <c r="M209" i="190"/>
  <c r="L209" i="190"/>
  <c r="I209" i="190"/>
  <c r="H209" i="190"/>
  <c r="N208" i="190"/>
  <c r="M208" i="190"/>
  <c r="L208" i="190"/>
  <c r="K208" i="190"/>
  <c r="I208" i="190"/>
  <c r="H208" i="190"/>
  <c r="G208" i="190"/>
  <c r="N207" i="190"/>
  <c r="M207" i="190"/>
  <c r="L207" i="190"/>
  <c r="K207" i="190"/>
  <c r="I207" i="190"/>
  <c r="H207" i="190"/>
  <c r="G207" i="190"/>
  <c r="N205" i="190"/>
  <c r="M205" i="190"/>
  <c r="L205" i="190"/>
  <c r="I205" i="190"/>
  <c r="H205" i="190"/>
  <c r="G205" i="190"/>
  <c r="I204" i="190"/>
  <c r="N202" i="190"/>
  <c r="M202" i="190"/>
  <c r="L202" i="190"/>
  <c r="K202" i="190"/>
  <c r="I202" i="190"/>
  <c r="H202" i="190"/>
  <c r="G202" i="190"/>
  <c r="N200" i="190"/>
  <c r="M200" i="190"/>
  <c r="L200" i="190"/>
  <c r="K200" i="190"/>
  <c r="I200" i="190"/>
  <c r="H200" i="190"/>
  <c r="G200" i="190"/>
  <c r="N199" i="190"/>
  <c r="M199" i="190"/>
  <c r="L199" i="190"/>
  <c r="K199" i="190"/>
  <c r="I199" i="190"/>
  <c r="H199" i="190"/>
  <c r="G199" i="190"/>
  <c r="N196" i="190"/>
  <c r="M196" i="190"/>
  <c r="L196" i="190"/>
  <c r="K196" i="190"/>
  <c r="I196" i="190"/>
  <c r="M195" i="190"/>
  <c r="I195" i="190"/>
  <c r="G195" i="190"/>
  <c r="N193" i="190"/>
  <c r="M193" i="190"/>
  <c r="L193" i="190"/>
  <c r="K193" i="190"/>
  <c r="I193" i="190"/>
  <c r="N188" i="190"/>
  <c r="M188" i="190"/>
  <c r="L188" i="190"/>
  <c r="K188" i="190"/>
  <c r="I188" i="190"/>
  <c r="H188" i="190"/>
  <c r="G188" i="190"/>
  <c r="F188" i="190"/>
  <c r="N185" i="190"/>
  <c r="M185" i="190"/>
  <c r="L185" i="190"/>
  <c r="I185" i="190"/>
  <c r="H185" i="190"/>
  <c r="G185" i="190"/>
  <c r="F185" i="190"/>
  <c r="N184" i="190"/>
  <c r="M184" i="190"/>
  <c r="L184" i="190"/>
  <c r="K184" i="190"/>
  <c r="I184" i="190"/>
  <c r="H184" i="190"/>
  <c r="G184" i="190"/>
  <c r="N180" i="190"/>
  <c r="M180" i="190"/>
  <c r="L180" i="190"/>
  <c r="K180" i="190"/>
  <c r="I180" i="190"/>
  <c r="H180" i="190"/>
  <c r="G180" i="190"/>
  <c r="N179" i="190"/>
  <c r="M179" i="190"/>
  <c r="K179" i="190"/>
  <c r="I179" i="190"/>
  <c r="G179" i="190"/>
  <c r="M177" i="190"/>
  <c r="I177" i="190"/>
  <c r="M176" i="190"/>
  <c r="I176" i="190"/>
  <c r="G176" i="190"/>
  <c r="M175" i="190"/>
  <c r="I175" i="190"/>
  <c r="G175" i="190"/>
  <c r="N174" i="190"/>
  <c r="M174" i="190"/>
  <c r="L174" i="190"/>
  <c r="K174" i="190"/>
  <c r="I174" i="190"/>
  <c r="H174" i="190"/>
  <c r="G174" i="190"/>
  <c r="M172" i="190"/>
  <c r="I172" i="190"/>
  <c r="N167" i="190"/>
  <c r="M167" i="190"/>
  <c r="L167" i="190"/>
  <c r="K167" i="190"/>
  <c r="I167" i="190"/>
  <c r="H167" i="190"/>
  <c r="G167" i="190"/>
  <c r="F167" i="190"/>
  <c r="N164" i="190"/>
  <c r="M164" i="190"/>
  <c r="L164" i="190"/>
  <c r="I164" i="190"/>
  <c r="H164" i="190"/>
  <c r="G164" i="190"/>
  <c r="F164" i="190"/>
  <c r="N160" i="190"/>
  <c r="M160" i="190"/>
  <c r="L160" i="190"/>
  <c r="K160" i="190"/>
  <c r="I160" i="190"/>
  <c r="H160" i="190"/>
  <c r="G160" i="190"/>
  <c r="F160" i="190"/>
  <c r="N159" i="190"/>
  <c r="M159" i="190"/>
  <c r="L159" i="190"/>
  <c r="K159" i="190"/>
  <c r="I159" i="190"/>
  <c r="H159" i="190"/>
  <c r="G159" i="190"/>
  <c r="F159" i="190"/>
  <c r="N156" i="190"/>
  <c r="M156" i="190"/>
  <c r="L156" i="190"/>
  <c r="I156" i="190"/>
  <c r="H156" i="190"/>
  <c r="G156" i="190"/>
  <c r="M155" i="190"/>
  <c r="I155" i="190"/>
  <c r="P153" i="190"/>
  <c r="O153" i="190"/>
  <c r="N153" i="190"/>
  <c r="M153" i="190"/>
  <c r="L153" i="190"/>
  <c r="K153" i="190"/>
  <c r="J153" i="190"/>
  <c r="I153" i="190"/>
  <c r="H153" i="190"/>
  <c r="G153" i="190"/>
  <c r="F153" i="190"/>
  <c r="E153" i="190"/>
  <c r="P152" i="190"/>
  <c r="O152" i="190"/>
  <c r="N152" i="190"/>
  <c r="M152" i="190"/>
  <c r="L152" i="190"/>
  <c r="K152" i="190"/>
  <c r="J152" i="190"/>
  <c r="I152" i="190"/>
  <c r="H152" i="190"/>
  <c r="G152" i="190"/>
  <c r="F152" i="190"/>
  <c r="E152" i="190"/>
  <c r="N151" i="190"/>
  <c r="M151" i="190"/>
  <c r="L151" i="190"/>
  <c r="K151" i="190"/>
  <c r="I151" i="190"/>
  <c r="H151" i="190"/>
  <c r="G151" i="190"/>
  <c r="F151" i="190"/>
  <c r="P150" i="190"/>
  <c r="O150" i="190"/>
  <c r="N150" i="190"/>
  <c r="M150" i="190"/>
  <c r="L150" i="190"/>
  <c r="K150" i="190"/>
  <c r="J150" i="190"/>
  <c r="I150" i="190"/>
  <c r="H150" i="190"/>
  <c r="G150" i="190"/>
  <c r="F150" i="190"/>
  <c r="E150" i="190"/>
  <c r="P149" i="190"/>
  <c r="O149" i="190"/>
  <c r="N149" i="190"/>
  <c r="M149" i="190"/>
  <c r="L149" i="190"/>
  <c r="K149" i="190"/>
  <c r="J149" i="190"/>
  <c r="I149" i="190"/>
  <c r="H149" i="190"/>
  <c r="G149" i="190"/>
  <c r="F149" i="190"/>
  <c r="E149" i="190"/>
  <c r="N148" i="190"/>
  <c r="M148" i="190"/>
  <c r="L148" i="190"/>
  <c r="K148" i="190"/>
  <c r="I148" i="190"/>
  <c r="H148" i="190"/>
  <c r="G148" i="190"/>
  <c r="F148" i="190"/>
  <c r="P147" i="190"/>
  <c r="O147" i="190"/>
  <c r="N147" i="190"/>
  <c r="M147" i="190"/>
  <c r="L147" i="190"/>
  <c r="K147" i="190"/>
  <c r="J147" i="190"/>
  <c r="I147" i="190"/>
  <c r="H147" i="190"/>
  <c r="G147" i="190"/>
  <c r="F147" i="190"/>
  <c r="P146" i="190"/>
  <c r="O146" i="190"/>
  <c r="N146" i="190"/>
  <c r="M146" i="190"/>
  <c r="L146" i="190"/>
  <c r="K146" i="190"/>
  <c r="J146" i="190"/>
  <c r="I146" i="190"/>
  <c r="H146" i="190"/>
  <c r="G146" i="190"/>
  <c r="F146" i="190"/>
  <c r="E146" i="190"/>
  <c r="P145" i="190"/>
  <c r="O145" i="190"/>
  <c r="N145" i="190"/>
  <c r="M145" i="190"/>
  <c r="L145" i="190"/>
  <c r="K145" i="190"/>
  <c r="J145" i="190"/>
  <c r="I145" i="190"/>
  <c r="H145" i="190"/>
  <c r="G145" i="190"/>
  <c r="F145" i="190"/>
  <c r="E145" i="190"/>
  <c r="N144" i="190"/>
  <c r="M144" i="190"/>
  <c r="L144" i="190"/>
  <c r="K144" i="190"/>
  <c r="I144" i="190"/>
  <c r="H144" i="190"/>
  <c r="G144" i="190"/>
  <c r="F144" i="190"/>
  <c r="P143" i="190"/>
  <c r="O143" i="190"/>
  <c r="N143" i="190"/>
  <c r="M143" i="190"/>
  <c r="L143" i="190"/>
  <c r="K143" i="190"/>
  <c r="J143" i="190"/>
  <c r="I143" i="190"/>
  <c r="H143" i="190"/>
  <c r="G143" i="190"/>
  <c r="F143" i="190"/>
  <c r="P142" i="190"/>
  <c r="O142" i="190"/>
  <c r="N142" i="190"/>
  <c r="M142" i="190"/>
  <c r="L142" i="190"/>
  <c r="K142" i="190"/>
  <c r="J142" i="190"/>
  <c r="I142" i="190"/>
  <c r="H142" i="190"/>
  <c r="G142" i="190"/>
  <c r="F142" i="190"/>
  <c r="N141" i="190"/>
  <c r="M141" i="190"/>
  <c r="L141" i="190"/>
  <c r="K141" i="190"/>
  <c r="I141" i="190"/>
  <c r="H141" i="190"/>
  <c r="G141" i="190"/>
  <c r="F141" i="190"/>
  <c r="N139" i="190"/>
  <c r="M139" i="190"/>
  <c r="L139" i="190"/>
  <c r="K139" i="190"/>
  <c r="I139" i="190"/>
  <c r="H139" i="190"/>
  <c r="G139" i="190"/>
  <c r="F139" i="190"/>
  <c r="N138" i="190"/>
  <c r="M138" i="190"/>
  <c r="L138" i="190"/>
  <c r="K138" i="190"/>
  <c r="I138" i="190"/>
  <c r="H138" i="190"/>
  <c r="G138" i="190"/>
  <c r="N136" i="190"/>
  <c r="M136" i="190"/>
  <c r="L136" i="190"/>
  <c r="K136" i="190"/>
  <c r="I136" i="190"/>
  <c r="H136" i="190"/>
  <c r="G136" i="190"/>
  <c r="F136" i="190"/>
  <c r="N135" i="190"/>
  <c r="M135" i="190"/>
  <c r="L135" i="190"/>
  <c r="K135" i="190"/>
  <c r="I135" i="190"/>
  <c r="H135" i="190"/>
  <c r="G135" i="190"/>
  <c r="F135" i="190"/>
  <c r="N133" i="190"/>
  <c r="M133" i="190"/>
  <c r="L133" i="190"/>
  <c r="K133" i="190"/>
  <c r="I133" i="190"/>
  <c r="H133" i="190"/>
  <c r="G133" i="190"/>
  <c r="N132" i="190"/>
  <c r="M132" i="190"/>
  <c r="L132" i="190"/>
  <c r="I132" i="190"/>
  <c r="H132" i="190"/>
  <c r="G132" i="190"/>
  <c r="F132" i="190"/>
  <c r="N130" i="190"/>
  <c r="M130" i="190"/>
  <c r="L130" i="190"/>
  <c r="K130" i="190"/>
  <c r="I130" i="190"/>
  <c r="M129" i="190"/>
  <c r="I129" i="190"/>
  <c r="G129" i="190"/>
  <c r="N127" i="190"/>
  <c r="M127" i="190"/>
  <c r="L127" i="190"/>
  <c r="K127" i="190"/>
  <c r="I127" i="190"/>
  <c r="H127" i="190"/>
  <c r="G127" i="190"/>
  <c r="F127" i="190"/>
  <c r="N126" i="190"/>
  <c r="M126" i="190"/>
  <c r="L126" i="190"/>
  <c r="K126" i="190"/>
  <c r="I126" i="190"/>
  <c r="H126" i="190"/>
  <c r="G126" i="190"/>
  <c r="F126" i="190"/>
  <c r="N125" i="190"/>
  <c r="M125" i="190"/>
  <c r="L125" i="190"/>
  <c r="K125" i="190"/>
  <c r="I125" i="190"/>
  <c r="H125" i="190"/>
  <c r="G125" i="190"/>
  <c r="F125" i="190"/>
  <c r="N124" i="190"/>
  <c r="M124" i="190"/>
  <c r="L124" i="190"/>
  <c r="K124" i="190"/>
  <c r="I124" i="190"/>
  <c r="H124" i="190"/>
  <c r="G124" i="190"/>
  <c r="N123" i="190"/>
  <c r="M123" i="190"/>
  <c r="L123" i="190"/>
  <c r="K123" i="190"/>
  <c r="I123" i="190"/>
  <c r="H123" i="190"/>
  <c r="G123" i="190"/>
  <c r="N122" i="190"/>
  <c r="M122" i="190"/>
  <c r="L122" i="190"/>
  <c r="K122" i="190"/>
  <c r="I122" i="190"/>
  <c r="H122" i="190"/>
  <c r="G122" i="190"/>
  <c r="N121" i="190"/>
  <c r="M121" i="190"/>
  <c r="L121" i="190"/>
  <c r="K121" i="190"/>
  <c r="I121" i="190"/>
  <c r="H121" i="190"/>
  <c r="G121" i="190"/>
  <c r="N120" i="190"/>
  <c r="M120" i="190"/>
  <c r="L120" i="190"/>
  <c r="I120" i="190"/>
  <c r="H120" i="190"/>
  <c r="G120" i="190"/>
  <c r="O117" i="190"/>
  <c r="N117" i="190"/>
  <c r="M117" i="190"/>
  <c r="L117" i="190"/>
  <c r="K117" i="190"/>
  <c r="I117" i="190"/>
  <c r="H117" i="190"/>
  <c r="G117" i="190"/>
  <c r="F117" i="190"/>
  <c r="N116" i="190"/>
  <c r="M116" i="190"/>
  <c r="L116" i="190"/>
  <c r="K116" i="190"/>
  <c r="I116" i="190"/>
  <c r="H116" i="190"/>
  <c r="G116" i="190"/>
  <c r="F116" i="190"/>
  <c r="N115" i="190"/>
  <c r="M115" i="190"/>
  <c r="L115" i="190"/>
  <c r="I115" i="190"/>
  <c r="N110" i="190"/>
  <c r="M110" i="190"/>
  <c r="L110" i="190"/>
  <c r="I110" i="190"/>
  <c r="H110" i="190"/>
  <c r="G110" i="190"/>
  <c r="F110" i="190"/>
  <c r="N108" i="190"/>
  <c r="M108" i="190"/>
  <c r="L108" i="190"/>
  <c r="K108" i="190"/>
  <c r="I108" i="190"/>
  <c r="H108" i="190"/>
  <c r="G108" i="190"/>
  <c r="F108" i="190"/>
  <c r="N104" i="190"/>
  <c r="M104" i="190"/>
  <c r="L104" i="190"/>
  <c r="K104" i="190"/>
  <c r="I104" i="190"/>
  <c r="H104" i="190"/>
  <c r="G104" i="190"/>
  <c r="N103" i="190"/>
  <c r="M103" i="190"/>
  <c r="L103" i="190"/>
  <c r="I103" i="190"/>
  <c r="N101" i="190"/>
  <c r="M101" i="190"/>
  <c r="L101" i="190"/>
  <c r="K101" i="190"/>
  <c r="I101" i="190"/>
  <c r="H101" i="190"/>
  <c r="G101" i="190"/>
  <c r="N99" i="190"/>
  <c r="M99" i="190"/>
  <c r="L99" i="190"/>
  <c r="K99" i="190"/>
  <c r="I99" i="190"/>
  <c r="H99" i="190"/>
  <c r="G99" i="190"/>
  <c r="N97" i="190"/>
  <c r="M97" i="190"/>
  <c r="L97" i="190"/>
  <c r="K97" i="190"/>
  <c r="I97" i="190"/>
  <c r="H97" i="190"/>
  <c r="G97" i="190"/>
  <c r="N96" i="190"/>
  <c r="M96" i="190"/>
  <c r="L96" i="190"/>
  <c r="K96" i="190"/>
  <c r="I96" i="190"/>
  <c r="H96" i="190"/>
  <c r="G96" i="190"/>
  <c r="N95" i="190"/>
  <c r="M95" i="190"/>
  <c r="L95" i="190"/>
  <c r="K95" i="190"/>
  <c r="I95" i="190"/>
  <c r="H95" i="190"/>
  <c r="G95" i="190"/>
  <c r="O94" i="190"/>
  <c r="N94" i="190"/>
  <c r="M94" i="190"/>
  <c r="L94" i="190"/>
  <c r="K94" i="190"/>
  <c r="I94" i="190"/>
  <c r="H94" i="190"/>
  <c r="G94" i="190"/>
  <c r="N93" i="190"/>
  <c r="M93" i="190"/>
  <c r="L93" i="190"/>
  <c r="K93" i="190"/>
  <c r="I93" i="190"/>
  <c r="H93" i="190"/>
  <c r="G93" i="190"/>
  <c r="N91" i="190"/>
  <c r="M91" i="190"/>
  <c r="L91" i="190"/>
  <c r="I91" i="190"/>
  <c r="N87" i="190"/>
  <c r="M87" i="190"/>
  <c r="L87" i="190"/>
  <c r="I87" i="190"/>
  <c r="H87" i="190"/>
  <c r="G87" i="190"/>
  <c r="F87" i="190"/>
  <c r="N84" i="190"/>
  <c r="M84" i="190"/>
  <c r="L84" i="190"/>
  <c r="K84" i="190"/>
  <c r="I84" i="190"/>
  <c r="H84" i="190"/>
  <c r="G84" i="190"/>
  <c r="N82" i="190"/>
  <c r="M82" i="190"/>
  <c r="L82" i="190"/>
  <c r="K82" i="190"/>
  <c r="I82" i="190"/>
  <c r="H82" i="190"/>
  <c r="G82" i="190"/>
  <c r="F82" i="190"/>
  <c r="N78" i="190"/>
  <c r="M78" i="190"/>
  <c r="L78" i="190"/>
  <c r="I78" i="190"/>
  <c r="H78" i="190"/>
  <c r="G78" i="190"/>
  <c r="N77" i="190"/>
  <c r="M77" i="190"/>
  <c r="L77" i="190"/>
  <c r="I77" i="190"/>
  <c r="H77" i="190"/>
  <c r="G77" i="190"/>
  <c r="F77" i="190"/>
  <c r="N75" i="190"/>
  <c r="M75" i="190"/>
  <c r="L75" i="190"/>
  <c r="K75" i="190"/>
  <c r="I75" i="190"/>
  <c r="H75" i="190"/>
  <c r="G75" i="190"/>
  <c r="N73" i="190"/>
  <c r="M73" i="190"/>
  <c r="L73" i="190"/>
  <c r="I73" i="190"/>
  <c r="H73" i="190"/>
  <c r="N72" i="190"/>
  <c r="M72" i="190"/>
  <c r="L72" i="190"/>
  <c r="K72" i="190"/>
  <c r="I72" i="190"/>
  <c r="H72" i="190"/>
  <c r="N67" i="190"/>
  <c r="M67" i="190"/>
  <c r="L67" i="190"/>
  <c r="K67" i="190"/>
  <c r="I67" i="190"/>
  <c r="H67" i="190"/>
  <c r="G67" i="190"/>
  <c r="F67" i="190"/>
  <c r="N66" i="190"/>
  <c r="M66" i="190"/>
  <c r="L66" i="190"/>
  <c r="I66" i="190"/>
  <c r="H66" i="190"/>
  <c r="G66" i="190"/>
  <c r="N64" i="190"/>
  <c r="M64" i="190"/>
  <c r="L64" i="190"/>
  <c r="K64" i="190"/>
  <c r="I64" i="190"/>
  <c r="N63" i="190"/>
  <c r="M63" i="190"/>
  <c r="L63" i="190"/>
  <c r="K63" i="190"/>
  <c r="I63" i="190"/>
  <c r="H63" i="190"/>
  <c r="N62" i="190"/>
  <c r="M62" i="190"/>
  <c r="L62" i="190"/>
  <c r="K62" i="190"/>
  <c r="I62" i="190"/>
  <c r="N60" i="190"/>
  <c r="M60" i="190"/>
  <c r="L60" i="190"/>
  <c r="K60" i="190"/>
  <c r="I60" i="190"/>
  <c r="H60" i="190"/>
  <c r="G60" i="190"/>
  <c r="M59" i="190"/>
  <c r="K59" i="190"/>
  <c r="I59" i="190"/>
  <c r="O57" i="190"/>
  <c r="N57" i="190"/>
  <c r="M57" i="190"/>
  <c r="L57" i="190"/>
  <c r="K57" i="190"/>
  <c r="I57" i="190"/>
  <c r="H57" i="190"/>
  <c r="F57" i="190"/>
  <c r="I56" i="190"/>
  <c r="M54" i="190"/>
  <c r="I54" i="190"/>
  <c r="N53" i="190"/>
  <c r="M53" i="190"/>
  <c r="L53" i="190"/>
  <c r="I53" i="190"/>
  <c r="H53" i="190"/>
  <c r="G53" i="190"/>
  <c r="F53" i="190"/>
  <c r="N50" i="190"/>
  <c r="M50" i="190"/>
  <c r="L50" i="190"/>
  <c r="K50" i="190"/>
  <c r="I50" i="190"/>
  <c r="H50" i="190"/>
  <c r="G50" i="190"/>
  <c r="F50" i="190"/>
  <c r="N48" i="190"/>
  <c r="M48" i="190"/>
  <c r="L48" i="190"/>
  <c r="K48" i="190"/>
  <c r="I48" i="190"/>
  <c r="M47" i="190"/>
  <c r="I47" i="190"/>
  <c r="I46" i="190"/>
  <c r="I44" i="190"/>
  <c r="N40" i="190"/>
  <c r="M40" i="190"/>
  <c r="L40" i="190"/>
  <c r="I40" i="190"/>
  <c r="H40" i="190"/>
  <c r="G40" i="190"/>
  <c r="N39" i="190"/>
  <c r="M39" i="190"/>
  <c r="L39" i="190"/>
  <c r="K39" i="190"/>
  <c r="I39" i="190"/>
  <c r="H39" i="190"/>
  <c r="G39" i="190"/>
  <c r="F39" i="190"/>
  <c r="N38" i="190"/>
  <c r="M38" i="190"/>
  <c r="L38" i="190"/>
  <c r="K38" i="190"/>
  <c r="I38" i="190"/>
  <c r="H38" i="190"/>
  <c r="G38" i="190"/>
  <c r="F38" i="190"/>
  <c r="N35" i="190"/>
  <c r="M35" i="190"/>
  <c r="L35" i="190"/>
  <c r="K35" i="190"/>
  <c r="I35" i="190"/>
  <c r="H35" i="190"/>
  <c r="G35" i="190"/>
  <c r="F35" i="190"/>
  <c r="O32" i="190"/>
  <c r="N32" i="190"/>
  <c r="M32" i="190"/>
  <c r="L32" i="190"/>
  <c r="K32" i="190"/>
  <c r="I32" i="190"/>
  <c r="H32" i="190"/>
  <c r="G32" i="190"/>
  <c r="F32" i="190"/>
  <c r="N30" i="190"/>
  <c r="M30" i="190"/>
  <c r="K30" i="190"/>
  <c r="I30" i="190"/>
  <c r="H30" i="190"/>
  <c r="G30" i="190"/>
  <c r="F30" i="190"/>
  <c r="N28" i="190"/>
  <c r="M28" i="190"/>
  <c r="L28" i="190"/>
  <c r="K28" i="190"/>
  <c r="I28" i="190"/>
  <c r="H28" i="190"/>
  <c r="G28" i="190"/>
  <c r="F28" i="190"/>
  <c r="O26" i="190"/>
  <c r="N26" i="190"/>
  <c r="M26" i="190"/>
  <c r="L26" i="190"/>
  <c r="K26" i="190"/>
  <c r="I26" i="190"/>
  <c r="H26" i="190"/>
  <c r="G26" i="190"/>
  <c r="F26" i="190"/>
  <c r="N25" i="190"/>
  <c r="M25" i="190"/>
  <c r="L25" i="190"/>
  <c r="K25" i="190"/>
  <c r="I25" i="190"/>
  <c r="H25" i="190"/>
  <c r="G25" i="190"/>
  <c r="F25" i="190"/>
  <c r="N22" i="190"/>
  <c r="M22" i="190"/>
  <c r="L22" i="190"/>
  <c r="K22" i="190"/>
  <c r="I22" i="190"/>
  <c r="H22" i="190"/>
  <c r="G22" i="190"/>
  <c r="N21" i="190"/>
  <c r="M21" i="190"/>
  <c r="L21" i="190"/>
  <c r="K21" i="190"/>
  <c r="I21" i="190"/>
  <c r="H21" i="190"/>
  <c r="G21" i="190"/>
  <c r="F21" i="190"/>
  <c r="N20" i="190"/>
  <c r="M20" i="190"/>
  <c r="L20" i="190"/>
  <c r="K20" i="190"/>
  <c r="I20" i="190"/>
  <c r="H20" i="190"/>
  <c r="N19" i="190"/>
  <c r="M19" i="190"/>
  <c r="L19" i="190"/>
  <c r="I19" i="190"/>
  <c r="O361" i="190"/>
  <c r="M361" i="190"/>
  <c r="L361" i="190"/>
  <c r="K361" i="190"/>
  <c r="J361" i="190"/>
  <c r="H361" i="190"/>
  <c r="G361" i="190"/>
  <c r="O269" i="190"/>
  <c r="J269" i="190" s="1"/>
  <c r="H269" i="190"/>
  <c r="G269" i="190"/>
  <c r="F269" i="190"/>
  <c r="E269" i="190"/>
  <c r="O111" i="190"/>
  <c r="J111" i="190" s="1"/>
  <c r="E111" i="190"/>
  <c r="P358" i="189"/>
  <c r="O358" i="189"/>
  <c r="N358" i="189"/>
  <c r="M358" i="189"/>
  <c r="L358" i="189"/>
  <c r="K358" i="189"/>
  <c r="J358" i="189"/>
  <c r="H358" i="189"/>
  <c r="G358" i="189"/>
  <c r="F358" i="189"/>
  <c r="O355" i="189"/>
  <c r="J355" i="189" s="1"/>
  <c r="E355" i="189"/>
  <c r="E354" i="189" s="1"/>
  <c r="E353" i="189" s="1"/>
  <c r="N354" i="189"/>
  <c r="N353" i="189" s="1"/>
  <c r="M354" i="189"/>
  <c r="M353" i="189" s="1"/>
  <c r="L354" i="189"/>
  <c r="L353" i="189" s="1"/>
  <c r="K354" i="189"/>
  <c r="K353" i="189" s="1"/>
  <c r="I354" i="189"/>
  <c r="I353" i="189" s="1"/>
  <c r="H354" i="189"/>
  <c r="H353" i="189" s="1"/>
  <c r="G354" i="189"/>
  <c r="G353" i="189" s="1"/>
  <c r="F354" i="189"/>
  <c r="F353" i="189" s="1"/>
  <c r="O352" i="189"/>
  <c r="O351" i="189" s="1"/>
  <c r="J352" i="189"/>
  <c r="J351" i="189" s="1"/>
  <c r="F352" i="189"/>
  <c r="N351" i="189"/>
  <c r="N349" i="189" s="1"/>
  <c r="M351" i="189"/>
  <c r="L351" i="189"/>
  <c r="K351" i="189"/>
  <c r="K349" i="189" s="1"/>
  <c r="K345" i="189" s="1"/>
  <c r="I351" i="189"/>
  <c r="I349" i="189" s="1"/>
  <c r="H351" i="189"/>
  <c r="H349" i="189" s="1"/>
  <c r="G351" i="189"/>
  <c r="G349" i="189" s="1"/>
  <c r="O350" i="189"/>
  <c r="F350" i="189"/>
  <c r="E350" i="189" s="1"/>
  <c r="M349" i="189"/>
  <c r="L349" i="189"/>
  <c r="O348" i="189"/>
  <c r="J348" i="189" s="1"/>
  <c r="E348" i="189"/>
  <c r="S347" i="189"/>
  <c r="Q347" i="189"/>
  <c r="O347" i="189"/>
  <c r="J347" i="189" s="1"/>
  <c r="H347" i="189"/>
  <c r="G347" i="189"/>
  <c r="F347" i="189"/>
  <c r="E347" i="189" s="1"/>
  <c r="N346" i="189"/>
  <c r="M346" i="189"/>
  <c r="L346" i="189"/>
  <c r="K346" i="189"/>
  <c r="I346" i="189"/>
  <c r="H346" i="189"/>
  <c r="G346" i="189"/>
  <c r="F346" i="189"/>
  <c r="R343" i="189"/>
  <c r="O343" i="189"/>
  <c r="O342" i="189" s="1"/>
  <c r="E343" i="189"/>
  <c r="N342" i="189"/>
  <c r="N339" i="189" s="1"/>
  <c r="M342" i="189"/>
  <c r="L342" i="189"/>
  <c r="K342" i="189"/>
  <c r="I342" i="189"/>
  <c r="H342" i="189"/>
  <c r="G342" i="189"/>
  <c r="F342" i="189"/>
  <c r="E342" i="189"/>
  <c r="R341" i="189"/>
  <c r="J341" i="189"/>
  <c r="E341" i="189"/>
  <c r="O340" i="189"/>
  <c r="N340" i="189"/>
  <c r="M340" i="189"/>
  <c r="M339" i="189" s="1"/>
  <c r="M336" i="189" s="1"/>
  <c r="M335" i="189" s="1"/>
  <c r="L340" i="189"/>
  <c r="K340" i="189"/>
  <c r="J340" i="189"/>
  <c r="I340" i="189"/>
  <c r="I339" i="189" s="1"/>
  <c r="I336" i="189" s="1"/>
  <c r="I335" i="189" s="1"/>
  <c r="H340" i="189"/>
  <c r="G340" i="189"/>
  <c r="F340" i="189"/>
  <c r="L339" i="189"/>
  <c r="G339" i="189"/>
  <c r="F339" i="189"/>
  <c r="F336" i="189" s="1"/>
  <c r="F335" i="189" s="1"/>
  <c r="R338" i="189"/>
  <c r="O338" i="189"/>
  <c r="J338" i="189"/>
  <c r="J337" i="189" s="1"/>
  <c r="H338" i="189"/>
  <c r="G338" i="189"/>
  <c r="G337" i="189" s="1"/>
  <c r="F338" i="189"/>
  <c r="F337" i="189" s="1"/>
  <c r="O337" i="189"/>
  <c r="N337" i="189"/>
  <c r="N336" i="189" s="1"/>
  <c r="N335" i="189" s="1"/>
  <c r="M337" i="189"/>
  <c r="L337" i="189"/>
  <c r="K337" i="189"/>
  <c r="I337" i="189"/>
  <c r="H337" i="189"/>
  <c r="O334" i="189"/>
  <c r="L334" i="189"/>
  <c r="O333" i="189"/>
  <c r="L333" i="189"/>
  <c r="E333" i="189"/>
  <c r="O332" i="189"/>
  <c r="L332" i="189"/>
  <c r="J332" i="189"/>
  <c r="Q332" i="189" s="1"/>
  <c r="E332" i="189"/>
  <c r="O331" i="189"/>
  <c r="O330" i="189" s="1"/>
  <c r="O329" i="189" s="1"/>
  <c r="O328" i="189" s="1"/>
  <c r="L331" i="189"/>
  <c r="L330" i="189" s="1"/>
  <c r="L329" i="189" s="1"/>
  <c r="L328" i="189" s="1"/>
  <c r="L324" i="189" s="1"/>
  <c r="E331" i="189"/>
  <c r="N330" i="189"/>
  <c r="M330" i="189"/>
  <c r="M329" i="189" s="1"/>
  <c r="M328" i="189" s="1"/>
  <c r="K330" i="189"/>
  <c r="I330" i="189"/>
  <c r="H330" i="189"/>
  <c r="H329" i="189" s="1"/>
  <c r="H328" i="189" s="1"/>
  <c r="G330" i="189"/>
  <c r="G329" i="189" s="1"/>
  <c r="G328" i="189" s="1"/>
  <c r="F330" i="189"/>
  <c r="F329" i="189" s="1"/>
  <c r="F328" i="189" s="1"/>
  <c r="E330" i="189"/>
  <c r="E329" i="189" s="1"/>
  <c r="E328" i="189" s="1"/>
  <c r="N329" i="189"/>
  <c r="N328" i="189" s="1"/>
  <c r="K329" i="189"/>
  <c r="K328" i="189" s="1"/>
  <c r="I329" i="189"/>
  <c r="I328" i="189" s="1"/>
  <c r="O327" i="189"/>
  <c r="J327" i="189"/>
  <c r="P327" i="189" s="1"/>
  <c r="E327" i="189"/>
  <c r="K326" i="189"/>
  <c r="H326" i="189"/>
  <c r="G326" i="189"/>
  <c r="G325" i="189" s="1"/>
  <c r="F326" i="189"/>
  <c r="F325" i="189" s="1"/>
  <c r="E326" i="189"/>
  <c r="E325" i="189" s="1"/>
  <c r="N325" i="189"/>
  <c r="M325" i="189"/>
  <c r="L325" i="189"/>
  <c r="I325" i="189"/>
  <c r="H325" i="189"/>
  <c r="K322" i="189"/>
  <c r="F322" i="189"/>
  <c r="E322" i="189" s="1"/>
  <c r="N321" i="189"/>
  <c r="N320" i="189" s="1"/>
  <c r="M321" i="189"/>
  <c r="L321" i="189"/>
  <c r="L320" i="189" s="1"/>
  <c r="I321" i="189"/>
  <c r="H321" i="189"/>
  <c r="H320" i="189" s="1"/>
  <c r="G321" i="189"/>
  <c r="G320" i="189" s="1"/>
  <c r="M320" i="189"/>
  <c r="I320" i="189"/>
  <c r="K319" i="189"/>
  <c r="F319" i="189"/>
  <c r="N318" i="189"/>
  <c r="N315" i="189" s="1"/>
  <c r="M318" i="189"/>
  <c r="M315" i="189" s="1"/>
  <c r="L318" i="189"/>
  <c r="I318" i="189"/>
  <c r="I315" i="189" s="1"/>
  <c r="H318" i="189"/>
  <c r="H315" i="189" s="1"/>
  <c r="G318" i="189"/>
  <c r="G315" i="189" s="1"/>
  <c r="O317" i="189"/>
  <c r="J317" i="189" s="1"/>
  <c r="F317" i="189"/>
  <c r="E317" i="189" s="1"/>
  <c r="O316" i="189"/>
  <c r="J316" i="189" s="1"/>
  <c r="F316" i="189"/>
  <c r="E316" i="189"/>
  <c r="L315" i="189"/>
  <c r="O314" i="189"/>
  <c r="O313" i="189" s="1"/>
  <c r="E314" i="189"/>
  <c r="E313" i="189" s="1"/>
  <c r="N313" i="189"/>
  <c r="M313" i="189"/>
  <c r="L313" i="189"/>
  <c r="K313" i="189"/>
  <c r="I313" i="189"/>
  <c r="H313" i="189"/>
  <c r="G313" i="189"/>
  <c r="F313" i="189"/>
  <c r="I312" i="189"/>
  <c r="I311" i="189" s="1"/>
  <c r="I310" i="189" s="1"/>
  <c r="G312" i="189"/>
  <c r="O309" i="189"/>
  <c r="J309" i="189" s="1"/>
  <c r="E309" i="189"/>
  <c r="O308" i="189"/>
  <c r="O307" i="189" s="1"/>
  <c r="J308" i="189"/>
  <c r="J307" i="189" s="1"/>
  <c r="F308" i="189"/>
  <c r="N307" i="189"/>
  <c r="M307" i="189"/>
  <c r="M304" i="189" s="1"/>
  <c r="M303" i="189" s="1"/>
  <c r="L307" i="189"/>
  <c r="K307" i="189"/>
  <c r="I307" i="189"/>
  <c r="H307" i="189"/>
  <c r="G307" i="189"/>
  <c r="G304" i="189" s="1"/>
  <c r="G303" i="189" s="1"/>
  <c r="G298" i="189" s="1"/>
  <c r="G297" i="189" s="1"/>
  <c r="O306" i="189"/>
  <c r="E306" i="189"/>
  <c r="E305" i="189" s="1"/>
  <c r="N305" i="189"/>
  <c r="M305" i="189"/>
  <c r="L305" i="189"/>
  <c r="K305" i="189"/>
  <c r="I305" i="189"/>
  <c r="H305" i="189"/>
  <c r="G305" i="189"/>
  <c r="F305" i="189"/>
  <c r="L304" i="189"/>
  <c r="I304" i="189"/>
  <c r="I303" i="189" s="1"/>
  <c r="H304" i="189"/>
  <c r="H303" i="189" s="1"/>
  <c r="L303" i="189"/>
  <c r="O302" i="189"/>
  <c r="J302" i="189" s="1"/>
  <c r="F302" i="189"/>
  <c r="E302" i="189" s="1"/>
  <c r="P302" i="189" s="1"/>
  <c r="O301" i="189"/>
  <c r="J301" i="189" s="1"/>
  <c r="P301" i="189" s="1"/>
  <c r="E301" i="189"/>
  <c r="R300" i="189"/>
  <c r="K300" i="189"/>
  <c r="O300" i="189" s="1"/>
  <c r="H300" i="189"/>
  <c r="H299" i="189" s="1"/>
  <c r="G300" i="189"/>
  <c r="F300" i="189"/>
  <c r="F299" i="189" s="1"/>
  <c r="N299" i="189"/>
  <c r="M299" i="189"/>
  <c r="L299" i="189"/>
  <c r="L298" i="189" s="1"/>
  <c r="K299" i="189"/>
  <c r="I299" i="189"/>
  <c r="G299" i="189"/>
  <c r="R296" i="189"/>
  <c r="K296" i="189"/>
  <c r="E296" i="189"/>
  <c r="N295" i="189"/>
  <c r="N294" i="189" s="1"/>
  <c r="M295" i="189"/>
  <c r="M294" i="189" s="1"/>
  <c r="L295" i="189"/>
  <c r="I295" i="189"/>
  <c r="I294" i="189" s="1"/>
  <c r="I290" i="189" s="1"/>
  <c r="I289" i="189" s="1"/>
  <c r="H295" i="189"/>
  <c r="H294" i="189" s="1"/>
  <c r="G295" i="189"/>
  <c r="G294" i="189" s="1"/>
  <c r="F295" i="189"/>
  <c r="F294" i="189" s="1"/>
  <c r="E295" i="189"/>
  <c r="E294" i="189" s="1"/>
  <c r="L294" i="189"/>
  <c r="O293" i="189"/>
  <c r="J293" i="189"/>
  <c r="E293" i="189"/>
  <c r="K292" i="189"/>
  <c r="R292" i="189" s="1"/>
  <c r="H292" i="189"/>
  <c r="G292" i="189"/>
  <c r="G291" i="189" s="1"/>
  <c r="F292" i="189"/>
  <c r="N291" i="189"/>
  <c r="M291" i="189"/>
  <c r="L291" i="189"/>
  <c r="L290" i="189" s="1"/>
  <c r="L289" i="189" s="1"/>
  <c r="I291" i="189"/>
  <c r="H291" i="189"/>
  <c r="H290" i="189" s="1"/>
  <c r="H289" i="189" s="1"/>
  <c r="O287" i="189"/>
  <c r="E287" i="189"/>
  <c r="N286" i="189"/>
  <c r="N285" i="189" s="1"/>
  <c r="M286" i="189"/>
  <c r="M285" i="189" s="1"/>
  <c r="L286" i="189"/>
  <c r="L285" i="189" s="1"/>
  <c r="K286" i="189"/>
  <c r="K285" i="189" s="1"/>
  <c r="I286" i="189"/>
  <c r="I285" i="189" s="1"/>
  <c r="H286" i="189"/>
  <c r="G286" i="189"/>
  <c r="G285" i="189" s="1"/>
  <c r="F286" i="189"/>
  <c r="E286" i="189"/>
  <c r="E285" i="189" s="1"/>
  <c r="H285" i="189"/>
  <c r="F285" i="189"/>
  <c r="F276" i="189" s="1"/>
  <c r="K284" i="189"/>
  <c r="R284" i="189" s="1"/>
  <c r="E284" i="189"/>
  <c r="K283" i="189"/>
  <c r="R283" i="189" s="1"/>
  <c r="E283" i="189"/>
  <c r="O282" i="189"/>
  <c r="J282" i="189" s="1"/>
  <c r="E282" i="189"/>
  <c r="R281" i="189"/>
  <c r="O281" i="189"/>
  <c r="J281" i="189" s="1"/>
  <c r="E281" i="189"/>
  <c r="K280" i="189"/>
  <c r="R280" i="189" s="1"/>
  <c r="E280" i="189"/>
  <c r="N279" i="189"/>
  <c r="M279" i="189"/>
  <c r="M277" i="189" s="1"/>
  <c r="M276" i="189" s="1"/>
  <c r="L279" i="189"/>
  <c r="L277" i="189" s="1"/>
  <c r="L276" i="189" s="1"/>
  <c r="L268" i="189" s="1"/>
  <c r="K279" i="189"/>
  <c r="K277" i="189" s="1"/>
  <c r="K276" i="189" s="1"/>
  <c r="I279" i="189"/>
  <c r="H279" i="189"/>
  <c r="H277" i="189" s="1"/>
  <c r="G279" i="189"/>
  <c r="G277" i="189" s="1"/>
  <c r="F279" i="189"/>
  <c r="K278" i="189"/>
  <c r="R278" i="189" s="1"/>
  <c r="E278" i="189"/>
  <c r="N277" i="189"/>
  <c r="N276" i="189" s="1"/>
  <c r="I277" i="189"/>
  <c r="F277" i="189"/>
  <c r="K275" i="189"/>
  <c r="E275" i="189"/>
  <c r="N274" i="189"/>
  <c r="M274" i="189"/>
  <c r="M273" i="189" s="1"/>
  <c r="L274" i="189"/>
  <c r="I274" i="189"/>
  <c r="H274" i="189"/>
  <c r="H273" i="189" s="1"/>
  <c r="G274" i="189"/>
  <c r="G273" i="189" s="1"/>
  <c r="F274" i="189"/>
  <c r="E274" i="189"/>
  <c r="E273" i="189" s="1"/>
  <c r="N273" i="189"/>
  <c r="L273" i="189"/>
  <c r="I273" i="189"/>
  <c r="F273" i="189"/>
  <c r="O272" i="189"/>
  <c r="J272" i="189" s="1"/>
  <c r="E272" i="189"/>
  <c r="O271" i="189"/>
  <c r="J271" i="189"/>
  <c r="E271" i="189"/>
  <c r="O270" i="189"/>
  <c r="H270" i="189"/>
  <c r="G270" i="189"/>
  <c r="F270" i="189"/>
  <c r="E270" i="189" s="1"/>
  <c r="N269" i="189"/>
  <c r="M269" i="189"/>
  <c r="L269" i="189"/>
  <c r="K269" i="189"/>
  <c r="I269" i="189"/>
  <c r="H269" i="189"/>
  <c r="G269" i="189"/>
  <c r="F269" i="189"/>
  <c r="O266" i="189"/>
  <c r="J266" i="189" s="1"/>
  <c r="H266" i="189"/>
  <c r="G266" i="189"/>
  <c r="F266" i="189"/>
  <c r="E266" i="189" s="1"/>
  <c r="P266" i="189" s="1"/>
  <c r="R265" i="189"/>
  <c r="O265" i="189"/>
  <c r="J265" i="189" s="1"/>
  <c r="H265" i="189"/>
  <c r="H263" i="189" s="1"/>
  <c r="H262" i="189" s="1"/>
  <c r="G265" i="189"/>
  <c r="G263" i="189" s="1"/>
  <c r="G262" i="189" s="1"/>
  <c r="F265" i="189"/>
  <c r="E265" i="189" s="1"/>
  <c r="O264" i="189"/>
  <c r="J264" i="189" s="1"/>
  <c r="E264" i="189"/>
  <c r="O263" i="189"/>
  <c r="O262" i="189" s="1"/>
  <c r="N263" i="189"/>
  <c r="M263" i="189"/>
  <c r="L263" i="189"/>
  <c r="K263" i="189"/>
  <c r="I263" i="189"/>
  <c r="F263" i="189"/>
  <c r="F262" i="189" s="1"/>
  <c r="N262" i="189"/>
  <c r="M262" i="189"/>
  <c r="L262" i="189"/>
  <c r="K262" i="189"/>
  <c r="I262" i="189"/>
  <c r="O260" i="189"/>
  <c r="O259" i="189" s="1"/>
  <c r="L260" i="189"/>
  <c r="L259" i="189" s="1"/>
  <c r="L256" i="189" s="1"/>
  <c r="N259" i="189"/>
  <c r="N256" i="189" s="1"/>
  <c r="M259" i="189"/>
  <c r="K259" i="189"/>
  <c r="I259" i="189"/>
  <c r="H259" i="189"/>
  <c r="G259" i="189"/>
  <c r="F259" i="189"/>
  <c r="F256" i="189" s="1"/>
  <c r="E259" i="189"/>
  <c r="O258" i="189"/>
  <c r="J258" i="189" s="1"/>
  <c r="P258" i="189" s="1"/>
  <c r="K258" i="189"/>
  <c r="R258" i="189" s="1"/>
  <c r="E258" i="189"/>
  <c r="K257" i="189"/>
  <c r="E257" i="189"/>
  <c r="M256" i="189"/>
  <c r="I256" i="189"/>
  <c r="H256" i="189"/>
  <c r="G256" i="189"/>
  <c r="R255" i="189"/>
  <c r="K255" i="189"/>
  <c r="O255" i="189" s="1"/>
  <c r="F255" i="189"/>
  <c r="E255" i="189" s="1"/>
  <c r="E254" i="189" s="1"/>
  <c r="E253" i="189" s="1"/>
  <c r="N254" i="189"/>
  <c r="N253" i="189" s="1"/>
  <c r="M254" i="189"/>
  <c r="M253" i="189" s="1"/>
  <c r="L254" i="189"/>
  <c r="L253" i="189" s="1"/>
  <c r="K254" i="189"/>
  <c r="I254" i="189"/>
  <c r="I253" i="189" s="1"/>
  <c r="H254" i="189"/>
  <c r="H253" i="189" s="1"/>
  <c r="G254" i="189"/>
  <c r="G253" i="189" s="1"/>
  <c r="K253" i="189"/>
  <c r="K252" i="189"/>
  <c r="R252" i="189" s="1"/>
  <c r="E252" i="189"/>
  <c r="N251" i="189"/>
  <c r="M251" i="189"/>
  <c r="L251" i="189"/>
  <c r="K251" i="189"/>
  <c r="I251" i="189"/>
  <c r="H251" i="189"/>
  <c r="G251" i="189"/>
  <c r="G250" i="189" s="1"/>
  <c r="F251" i="189"/>
  <c r="E251" i="189"/>
  <c r="I250" i="189"/>
  <c r="H250" i="189"/>
  <c r="K249" i="189"/>
  <c r="O249" i="189" s="1"/>
  <c r="J249" i="189" s="1"/>
  <c r="H249" i="189"/>
  <c r="F249" i="189"/>
  <c r="E249" i="189" s="1"/>
  <c r="O248" i="189"/>
  <c r="J248" i="189" s="1"/>
  <c r="F248" i="189"/>
  <c r="E248" i="189"/>
  <c r="P248" i="189" s="1"/>
  <c r="O247" i="189"/>
  <c r="J247" i="189" s="1"/>
  <c r="F247" i="189"/>
  <c r="F245" i="189" s="1"/>
  <c r="O246" i="189"/>
  <c r="F246" i="189"/>
  <c r="E246" i="189" s="1"/>
  <c r="N245" i="189"/>
  <c r="N244" i="189" s="1"/>
  <c r="M245" i="189"/>
  <c r="M244" i="189" s="1"/>
  <c r="L245" i="189"/>
  <c r="L244" i="189" s="1"/>
  <c r="K245" i="189"/>
  <c r="I245" i="189"/>
  <c r="H245" i="189"/>
  <c r="G245" i="189"/>
  <c r="I244" i="189"/>
  <c r="H244" i="189"/>
  <c r="G244" i="189"/>
  <c r="O243" i="189"/>
  <c r="J243" i="189" s="1"/>
  <c r="P243" i="189" s="1"/>
  <c r="E243" i="189"/>
  <c r="O242" i="189"/>
  <c r="J242" i="189"/>
  <c r="E242" i="189"/>
  <c r="R241" i="189"/>
  <c r="O241" i="189"/>
  <c r="O240" i="189" s="1"/>
  <c r="J241" i="189"/>
  <c r="H241" i="189"/>
  <c r="H240" i="189" s="1"/>
  <c r="G241" i="189"/>
  <c r="F241" i="189"/>
  <c r="F240" i="189" s="1"/>
  <c r="E241" i="189"/>
  <c r="E240" i="189" s="1"/>
  <c r="N240" i="189"/>
  <c r="M240" i="189"/>
  <c r="L240" i="189"/>
  <c r="K240" i="189"/>
  <c r="I240" i="189"/>
  <c r="G240" i="189"/>
  <c r="O236" i="189"/>
  <c r="O235" i="189" s="1"/>
  <c r="L236" i="189"/>
  <c r="L235" i="189" s="1"/>
  <c r="L232" i="189" s="1"/>
  <c r="L231" i="189" s="1"/>
  <c r="E236" i="189"/>
  <c r="N235" i="189"/>
  <c r="M235" i="189"/>
  <c r="K235" i="189"/>
  <c r="I235" i="189"/>
  <c r="I232" i="189" s="1"/>
  <c r="I231" i="189" s="1"/>
  <c r="H235" i="189"/>
  <c r="H232" i="189" s="1"/>
  <c r="H231" i="189" s="1"/>
  <c r="G235" i="189"/>
  <c r="G232" i="189" s="1"/>
  <c r="G231" i="189" s="1"/>
  <c r="F235" i="189"/>
  <c r="E235" i="189"/>
  <c r="R234" i="189"/>
  <c r="K234" i="189"/>
  <c r="O234" i="189" s="1"/>
  <c r="J234" i="189" s="1"/>
  <c r="P234" i="189" s="1"/>
  <c r="E234" i="189"/>
  <c r="K233" i="189"/>
  <c r="R233" i="189" s="1"/>
  <c r="F233" i="189"/>
  <c r="F236" i="190" s="1"/>
  <c r="E233" i="189"/>
  <c r="N232" i="189"/>
  <c r="N231" i="189" s="1"/>
  <c r="M232" i="189"/>
  <c r="F232" i="189"/>
  <c r="F231" i="189" s="1"/>
  <c r="M231" i="189"/>
  <c r="O230" i="189"/>
  <c r="J230" i="189" s="1"/>
  <c r="E230" i="189"/>
  <c r="O229" i="189"/>
  <c r="J229" i="189" s="1"/>
  <c r="F229" i="189"/>
  <c r="E229" i="189" s="1"/>
  <c r="K228" i="189"/>
  <c r="R228" i="189" s="1"/>
  <c r="E228" i="189"/>
  <c r="K227" i="189"/>
  <c r="O227" i="189" s="1"/>
  <c r="J227" i="189" s="1"/>
  <c r="P227" i="189" s="1"/>
  <c r="E227" i="189"/>
  <c r="K226" i="189"/>
  <c r="O226" i="189" s="1"/>
  <c r="F226" i="189"/>
  <c r="F225" i="189" s="1"/>
  <c r="F224" i="189" s="1"/>
  <c r="E226" i="189"/>
  <c r="E225" i="189" s="1"/>
  <c r="E224" i="189" s="1"/>
  <c r="N225" i="189"/>
  <c r="M225" i="189"/>
  <c r="M224" i="189" s="1"/>
  <c r="L225" i="189"/>
  <c r="L224" i="189" s="1"/>
  <c r="I225" i="189"/>
  <c r="H225" i="189"/>
  <c r="H224" i="189" s="1"/>
  <c r="G225" i="189"/>
  <c r="G224" i="189" s="1"/>
  <c r="N224" i="189"/>
  <c r="I224" i="189"/>
  <c r="O223" i="189"/>
  <c r="J223" i="189" s="1"/>
  <c r="E223" i="189"/>
  <c r="K222" i="189"/>
  <c r="R222" i="189" s="1"/>
  <c r="H222" i="189"/>
  <c r="H221" i="189" s="1"/>
  <c r="G222" i="189"/>
  <c r="F222" i="189"/>
  <c r="N221" i="189"/>
  <c r="M221" i="189"/>
  <c r="L221" i="189"/>
  <c r="I221" i="189"/>
  <c r="G221" i="189"/>
  <c r="K218" i="189"/>
  <c r="O218" i="189" s="1"/>
  <c r="E218" i="189"/>
  <c r="N217" i="189"/>
  <c r="M217" i="189"/>
  <c r="L217" i="189"/>
  <c r="I217" i="189"/>
  <c r="H217" i="189"/>
  <c r="G217" i="189"/>
  <c r="F217" i="189"/>
  <c r="O216" i="189"/>
  <c r="O215" i="189" s="1"/>
  <c r="O214" i="189" s="1"/>
  <c r="J216" i="189"/>
  <c r="J215" i="189" s="1"/>
  <c r="J214" i="189" s="1"/>
  <c r="E216" i="189"/>
  <c r="E215" i="189" s="1"/>
  <c r="E214" i="189" s="1"/>
  <c r="N215" i="189"/>
  <c r="N214" i="189" s="1"/>
  <c r="M215" i="189"/>
  <c r="L215" i="189"/>
  <c r="K215" i="189"/>
  <c r="K214" i="189" s="1"/>
  <c r="I215" i="189"/>
  <c r="I214" i="189" s="1"/>
  <c r="I213" i="189" s="1"/>
  <c r="H215" i="189"/>
  <c r="H214" i="189" s="1"/>
  <c r="H213" i="189" s="1"/>
  <c r="G215" i="189"/>
  <c r="F215" i="189"/>
  <c r="F214" i="189" s="1"/>
  <c r="M214" i="189"/>
  <c r="L214" i="189"/>
  <c r="L213" i="189" s="1"/>
  <c r="G214" i="189"/>
  <c r="G213" i="189" s="1"/>
  <c r="N213" i="189"/>
  <c r="F213" i="189"/>
  <c r="O212" i="189"/>
  <c r="O211" i="189" s="1"/>
  <c r="O210" i="189" s="1"/>
  <c r="J212" i="189"/>
  <c r="J211" i="189" s="1"/>
  <c r="J210" i="189" s="1"/>
  <c r="F212" i="189"/>
  <c r="F211" i="189" s="1"/>
  <c r="F210" i="189" s="1"/>
  <c r="N211" i="189"/>
  <c r="M211" i="189"/>
  <c r="L211" i="189"/>
  <c r="L210" i="189" s="1"/>
  <c r="K211" i="189"/>
  <c r="K210" i="189" s="1"/>
  <c r="I211" i="189"/>
  <c r="I210" i="189" s="1"/>
  <c r="H211" i="189"/>
  <c r="G211" i="189"/>
  <c r="G210" i="189" s="1"/>
  <c r="N210" i="189"/>
  <c r="M210" i="189"/>
  <c r="H210" i="189"/>
  <c r="K209" i="189"/>
  <c r="R209" i="189" s="1"/>
  <c r="G209" i="189"/>
  <c r="G206" i="189" s="1"/>
  <c r="F209" i="189"/>
  <c r="O208" i="189"/>
  <c r="J208" i="189" s="1"/>
  <c r="F208" i="189"/>
  <c r="E208" i="189" s="1"/>
  <c r="P208" i="189" s="1"/>
  <c r="O207" i="189"/>
  <c r="F207" i="189"/>
  <c r="E207" i="189"/>
  <c r="N206" i="189"/>
  <c r="M206" i="189"/>
  <c r="L206" i="189"/>
  <c r="K206" i="189"/>
  <c r="I206" i="189"/>
  <c r="H206" i="189"/>
  <c r="K205" i="189"/>
  <c r="F205" i="189"/>
  <c r="E205" i="189" s="1"/>
  <c r="R204" i="189"/>
  <c r="O204" i="189"/>
  <c r="N204" i="189"/>
  <c r="N203" i="189" s="1"/>
  <c r="N197" i="189" s="1"/>
  <c r="M204" i="189"/>
  <c r="M203" i="189" s="1"/>
  <c r="L204" i="189"/>
  <c r="K204" i="189"/>
  <c r="H204" i="189"/>
  <c r="G204" i="189"/>
  <c r="G203" i="189" s="1"/>
  <c r="F204" i="189"/>
  <c r="L203" i="189"/>
  <c r="I203" i="189"/>
  <c r="H203" i="189"/>
  <c r="O202" i="189"/>
  <c r="O201" i="189" s="1"/>
  <c r="F202" i="189"/>
  <c r="E202" i="189"/>
  <c r="N201" i="189"/>
  <c r="M201" i="189"/>
  <c r="L201" i="189"/>
  <c r="K201" i="189"/>
  <c r="I201" i="189"/>
  <c r="H201" i="189"/>
  <c r="G201" i="189"/>
  <c r="F201" i="189"/>
  <c r="O200" i="189"/>
  <c r="J200" i="189" s="1"/>
  <c r="F200" i="189"/>
  <c r="E200" i="189" s="1"/>
  <c r="P200" i="189" s="1"/>
  <c r="O199" i="189"/>
  <c r="O198" i="189" s="1"/>
  <c r="J199" i="189"/>
  <c r="J198" i="189" s="1"/>
  <c r="F199" i="189"/>
  <c r="N198" i="189"/>
  <c r="M198" i="189"/>
  <c r="L198" i="189"/>
  <c r="K198" i="189"/>
  <c r="I198" i="189"/>
  <c r="H198" i="189"/>
  <c r="G198" i="189"/>
  <c r="G197" i="189" s="1"/>
  <c r="O196" i="189"/>
  <c r="J196" i="189" s="1"/>
  <c r="H196" i="189"/>
  <c r="G196" i="189"/>
  <c r="G194" i="189" s="1"/>
  <c r="F196" i="189"/>
  <c r="E196" i="189" s="1"/>
  <c r="P196" i="189" s="1"/>
  <c r="R195" i="189"/>
  <c r="O195" i="189"/>
  <c r="N195" i="189"/>
  <c r="N194" i="189" s="1"/>
  <c r="L195" i="189"/>
  <c r="L194" i="189" s="1"/>
  <c r="L191" i="189" s="1"/>
  <c r="K195" i="189"/>
  <c r="H195" i="189"/>
  <c r="F195" i="189"/>
  <c r="F194" i="189" s="1"/>
  <c r="M194" i="189"/>
  <c r="K194" i="189"/>
  <c r="I194" i="189"/>
  <c r="H194" i="189"/>
  <c r="O193" i="189"/>
  <c r="J193" i="189" s="1"/>
  <c r="H193" i="189"/>
  <c r="H192" i="189" s="1"/>
  <c r="G193" i="189"/>
  <c r="G192" i="189" s="1"/>
  <c r="F193" i="189"/>
  <c r="E193" i="189" s="1"/>
  <c r="E192" i="189" s="1"/>
  <c r="O192" i="189"/>
  <c r="N192" i="189"/>
  <c r="N191" i="189" s="1"/>
  <c r="M192" i="189"/>
  <c r="M191" i="189" s="1"/>
  <c r="L192" i="189"/>
  <c r="K192" i="189"/>
  <c r="K191" i="189" s="1"/>
  <c r="I192" i="189"/>
  <c r="F192" i="189"/>
  <c r="O188" i="189"/>
  <c r="O187" i="189" s="1"/>
  <c r="O186" i="189" s="1"/>
  <c r="E188" i="189"/>
  <c r="N187" i="189"/>
  <c r="M187" i="189"/>
  <c r="L187" i="189"/>
  <c r="L186" i="189" s="1"/>
  <c r="K187" i="189"/>
  <c r="K186" i="189" s="1"/>
  <c r="I187" i="189"/>
  <c r="I186" i="189" s="1"/>
  <c r="H187" i="189"/>
  <c r="G187" i="189"/>
  <c r="G186" i="189" s="1"/>
  <c r="F187" i="189"/>
  <c r="F186" i="189" s="1"/>
  <c r="N186" i="189"/>
  <c r="M186" i="189"/>
  <c r="H186" i="189"/>
  <c r="K185" i="189"/>
  <c r="E185" i="189"/>
  <c r="O184" i="189"/>
  <c r="F184" i="189"/>
  <c r="E184" i="189" s="1"/>
  <c r="N183" i="189"/>
  <c r="N182" i="189" s="1"/>
  <c r="N181" i="189" s="1"/>
  <c r="M183" i="189"/>
  <c r="M182" i="189" s="1"/>
  <c r="M181" i="189" s="1"/>
  <c r="L183" i="189"/>
  <c r="K183" i="189"/>
  <c r="I183" i="189"/>
  <c r="H183" i="189"/>
  <c r="H182" i="189" s="1"/>
  <c r="H181" i="189" s="1"/>
  <c r="G183" i="189"/>
  <c r="G182" i="189" s="1"/>
  <c r="G181" i="189" s="1"/>
  <c r="F183" i="189"/>
  <c r="F182" i="189" s="1"/>
  <c r="F181" i="189" s="1"/>
  <c r="L182" i="189"/>
  <c r="L181" i="189" s="1"/>
  <c r="I182" i="189"/>
  <c r="I181" i="189" s="1"/>
  <c r="O180" i="189"/>
  <c r="J180" i="189" s="1"/>
  <c r="P180" i="189" s="1"/>
  <c r="F180" i="189"/>
  <c r="E180" i="189" s="1"/>
  <c r="R179" i="189"/>
  <c r="O179" i="189"/>
  <c r="L179" i="189"/>
  <c r="H179" i="189"/>
  <c r="H178" i="189" s="1"/>
  <c r="H173" i="189" s="1"/>
  <c r="F179" i="189"/>
  <c r="E179" i="189"/>
  <c r="E178" i="189" s="1"/>
  <c r="N178" i="189"/>
  <c r="M178" i="189"/>
  <c r="K178" i="189"/>
  <c r="I178" i="189"/>
  <c r="I173" i="189" s="1"/>
  <c r="G178" i="189"/>
  <c r="R177" i="189"/>
  <c r="N177" i="189"/>
  <c r="L177" i="189"/>
  <c r="K177" i="189"/>
  <c r="O177" i="189" s="1"/>
  <c r="H177" i="189"/>
  <c r="G177" i="189"/>
  <c r="F177" i="189"/>
  <c r="E177" i="189" s="1"/>
  <c r="N176" i="189"/>
  <c r="L176" i="189"/>
  <c r="K176" i="189"/>
  <c r="H176" i="189"/>
  <c r="F176" i="189"/>
  <c r="E176" i="189" s="1"/>
  <c r="R175" i="189"/>
  <c r="N175" i="189"/>
  <c r="L175" i="189"/>
  <c r="J175" i="189" s="1"/>
  <c r="K175" i="189"/>
  <c r="O175" i="189" s="1"/>
  <c r="H175" i="189"/>
  <c r="F175" i="189"/>
  <c r="E175" i="189" s="1"/>
  <c r="O174" i="189"/>
  <c r="J174" i="189" s="1"/>
  <c r="F174" i="189"/>
  <c r="E174" i="189" s="1"/>
  <c r="P174" i="189" s="1"/>
  <c r="M173" i="189"/>
  <c r="G173" i="189"/>
  <c r="N172" i="189"/>
  <c r="N171" i="189" s="1"/>
  <c r="L172" i="189"/>
  <c r="K172" i="189"/>
  <c r="H172" i="189"/>
  <c r="H171" i="189" s="1"/>
  <c r="G172" i="189"/>
  <c r="F172" i="189"/>
  <c r="E172" i="189" s="1"/>
  <c r="M171" i="189"/>
  <c r="L171" i="189"/>
  <c r="I171" i="189"/>
  <c r="G171" i="189"/>
  <c r="G170" i="189" s="1"/>
  <c r="G169" i="189" s="1"/>
  <c r="F171" i="189"/>
  <c r="O167" i="189"/>
  <c r="J167" i="189"/>
  <c r="J166" i="189" s="1"/>
  <c r="J165" i="189" s="1"/>
  <c r="E167" i="189"/>
  <c r="E166" i="189" s="1"/>
  <c r="E165" i="189" s="1"/>
  <c r="O166" i="189"/>
  <c r="O165" i="189" s="1"/>
  <c r="N166" i="189"/>
  <c r="N165" i="189" s="1"/>
  <c r="M166" i="189"/>
  <c r="L166" i="189"/>
  <c r="K166" i="189"/>
  <c r="I166" i="189"/>
  <c r="I165" i="189" s="1"/>
  <c r="H166" i="189"/>
  <c r="H165" i="189" s="1"/>
  <c r="G166" i="189"/>
  <c r="F166" i="189"/>
  <c r="F165" i="189" s="1"/>
  <c r="F161" i="189" s="1"/>
  <c r="M165" i="189"/>
  <c r="L165" i="189"/>
  <c r="K165" i="189"/>
  <c r="G165" i="189"/>
  <c r="K164" i="189"/>
  <c r="N163" i="189"/>
  <c r="N162" i="189" s="1"/>
  <c r="M163" i="189"/>
  <c r="M162" i="189" s="1"/>
  <c r="L163" i="189"/>
  <c r="L162" i="189" s="1"/>
  <c r="L161" i="189" s="1"/>
  <c r="I163" i="189"/>
  <c r="H163" i="189"/>
  <c r="H162" i="189" s="1"/>
  <c r="H161" i="189" s="1"/>
  <c r="G163" i="189"/>
  <c r="F163" i="189"/>
  <c r="F162" i="189" s="1"/>
  <c r="I162" i="189"/>
  <c r="G162" i="189"/>
  <c r="G161" i="189" s="1"/>
  <c r="R160" i="189"/>
  <c r="O160" i="189"/>
  <c r="J160" i="189" s="1"/>
  <c r="E160" i="189"/>
  <c r="R159" i="189"/>
  <c r="O159" i="189"/>
  <c r="J159" i="189"/>
  <c r="P159" i="189" s="1"/>
  <c r="E159" i="189"/>
  <c r="N158" i="189"/>
  <c r="M158" i="189"/>
  <c r="M157" i="189" s="1"/>
  <c r="L158" i="189"/>
  <c r="L157" i="189" s="1"/>
  <c r="K158" i="189"/>
  <c r="I158" i="189"/>
  <c r="I157" i="189" s="1"/>
  <c r="H158" i="189"/>
  <c r="G158" i="189"/>
  <c r="G157" i="189" s="1"/>
  <c r="F158" i="189"/>
  <c r="F157" i="189" s="1"/>
  <c r="N157" i="189"/>
  <c r="K157" i="189"/>
  <c r="H157" i="189"/>
  <c r="K156" i="189"/>
  <c r="R156" i="189" s="1"/>
  <c r="F156" i="189"/>
  <c r="F156" i="190" s="1"/>
  <c r="E156" i="189"/>
  <c r="N155" i="189"/>
  <c r="L155" i="189"/>
  <c r="L154" i="189" s="1"/>
  <c r="K155" i="189"/>
  <c r="O155" i="189" s="1"/>
  <c r="H155" i="189"/>
  <c r="G155" i="189"/>
  <c r="G154" i="189" s="1"/>
  <c r="F155" i="189"/>
  <c r="E155" i="189"/>
  <c r="N154" i="189"/>
  <c r="M154" i="189"/>
  <c r="K154" i="189"/>
  <c r="I154" i="189"/>
  <c r="H154" i="189"/>
  <c r="R151" i="189"/>
  <c r="O151" i="189"/>
  <c r="J151" i="189"/>
  <c r="E151" i="189"/>
  <c r="R148" i="189"/>
  <c r="O148" i="189"/>
  <c r="J148" i="189" s="1"/>
  <c r="E148" i="189"/>
  <c r="R144" i="189"/>
  <c r="O144" i="189"/>
  <c r="J144" i="189" s="1"/>
  <c r="E144" i="189"/>
  <c r="R141" i="189"/>
  <c r="O141" i="189"/>
  <c r="E141" i="189"/>
  <c r="N140" i="189"/>
  <c r="M140" i="189"/>
  <c r="L140" i="189"/>
  <c r="K140" i="189"/>
  <c r="I140" i="189"/>
  <c r="H140" i="189"/>
  <c r="G140" i="189"/>
  <c r="F140" i="189"/>
  <c r="O139" i="189"/>
  <c r="J139" i="189" s="1"/>
  <c r="E139" i="189"/>
  <c r="O138" i="189"/>
  <c r="J138" i="189" s="1"/>
  <c r="J137" i="189" s="1"/>
  <c r="F138" i="189"/>
  <c r="N137" i="189"/>
  <c r="M137" i="189"/>
  <c r="L137" i="189"/>
  <c r="K137" i="189"/>
  <c r="I137" i="189"/>
  <c r="H137" i="189"/>
  <c r="G137" i="189"/>
  <c r="O136" i="189"/>
  <c r="J136" i="189" s="1"/>
  <c r="E136" i="189"/>
  <c r="O135" i="189"/>
  <c r="J135" i="189"/>
  <c r="E135" i="189"/>
  <c r="N134" i="189"/>
  <c r="M134" i="189"/>
  <c r="L134" i="189"/>
  <c r="K134" i="189"/>
  <c r="O134" i="189" s="1"/>
  <c r="I134" i="189"/>
  <c r="H134" i="189"/>
  <c r="G134" i="189"/>
  <c r="F134" i="189"/>
  <c r="E134" i="189" s="1"/>
  <c r="O133" i="189"/>
  <c r="J133" i="189"/>
  <c r="F133" i="189"/>
  <c r="E133" i="189" s="1"/>
  <c r="K132" i="189"/>
  <c r="R132" i="189" s="1"/>
  <c r="E132" i="189"/>
  <c r="N131" i="189"/>
  <c r="M131" i="189"/>
  <c r="L131" i="189"/>
  <c r="I131" i="189"/>
  <c r="H131" i="189"/>
  <c r="G131" i="189"/>
  <c r="F131" i="189"/>
  <c r="R130" i="189"/>
  <c r="O130" i="189"/>
  <c r="J130" i="189" s="1"/>
  <c r="H130" i="189"/>
  <c r="G130" i="189"/>
  <c r="F130" i="189"/>
  <c r="N129" i="189"/>
  <c r="N128" i="189" s="1"/>
  <c r="N118" i="189" s="1"/>
  <c r="L129" i="189"/>
  <c r="K129" i="189"/>
  <c r="R129" i="189" s="1"/>
  <c r="H129" i="189"/>
  <c r="F129" i="189"/>
  <c r="E129" i="189"/>
  <c r="M128" i="189"/>
  <c r="I128" i="189"/>
  <c r="G128" i="189"/>
  <c r="O127" i="189"/>
  <c r="J127" i="189" s="1"/>
  <c r="E127" i="189"/>
  <c r="O126" i="189"/>
  <c r="J126" i="189"/>
  <c r="E126" i="189"/>
  <c r="O125" i="189"/>
  <c r="J125" i="189" s="1"/>
  <c r="E125" i="189"/>
  <c r="P125" i="189" s="1"/>
  <c r="O124" i="189"/>
  <c r="J124" i="189"/>
  <c r="F124" i="189"/>
  <c r="E124" i="189" s="1"/>
  <c r="P124" i="189" s="1"/>
  <c r="O123" i="189"/>
  <c r="J123" i="189"/>
  <c r="E123" i="189"/>
  <c r="O122" i="189"/>
  <c r="J122" i="189" s="1"/>
  <c r="P122" i="189" s="1"/>
  <c r="F122" i="189"/>
  <c r="E122" i="189"/>
  <c r="O121" i="189"/>
  <c r="J121" i="189" s="1"/>
  <c r="F121" i="189"/>
  <c r="E121" i="189"/>
  <c r="K120" i="189"/>
  <c r="R120" i="189" s="1"/>
  <c r="F120" i="189"/>
  <c r="F120" i="190" s="1"/>
  <c r="E120" i="189"/>
  <c r="N119" i="189"/>
  <c r="M119" i="189"/>
  <c r="L119" i="189"/>
  <c r="I119" i="189"/>
  <c r="H119" i="189"/>
  <c r="G119" i="189"/>
  <c r="J117" i="189"/>
  <c r="P117" i="189" s="1"/>
  <c r="E117" i="189"/>
  <c r="O116" i="189"/>
  <c r="J116" i="189"/>
  <c r="E116" i="189"/>
  <c r="R115" i="189"/>
  <c r="K115" i="189"/>
  <c r="O115" i="189" s="1"/>
  <c r="H115" i="189"/>
  <c r="G115" i="189"/>
  <c r="G114" i="189" s="1"/>
  <c r="F115" i="189"/>
  <c r="E115" i="189"/>
  <c r="N114" i="189"/>
  <c r="M114" i="189"/>
  <c r="L114" i="189"/>
  <c r="K114" i="189"/>
  <c r="I114" i="189"/>
  <c r="H114" i="189"/>
  <c r="F114" i="189"/>
  <c r="O111" i="189"/>
  <c r="J111" i="189" s="1"/>
  <c r="E111" i="189"/>
  <c r="K110" i="189"/>
  <c r="E110" i="189"/>
  <c r="N109" i="189"/>
  <c r="M109" i="189"/>
  <c r="L109" i="189"/>
  <c r="I109" i="189"/>
  <c r="H109" i="189"/>
  <c r="G109" i="189"/>
  <c r="F109" i="189"/>
  <c r="R108" i="189"/>
  <c r="O108" i="189"/>
  <c r="O107" i="189" s="1"/>
  <c r="O106" i="189" s="1"/>
  <c r="J108" i="189"/>
  <c r="J107" i="189" s="1"/>
  <c r="J106" i="189" s="1"/>
  <c r="E108" i="189"/>
  <c r="P108" i="189" s="1"/>
  <c r="P107" i="189" s="1"/>
  <c r="P106" i="189" s="1"/>
  <c r="N107" i="189"/>
  <c r="N106" i="189" s="1"/>
  <c r="N105" i="189" s="1"/>
  <c r="M107" i="189"/>
  <c r="M106" i="189" s="1"/>
  <c r="M105" i="189" s="1"/>
  <c r="L107" i="189"/>
  <c r="K107" i="189"/>
  <c r="K106" i="189" s="1"/>
  <c r="I107" i="189"/>
  <c r="I106" i="189" s="1"/>
  <c r="H107" i="189"/>
  <c r="H106" i="189" s="1"/>
  <c r="H105" i="189" s="1"/>
  <c r="G107" i="189"/>
  <c r="G106" i="189" s="1"/>
  <c r="G105" i="189" s="1"/>
  <c r="F107" i="189"/>
  <c r="F106" i="189" s="1"/>
  <c r="F105" i="189" s="1"/>
  <c r="L106" i="189"/>
  <c r="L105" i="189"/>
  <c r="O104" i="189"/>
  <c r="J104" i="189" s="1"/>
  <c r="F104" i="189"/>
  <c r="E104" i="189" s="1"/>
  <c r="R103" i="189"/>
  <c r="O103" i="189"/>
  <c r="O102" i="189" s="1"/>
  <c r="H103" i="189"/>
  <c r="G103" i="189"/>
  <c r="G102" i="189" s="1"/>
  <c r="F103" i="189"/>
  <c r="E103" i="189" s="1"/>
  <c r="N102" i="189"/>
  <c r="M102" i="189"/>
  <c r="L102" i="189"/>
  <c r="K102" i="189"/>
  <c r="I102" i="189"/>
  <c r="F102" i="189"/>
  <c r="O101" i="189"/>
  <c r="F101" i="189"/>
  <c r="E101" i="189"/>
  <c r="E100" i="189" s="1"/>
  <c r="N100" i="189"/>
  <c r="M100" i="189"/>
  <c r="L100" i="189"/>
  <c r="L92" i="189" s="1"/>
  <c r="K100" i="189"/>
  <c r="I100" i="189"/>
  <c r="I92" i="189" s="1"/>
  <c r="H100" i="189"/>
  <c r="G100" i="189"/>
  <c r="F100" i="189"/>
  <c r="O99" i="189"/>
  <c r="J99" i="189" s="1"/>
  <c r="J98" i="189" s="1"/>
  <c r="F99" i="189"/>
  <c r="E99" i="189" s="1"/>
  <c r="P99" i="189" s="1"/>
  <c r="P98" i="189" s="1"/>
  <c r="N98" i="189"/>
  <c r="N92" i="189" s="1"/>
  <c r="M98" i="189"/>
  <c r="L98" i="189"/>
  <c r="K98" i="189"/>
  <c r="I98" i="189"/>
  <c r="H98" i="189"/>
  <c r="G98" i="189"/>
  <c r="E98" i="189"/>
  <c r="O97" i="189"/>
  <c r="J97" i="189" s="1"/>
  <c r="F97" i="189"/>
  <c r="E97" i="189" s="1"/>
  <c r="O96" i="189"/>
  <c r="J96" i="189"/>
  <c r="F96" i="189"/>
  <c r="E96" i="189" s="1"/>
  <c r="P96" i="189" s="1"/>
  <c r="O95" i="189"/>
  <c r="J95" i="189" s="1"/>
  <c r="F95" i="189"/>
  <c r="E95" i="189"/>
  <c r="J94" i="189"/>
  <c r="F94" i="189"/>
  <c r="E94" i="189"/>
  <c r="P94" i="189" s="1"/>
  <c r="O93" i="189"/>
  <c r="J93" i="189" s="1"/>
  <c r="F93" i="189"/>
  <c r="E93" i="189" s="1"/>
  <c r="P93" i="189" s="1"/>
  <c r="R91" i="189"/>
  <c r="O91" i="189"/>
  <c r="O90" i="189" s="1"/>
  <c r="J91" i="189"/>
  <c r="J90" i="189" s="1"/>
  <c r="H91" i="189"/>
  <c r="H90" i="189" s="1"/>
  <c r="G91" i="189"/>
  <c r="G90" i="189" s="1"/>
  <c r="F91" i="189"/>
  <c r="E91" i="189" s="1"/>
  <c r="N90" i="189"/>
  <c r="M90" i="189"/>
  <c r="L90" i="189"/>
  <c r="K90" i="189"/>
  <c r="I90" i="189"/>
  <c r="F90" i="189"/>
  <c r="E90" i="189"/>
  <c r="R87" i="189"/>
  <c r="K87" i="189"/>
  <c r="O87" i="189" s="1"/>
  <c r="E87" i="189"/>
  <c r="N86" i="189"/>
  <c r="N85" i="189" s="1"/>
  <c r="M86" i="189"/>
  <c r="M85" i="189" s="1"/>
  <c r="L86" i="189"/>
  <c r="L85" i="189" s="1"/>
  <c r="K86" i="189"/>
  <c r="K85" i="189" s="1"/>
  <c r="I86" i="189"/>
  <c r="I85" i="189" s="1"/>
  <c r="H86" i="189"/>
  <c r="H85" i="189" s="1"/>
  <c r="G86" i="189"/>
  <c r="G85" i="189" s="1"/>
  <c r="F86" i="189"/>
  <c r="F85" i="189" s="1"/>
  <c r="O84" i="189"/>
  <c r="O83" i="189" s="1"/>
  <c r="O79" i="189" s="1"/>
  <c r="J84" i="189"/>
  <c r="J83" i="189" s="1"/>
  <c r="F84" i="189"/>
  <c r="E84" i="189" s="1"/>
  <c r="P84" i="189" s="1"/>
  <c r="P83" i="189" s="1"/>
  <c r="N83" i="189"/>
  <c r="M83" i="189"/>
  <c r="L83" i="189"/>
  <c r="K83" i="189"/>
  <c r="I83" i="189"/>
  <c r="H83" i="189"/>
  <c r="G83" i="189"/>
  <c r="R82" i="189"/>
  <c r="O82" i="189"/>
  <c r="J82" i="189"/>
  <c r="E82" i="189"/>
  <c r="E81" i="189" s="1"/>
  <c r="E80" i="189" s="1"/>
  <c r="O81" i="189"/>
  <c r="O80" i="189" s="1"/>
  <c r="N81" i="189"/>
  <c r="M81" i="189"/>
  <c r="M80" i="189" s="1"/>
  <c r="M79" i="189" s="1"/>
  <c r="L81" i="189"/>
  <c r="L80" i="189" s="1"/>
  <c r="L79" i="189" s="1"/>
  <c r="K81" i="189"/>
  <c r="J81" i="189"/>
  <c r="J80" i="189" s="1"/>
  <c r="I81" i="189"/>
  <c r="H81" i="189"/>
  <c r="H80" i="189" s="1"/>
  <c r="G81" i="189"/>
  <c r="G80" i="189" s="1"/>
  <c r="G79" i="189" s="1"/>
  <c r="F81" i="189"/>
  <c r="N80" i="189"/>
  <c r="N79" i="189" s="1"/>
  <c r="K80" i="189"/>
  <c r="I80" i="189"/>
  <c r="F80" i="189"/>
  <c r="H79" i="189"/>
  <c r="R78" i="189"/>
  <c r="O78" i="189"/>
  <c r="J78" i="189" s="1"/>
  <c r="K78" i="189"/>
  <c r="F78" i="189"/>
  <c r="K77" i="189"/>
  <c r="R77" i="189" s="1"/>
  <c r="E77" i="189"/>
  <c r="N76" i="189"/>
  <c r="M76" i="189"/>
  <c r="L76" i="189"/>
  <c r="I76" i="189"/>
  <c r="H76" i="189"/>
  <c r="G76" i="189"/>
  <c r="O75" i="189"/>
  <c r="O74" i="189" s="1"/>
  <c r="F75" i="189"/>
  <c r="F74" i="189" s="1"/>
  <c r="E75" i="189"/>
  <c r="N74" i="189"/>
  <c r="M74" i="189"/>
  <c r="L74" i="189"/>
  <c r="K74" i="189"/>
  <c r="I74" i="189"/>
  <c r="H74" i="189"/>
  <c r="G74" i="189"/>
  <c r="K73" i="189"/>
  <c r="R73" i="189" s="1"/>
  <c r="G73" i="189"/>
  <c r="F73" i="189"/>
  <c r="E73" i="189" s="1"/>
  <c r="R72" i="189"/>
  <c r="O72" i="189"/>
  <c r="J72" i="189" s="1"/>
  <c r="G72" i="189"/>
  <c r="F72" i="189"/>
  <c r="E72" i="189" s="1"/>
  <c r="K70" i="189"/>
  <c r="E70" i="189"/>
  <c r="K69" i="189"/>
  <c r="R69" i="189" s="1"/>
  <c r="E69" i="189"/>
  <c r="N68" i="189"/>
  <c r="M68" i="189"/>
  <c r="L68" i="189"/>
  <c r="I68" i="189"/>
  <c r="H68" i="189"/>
  <c r="G68" i="189"/>
  <c r="F68" i="189"/>
  <c r="R67" i="189"/>
  <c r="O67" i="189"/>
  <c r="J67" i="189"/>
  <c r="E67" i="189"/>
  <c r="K66" i="189"/>
  <c r="R66" i="189" s="1"/>
  <c r="F66" i="189"/>
  <c r="E66" i="189"/>
  <c r="N65" i="189"/>
  <c r="M65" i="189"/>
  <c r="L65" i="189"/>
  <c r="K65" i="189"/>
  <c r="I65" i="189"/>
  <c r="H65" i="189"/>
  <c r="G65" i="189"/>
  <c r="F65" i="189"/>
  <c r="E65" i="189" s="1"/>
  <c r="R64" i="189"/>
  <c r="O64" i="189"/>
  <c r="J64" i="189"/>
  <c r="H64" i="189"/>
  <c r="G64" i="189"/>
  <c r="F64" i="189"/>
  <c r="E64" i="189" s="1"/>
  <c r="O63" i="189"/>
  <c r="O61" i="189" s="1"/>
  <c r="G63" i="189"/>
  <c r="F63" i="189"/>
  <c r="E63" i="189" s="1"/>
  <c r="R62" i="189"/>
  <c r="O62" i="189"/>
  <c r="J62" i="189"/>
  <c r="H62" i="189"/>
  <c r="G62" i="189"/>
  <c r="F62" i="189"/>
  <c r="N61" i="189"/>
  <c r="M61" i="189"/>
  <c r="L61" i="189"/>
  <c r="K61" i="189"/>
  <c r="I61" i="189"/>
  <c r="H61" i="189"/>
  <c r="O60" i="189"/>
  <c r="F60" i="189"/>
  <c r="E60" i="189"/>
  <c r="O59" i="189"/>
  <c r="J59" i="189" s="1"/>
  <c r="N59" i="189"/>
  <c r="L59" i="189"/>
  <c r="H59" i="189"/>
  <c r="H58" i="189" s="1"/>
  <c r="G59" i="189"/>
  <c r="F59" i="189"/>
  <c r="E59" i="189" s="1"/>
  <c r="M58" i="189"/>
  <c r="L58" i="189"/>
  <c r="K58" i="189"/>
  <c r="I58" i="189"/>
  <c r="G58" i="189"/>
  <c r="J57" i="189"/>
  <c r="E57" i="189"/>
  <c r="P57" i="189" s="1"/>
  <c r="O56" i="189"/>
  <c r="O55" i="189" s="1"/>
  <c r="N56" i="189"/>
  <c r="M56" i="189"/>
  <c r="M55" i="189" s="1"/>
  <c r="L56" i="189"/>
  <c r="K56" i="189"/>
  <c r="H56" i="189"/>
  <c r="G56" i="189"/>
  <c r="G55" i="189" s="1"/>
  <c r="F56" i="189"/>
  <c r="N55" i="189"/>
  <c r="I55" i="189"/>
  <c r="H55" i="189"/>
  <c r="N54" i="189"/>
  <c r="L54" i="189"/>
  <c r="K54" i="189"/>
  <c r="H54" i="189"/>
  <c r="G54" i="189"/>
  <c r="F54" i="189"/>
  <c r="E54" i="189"/>
  <c r="K53" i="189"/>
  <c r="R53" i="189" s="1"/>
  <c r="E53" i="189"/>
  <c r="N51" i="189"/>
  <c r="M51" i="189"/>
  <c r="L51" i="189"/>
  <c r="I51" i="189"/>
  <c r="H51" i="189"/>
  <c r="G51" i="189"/>
  <c r="F51" i="189"/>
  <c r="E51" i="189"/>
  <c r="P50" i="189"/>
  <c r="P49" i="189" s="1"/>
  <c r="O50" i="189"/>
  <c r="O49" i="189" s="1"/>
  <c r="J50" i="189"/>
  <c r="J49" i="189" s="1"/>
  <c r="E50" i="189"/>
  <c r="E49" i="189" s="1"/>
  <c r="N49" i="189"/>
  <c r="M49" i="189"/>
  <c r="L49" i="189"/>
  <c r="K49" i="189"/>
  <c r="I49" i="189"/>
  <c r="H49" i="189"/>
  <c r="G49" i="189"/>
  <c r="F49" i="189"/>
  <c r="O48" i="189"/>
  <c r="J48" i="189" s="1"/>
  <c r="P48" i="189" s="1"/>
  <c r="H48" i="189"/>
  <c r="G48" i="189"/>
  <c r="F48" i="189"/>
  <c r="E48" i="189" s="1"/>
  <c r="R47" i="189"/>
  <c r="N47" i="189"/>
  <c r="N45" i="189" s="1"/>
  <c r="L47" i="189"/>
  <c r="K47" i="189"/>
  <c r="O47" i="189" s="1"/>
  <c r="H47" i="189"/>
  <c r="G47" i="189"/>
  <c r="G45" i="189" s="1"/>
  <c r="F47" i="189"/>
  <c r="E47" i="189" s="1"/>
  <c r="N46" i="189"/>
  <c r="N46" i="190" s="1"/>
  <c r="M46" i="189"/>
  <c r="M45" i="189" s="1"/>
  <c r="L46" i="189"/>
  <c r="K46" i="189"/>
  <c r="H46" i="189"/>
  <c r="H45" i="189" s="1"/>
  <c r="G46" i="189"/>
  <c r="F46" i="189"/>
  <c r="E46" i="189" s="1"/>
  <c r="E45" i="189" s="1"/>
  <c r="I45" i="189"/>
  <c r="F45" i="189"/>
  <c r="N44" i="189"/>
  <c r="N44" i="190" s="1"/>
  <c r="M44" i="189"/>
  <c r="L44" i="189"/>
  <c r="K44" i="189"/>
  <c r="H44" i="189"/>
  <c r="G44" i="189"/>
  <c r="F44" i="189"/>
  <c r="E44" i="189" s="1"/>
  <c r="I43" i="189"/>
  <c r="K40" i="189"/>
  <c r="O40" i="189" s="1"/>
  <c r="J40" i="189" s="1"/>
  <c r="F40" i="189"/>
  <c r="E40" i="189"/>
  <c r="O39" i="189"/>
  <c r="J39" i="189" s="1"/>
  <c r="E39" i="189"/>
  <c r="O38" i="189"/>
  <c r="J38" i="189" s="1"/>
  <c r="E38" i="189"/>
  <c r="E37" i="189" s="1"/>
  <c r="E36" i="189" s="1"/>
  <c r="N37" i="189"/>
  <c r="N36" i="189" s="1"/>
  <c r="M37" i="189"/>
  <c r="L37" i="189"/>
  <c r="L36" i="189" s="1"/>
  <c r="K37" i="189"/>
  <c r="I37" i="189"/>
  <c r="I36" i="189" s="1"/>
  <c r="H37" i="189"/>
  <c r="H36" i="189" s="1"/>
  <c r="G37" i="189"/>
  <c r="G36" i="189" s="1"/>
  <c r="F37" i="189"/>
  <c r="F36" i="189" s="1"/>
  <c r="M36" i="189"/>
  <c r="O35" i="189"/>
  <c r="J35" i="189" s="1"/>
  <c r="J34" i="189" s="1"/>
  <c r="J33" i="189" s="1"/>
  <c r="E35" i="189"/>
  <c r="N34" i="189"/>
  <c r="M34" i="189"/>
  <c r="M33" i="189" s="1"/>
  <c r="L34" i="189"/>
  <c r="K34" i="189"/>
  <c r="I34" i="189"/>
  <c r="I33" i="189" s="1"/>
  <c r="H34" i="189"/>
  <c r="H33" i="189" s="1"/>
  <c r="G34" i="189"/>
  <c r="G33" i="189" s="1"/>
  <c r="F34" i="189"/>
  <c r="F33" i="189" s="1"/>
  <c r="E34" i="189"/>
  <c r="E33" i="189" s="1"/>
  <c r="N33" i="189"/>
  <c r="L33" i="189"/>
  <c r="K33" i="189"/>
  <c r="J32" i="189"/>
  <c r="E32" i="189"/>
  <c r="P32" i="189" s="1"/>
  <c r="O30" i="189"/>
  <c r="O29" i="189" s="1"/>
  <c r="L30" i="189"/>
  <c r="L29" i="189" s="1"/>
  <c r="L27" i="189" s="1"/>
  <c r="J30" i="189"/>
  <c r="E30" i="189"/>
  <c r="N29" i="189"/>
  <c r="M29" i="189"/>
  <c r="M27" i="189" s="1"/>
  <c r="K29" i="189"/>
  <c r="K27" i="189" s="1"/>
  <c r="K23" i="189" s="1"/>
  <c r="J29" i="189"/>
  <c r="J27" i="189" s="1"/>
  <c r="I29" i="189"/>
  <c r="I27" i="189" s="1"/>
  <c r="H29" i="189"/>
  <c r="G29" i="189"/>
  <c r="G27" i="189" s="1"/>
  <c r="F29" i="189"/>
  <c r="O28" i="189"/>
  <c r="J28" i="189"/>
  <c r="E28" i="189"/>
  <c r="N27" i="189"/>
  <c r="H27" i="189"/>
  <c r="F27" i="189"/>
  <c r="J26" i="189"/>
  <c r="E26" i="189"/>
  <c r="E24" i="189" s="1"/>
  <c r="R25" i="189"/>
  <c r="O25" i="189"/>
  <c r="O24" i="189" s="1"/>
  <c r="J25" i="189"/>
  <c r="P25" i="189" s="1"/>
  <c r="E25" i="189"/>
  <c r="N24" i="189"/>
  <c r="M24" i="189"/>
  <c r="L24" i="189"/>
  <c r="K24" i="189"/>
  <c r="I24" i="189"/>
  <c r="H24" i="189"/>
  <c r="G24" i="189"/>
  <c r="F24" i="189"/>
  <c r="F23" i="189" s="1"/>
  <c r="H23" i="189"/>
  <c r="O22" i="189"/>
  <c r="J22" i="189" s="1"/>
  <c r="F22" i="189"/>
  <c r="E22" i="189" s="1"/>
  <c r="O21" i="189"/>
  <c r="J21" i="189"/>
  <c r="E21" i="189"/>
  <c r="O20" i="189"/>
  <c r="J20" i="189"/>
  <c r="P20" i="189" s="1"/>
  <c r="G20" i="189"/>
  <c r="F20" i="189"/>
  <c r="E20" i="189"/>
  <c r="K19" i="189"/>
  <c r="K18" i="189" s="1"/>
  <c r="H19" i="189"/>
  <c r="H18" i="189" s="1"/>
  <c r="G19" i="189"/>
  <c r="G19" i="190" s="1"/>
  <c r="F19" i="189"/>
  <c r="F19" i="190" s="1"/>
  <c r="N18" i="189"/>
  <c r="M18" i="189"/>
  <c r="L18" i="189"/>
  <c r="I18" i="189"/>
  <c r="O86" i="189" l="1"/>
  <c r="O85" i="189" s="1"/>
  <c r="J87" i="189"/>
  <c r="J86" i="189" s="1"/>
  <c r="J85" i="189" s="1"/>
  <c r="P97" i="189"/>
  <c r="H102" i="189"/>
  <c r="H92" i="189" s="1"/>
  <c r="H89" i="189" s="1"/>
  <c r="H88" i="189" s="1"/>
  <c r="H103" i="190"/>
  <c r="I118" i="189"/>
  <c r="E173" i="189"/>
  <c r="K51" i="189"/>
  <c r="O66" i="189"/>
  <c r="O73" i="189"/>
  <c r="J73" i="189" s="1"/>
  <c r="F83" i="189"/>
  <c r="N173" i="189"/>
  <c r="G239" i="189"/>
  <c r="G238" i="189" s="1"/>
  <c r="R275" i="189"/>
  <c r="K278" i="190"/>
  <c r="K274" i="189"/>
  <c r="K273" i="189" s="1"/>
  <c r="K268" i="189" s="1"/>
  <c r="L312" i="189"/>
  <c r="L311" i="189" s="1"/>
  <c r="F321" i="189"/>
  <c r="F320" i="189" s="1"/>
  <c r="O322" i="189"/>
  <c r="O321" i="189" s="1"/>
  <c r="O320" i="189" s="1"/>
  <c r="K321" i="189"/>
  <c r="K320" i="189" s="1"/>
  <c r="R322" i="189"/>
  <c r="M23" i="189"/>
  <c r="F98" i="189"/>
  <c r="F92" i="189" s="1"/>
  <c r="K128" i="189"/>
  <c r="M17" i="189"/>
  <c r="M16" i="189" s="1"/>
  <c r="E19" i="189"/>
  <c r="G18" i="189"/>
  <c r="I23" i="189"/>
  <c r="O27" i="189"/>
  <c r="P40" i="189"/>
  <c r="J47" i="189"/>
  <c r="P47" i="189" s="1"/>
  <c r="N58" i="189"/>
  <c r="N43" i="189" s="1"/>
  <c r="N42" i="189" s="1"/>
  <c r="N41" i="189" s="1"/>
  <c r="N59" i="190"/>
  <c r="P91" i="189"/>
  <c r="P90" i="189" s="1"/>
  <c r="M92" i="189"/>
  <c r="G92" i="189"/>
  <c r="E107" i="189"/>
  <c r="E106" i="189" s="1"/>
  <c r="G118" i="189"/>
  <c r="H191" i="189"/>
  <c r="H239" i="189"/>
  <c r="H238" i="189" s="1"/>
  <c r="P331" i="189"/>
  <c r="P330" i="189" s="1"/>
  <c r="H339" i="189"/>
  <c r="H336" i="189" s="1"/>
  <c r="H335" i="189" s="1"/>
  <c r="F89" i="189"/>
  <c r="F88" i="189" s="1"/>
  <c r="R110" i="189"/>
  <c r="K110" i="190"/>
  <c r="R227" i="189"/>
  <c r="H17" i="189"/>
  <c r="P28" i="189"/>
  <c r="O34" i="189"/>
  <c r="O33" i="189" s="1"/>
  <c r="P59" i="189"/>
  <c r="I79" i="189"/>
  <c r="L89" i="189"/>
  <c r="K92" i="189"/>
  <c r="K89" i="189" s="1"/>
  <c r="K109" i="189"/>
  <c r="P116" i="189"/>
  <c r="K119" i="189"/>
  <c r="O120" i="189"/>
  <c r="J120" i="189" s="1"/>
  <c r="P120" i="189" s="1"/>
  <c r="P119" i="189" s="1"/>
  <c r="P123" i="189"/>
  <c r="P136" i="189"/>
  <c r="E154" i="189"/>
  <c r="O172" i="189"/>
  <c r="O171" i="189" s="1"/>
  <c r="R172" i="189"/>
  <c r="K171" i="189"/>
  <c r="E340" i="189"/>
  <c r="E339" i="189" s="1"/>
  <c r="P341" i="189"/>
  <c r="P340" i="189" s="1"/>
  <c r="N23" i="189"/>
  <c r="N17" i="189" s="1"/>
  <c r="N16" i="189" s="1"/>
  <c r="P38" i="189"/>
  <c r="M43" i="189"/>
  <c r="M42" i="189" s="1"/>
  <c r="M41" i="189" s="1"/>
  <c r="P21" i="189"/>
  <c r="H43" i="189"/>
  <c r="H42" i="189" s="1"/>
  <c r="H41" i="189" s="1"/>
  <c r="O58" i="189"/>
  <c r="K79" i="189"/>
  <c r="J79" i="189"/>
  <c r="P82" i="189"/>
  <c r="P81" i="189" s="1"/>
  <c r="P80" i="189" s="1"/>
  <c r="P79" i="189" s="1"/>
  <c r="P104" i="189"/>
  <c r="P111" i="189"/>
  <c r="E114" i="189"/>
  <c r="P121" i="189"/>
  <c r="P126" i="189"/>
  <c r="O129" i="189"/>
  <c r="O128" i="189" s="1"/>
  <c r="O137" i="189"/>
  <c r="F154" i="189"/>
  <c r="J255" i="189"/>
  <c r="J254" i="189" s="1"/>
  <c r="J253" i="189" s="1"/>
  <c r="O254" i="189"/>
  <c r="O253" i="189" s="1"/>
  <c r="R257" i="189"/>
  <c r="O257" i="189"/>
  <c r="J257" i="189" s="1"/>
  <c r="M268" i="189"/>
  <c r="M267" i="189" s="1"/>
  <c r="K318" i="189"/>
  <c r="K315" i="189" s="1"/>
  <c r="K312" i="189" s="1"/>
  <c r="K311" i="189" s="1"/>
  <c r="K310" i="189" s="1"/>
  <c r="R319" i="189"/>
  <c r="O319" i="189"/>
  <c r="O318" i="189" s="1"/>
  <c r="O315" i="189" s="1"/>
  <c r="F55" i="189"/>
  <c r="F56" i="190"/>
  <c r="J24" i="189"/>
  <c r="J23" i="189" s="1"/>
  <c r="R19" i="189"/>
  <c r="G23" i="189"/>
  <c r="P30" i="189"/>
  <c r="O53" i="189"/>
  <c r="R56" i="189"/>
  <c r="K56" i="190"/>
  <c r="E58" i="189"/>
  <c r="K76" i="189"/>
  <c r="F119" i="189"/>
  <c r="F118" i="189" s="1"/>
  <c r="F113" i="189" s="1"/>
  <c r="F112" i="189" s="1"/>
  <c r="F121" i="190"/>
  <c r="E130" i="189"/>
  <c r="P130" i="189" s="1"/>
  <c r="F128" i="189"/>
  <c r="E138" i="189"/>
  <c r="F137" i="189"/>
  <c r="N161" i="189"/>
  <c r="N113" i="189" s="1"/>
  <c r="N112" i="189" s="1"/>
  <c r="N170" i="189"/>
  <c r="N169" i="189" s="1"/>
  <c r="M220" i="189"/>
  <c r="M219" i="189" s="1"/>
  <c r="L250" i="189"/>
  <c r="L239" i="189" s="1"/>
  <c r="L238" i="189" s="1"/>
  <c r="J287" i="189"/>
  <c r="J286" i="189" s="1"/>
  <c r="J285" i="189" s="1"/>
  <c r="O286" i="189"/>
  <c r="O285" i="189" s="1"/>
  <c r="O296" i="189"/>
  <c r="K295" i="189"/>
  <c r="K294" i="189" s="1"/>
  <c r="E300" i="189"/>
  <c r="E308" i="189"/>
  <c r="P308" i="189" s="1"/>
  <c r="P307" i="189" s="1"/>
  <c r="F307" i="189"/>
  <c r="F304" i="189" s="1"/>
  <c r="F303" i="189" s="1"/>
  <c r="G345" i="189"/>
  <c r="G344" i="189" s="1"/>
  <c r="O110" i="189"/>
  <c r="P95" i="189"/>
  <c r="K105" i="189"/>
  <c r="G113" i="189"/>
  <c r="G112" i="189" s="1"/>
  <c r="E128" i="189"/>
  <c r="I191" i="189"/>
  <c r="F298" i="189"/>
  <c r="F297" i="189" s="1"/>
  <c r="F324" i="189"/>
  <c r="F323" i="189" s="1"/>
  <c r="M324" i="189"/>
  <c r="M323" i="189" s="1"/>
  <c r="P133" i="189"/>
  <c r="M118" i="189"/>
  <c r="E140" i="189"/>
  <c r="O209" i="189"/>
  <c r="J209" i="189" s="1"/>
  <c r="K217" i="189"/>
  <c r="P230" i="189"/>
  <c r="F244" i="189"/>
  <c r="O252" i="189"/>
  <c r="F268" i="189"/>
  <c r="F267" i="189" s="1"/>
  <c r="P272" i="189"/>
  <c r="H276" i="189"/>
  <c r="H268" i="189" s="1"/>
  <c r="H267" i="189" s="1"/>
  <c r="M298" i="189"/>
  <c r="M297" i="189" s="1"/>
  <c r="N304" i="189"/>
  <c r="N303" i="189" s="1"/>
  <c r="N298" i="189" s="1"/>
  <c r="N297" i="189" s="1"/>
  <c r="M312" i="189"/>
  <c r="M311" i="189" s="1"/>
  <c r="M310" i="189" s="1"/>
  <c r="J334" i="189"/>
  <c r="K131" i="189"/>
  <c r="O140" i="189"/>
  <c r="P151" i="189"/>
  <c r="R155" i="189"/>
  <c r="M161" i="189"/>
  <c r="M170" i="189"/>
  <c r="M169" i="189" s="1"/>
  <c r="K173" i="189"/>
  <c r="J177" i="189"/>
  <c r="H197" i="189"/>
  <c r="J204" i="189"/>
  <c r="L220" i="189"/>
  <c r="L219" i="189" s="1"/>
  <c r="I239" i="189"/>
  <c r="I238" i="189" s="1"/>
  <c r="K291" i="189"/>
  <c r="K290" i="189" s="1"/>
  <c r="K289" i="189" s="1"/>
  <c r="N312" i="189"/>
  <c r="N311" i="189" s="1"/>
  <c r="N310" i="189" s="1"/>
  <c r="P332" i="189"/>
  <c r="O339" i="189"/>
  <c r="O336" i="189" s="1"/>
  <c r="O335" i="189" s="1"/>
  <c r="N345" i="189"/>
  <c r="N344" i="189" s="1"/>
  <c r="P144" i="189"/>
  <c r="R176" i="189"/>
  <c r="F178" i="189"/>
  <c r="F173" i="189" s="1"/>
  <c r="F170" i="189" s="1"/>
  <c r="F169" i="189" s="1"/>
  <c r="N220" i="189"/>
  <c r="N219" i="189" s="1"/>
  <c r="M239" i="189"/>
  <c r="M238" i="189" s="1"/>
  <c r="M250" i="189"/>
  <c r="P316" i="189"/>
  <c r="P177" i="189"/>
  <c r="F191" i="189"/>
  <c r="F203" i="189"/>
  <c r="F206" i="189"/>
  <c r="K213" i="189"/>
  <c r="N250" i="189"/>
  <c r="N239" i="189" s="1"/>
  <c r="N238" i="189" s="1"/>
  <c r="E256" i="189"/>
  <c r="P271" i="189"/>
  <c r="O278" i="189"/>
  <c r="J278" i="189" s="1"/>
  <c r="P282" i="189"/>
  <c r="I298" i="189"/>
  <c r="I297" i="189" s="1"/>
  <c r="H298" i="189"/>
  <c r="H297" i="189" s="1"/>
  <c r="P309" i="189"/>
  <c r="J331" i="189"/>
  <c r="Q331" i="189" s="1"/>
  <c r="G336" i="189"/>
  <c r="G335" i="189" s="1"/>
  <c r="K339" i="189"/>
  <c r="K336" i="189" s="1"/>
  <c r="P348" i="189"/>
  <c r="J134" i="189"/>
  <c r="P134" i="189" s="1"/>
  <c r="P148" i="189"/>
  <c r="P160" i="189"/>
  <c r="P158" i="189" s="1"/>
  <c r="P157" i="189" s="1"/>
  <c r="I161" i="189"/>
  <c r="P175" i="189"/>
  <c r="G191" i="189"/>
  <c r="G190" i="189" s="1"/>
  <c r="G189" i="189" s="1"/>
  <c r="L197" i="189"/>
  <c r="L190" i="189" s="1"/>
  <c r="L189" i="189" s="1"/>
  <c r="R218" i="189"/>
  <c r="P242" i="189"/>
  <c r="F254" i="189"/>
  <c r="F253" i="189" s="1"/>
  <c r="F250" i="189" s="1"/>
  <c r="F239" i="189" s="1"/>
  <c r="F238" i="189" s="1"/>
  <c r="G290" i="189"/>
  <c r="G289" i="189" s="1"/>
  <c r="G324" i="189"/>
  <c r="G323" i="189" s="1"/>
  <c r="H324" i="189"/>
  <c r="H323" i="189" s="1"/>
  <c r="J333" i="189"/>
  <c r="Q333" i="189" s="1"/>
  <c r="I345" i="189"/>
  <c r="I344" i="189" s="1"/>
  <c r="I170" i="189"/>
  <c r="I169" i="189" s="1"/>
  <c r="M213" i="189"/>
  <c r="H220" i="189"/>
  <c r="H219" i="189" s="1"/>
  <c r="G220" i="189"/>
  <c r="G219" i="189" s="1"/>
  <c r="K225" i="189"/>
  <c r="K224" i="189" s="1"/>
  <c r="N268" i="189"/>
  <c r="N267" i="189" s="1"/>
  <c r="I276" i="189"/>
  <c r="I268" i="189" s="1"/>
  <c r="I267" i="189" s="1"/>
  <c r="J369" i="189"/>
  <c r="P111" i="190"/>
  <c r="P269" i="190"/>
  <c r="P24" i="189"/>
  <c r="L23" i="189"/>
  <c r="L88" i="189"/>
  <c r="H16" i="189"/>
  <c r="I17" i="189"/>
  <c r="O23" i="189"/>
  <c r="P22" i="189"/>
  <c r="E18" i="189"/>
  <c r="L17" i="189"/>
  <c r="I42" i="189"/>
  <c r="I41" i="189" s="1"/>
  <c r="P73" i="189"/>
  <c r="F18" i="189"/>
  <c r="F17" i="189" s="1"/>
  <c r="O19" i="189"/>
  <c r="K36" i="189"/>
  <c r="K17" i="189" s="1"/>
  <c r="P39" i="189"/>
  <c r="P37" i="189" s="1"/>
  <c r="P36" i="189" s="1"/>
  <c r="R40" i="189"/>
  <c r="J53" i="189"/>
  <c r="O51" i="189"/>
  <c r="E78" i="189"/>
  <c r="P78" i="189" s="1"/>
  <c r="F76" i="189"/>
  <c r="E76" i="189" s="1"/>
  <c r="I113" i="189"/>
  <c r="I112" i="189" s="1"/>
  <c r="O119" i="189"/>
  <c r="L128" i="189"/>
  <c r="L118" i="189" s="1"/>
  <c r="L113" i="189" s="1"/>
  <c r="E187" i="189"/>
  <c r="E186" i="189" s="1"/>
  <c r="J37" i="189"/>
  <c r="J36" i="189" s="1"/>
  <c r="G89" i="189"/>
  <c r="G88" i="189" s="1"/>
  <c r="H128" i="189"/>
  <c r="H118" i="189" s="1"/>
  <c r="H113" i="189" s="1"/>
  <c r="H112" i="189" s="1"/>
  <c r="E171" i="189"/>
  <c r="P26" i="189"/>
  <c r="P35" i="189"/>
  <c r="P34" i="189" s="1"/>
  <c r="P33" i="189" s="1"/>
  <c r="J60" i="189"/>
  <c r="J58" i="189" s="1"/>
  <c r="P67" i="189"/>
  <c r="R70" i="189"/>
  <c r="K68" i="189"/>
  <c r="O70" i="189"/>
  <c r="J70" i="189" s="1"/>
  <c r="P70" i="189" s="1"/>
  <c r="F79" i="189"/>
  <c r="P135" i="189"/>
  <c r="R164" i="189"/>
  <c r="K163" i="189"/>
  <c r="K162" i="189" s="1"/>
  <c r="K161" i="189" s="1"/>
  <c r="O164" i="189"/>
  <c r="E164" i="189"/>
  <c r="O114" i="189"/>
  <c r="J115" i="189"/>
  <c r="R185" i="189"/>
  <c r="O185" i="189"/>
  <c r="J185" i="189" s="1"/>
  <c r="K182" i="189"/>
  <c r="K181" i="189" s="1"/>
  <c r="O194" i="189"/>
  <c r="O191" i="189" s="1"/>
  <c r="J195" i="189"/>
  <c r="J194" i="189" s="1"/>
  <c r="E86" i="189"/>
  <c r="E85" i="189" s="1"/>
  <c r="J56" i="189"/>
  <c r="J55" i="189" s="1"/>
  <c r="L55" i="189"/>
  <c r="G61" i="189"/>
  <c r="G43" i="189" s="1"/>
  <c r="G42" i="189" s="1"/>
  <c r="P64" i="189"/>
  <c r="E74" i="189"/>
  <c r="M89" i="189"/>
  <c r="M88" i="189" s="1"/>
  <c r="I105" i="189"/>
  <c r="I89" i="189" s="1"/>
  <c r="I88" i="189" s="1"/>
  <c r="P127" i="189"/>
  <c r="R44" i="189"/>
  <c r="O44" i="189"/>
  <c r="R54" i="189"/>
  <c r="O54" i="189"/>
  <c r="J54" i="189" s="1"/>
  <c r="P54" i="189" s="1"/>
  <c r="J101" i="189"/>
  <c r="O100" i="189"/>
  <c r="E29" i="189"/>
  <c r="E62" i="189"/>
  <c r="F61" i="189"/>
  <c r="P72" i="189"/>
  <c r="O37" i="189"/>
  <c r="O36" i="189" s="1"/>
  <c r="R46" i="189"/>
  <c r="K45" i="189"/>
  <c r="O46" i="189"/>
  <c r="O45" i="189" s="1"/>
  <c r="N89" i="189"/>
  <c r="N88" i="189" s="1"/>
  <c r="L45" i="189"/>
  <c r="E68" i="189"/>
  <c r="E102" i="189"/>
  <c r="E92" i="189" s="1"/>
  <c r="E109" i="189"/>
  <c r="E105" i="189" s="1"/>
  <c r="P139" i="189"/>
  <c r="H170" i="189"/>
  <c r="H169" i="189" s="1"/>
  <c r="I197" i="189"/>
  <c r="I190" i="189" s="1"/>
  <c r="I189" i="189" s="1"/>
  <c r="P229" i="189"/>
  <c r="J240" i="189"/>
  <c r="P241" i="189"/>
  <c r="P240" i="189" s="1"/>
  <c r="J306" i="189"/>
  <c r="O305" i="189"/>
  <c r="O304" i="189" s="1"/>
  <c r="O303" i="189" s="1"/>
  <c r="R345" i="189"/>
  <c r="K344" i="189"/>
  <c r="E56" i="189"/>
  <c r="F58" i="189"/>
  <c r="F43" i="189" s="1"/>
  <c r="J63" i="189"/>
  <c r="J61" i="189" s="1"/>
  <c r="J75" i="189"/>
  <c r="J74" i="189" s="1"/>
  <c r="O98" i="189"/>
  <c r="J103" i="189"/>
  <c r="J102" i="189" s="1"/>
  <c r="J141" i="189"/>
  <c r="J140" i="189" s="1"/>
  <c r="E158" i="189"/>
  <c r="E157" i="189" s="1"/>
  <c r="M197" i="189"/>
  <c r="I220" i="189"/>
  <c r="I219" i="189" s="1"/>
  <c r="J226" i="189"/>
  <c r="K170" i="189"/>
  <c r="J179" i="189"/>
  <c r="J178" i="189" s="1"/>
  <c r="L178" i="189"/>
  <c r="L173" i="189" s="1"/>
  <c r="L170" i="189" s="1"/>
  <c r="J192" i="189"/>
  <c r="J191" i="189" s="1"/>
  <c r="P193" i="189"/>
  <c r="P192" i="189" s="1"/>
  <c r="E232" i="189"/>
  <c r="E231" i="189" s="1"/>
  <c r="E299" i="189"/>
  <c r="K55" i="189"/>
  <c r="O69" i="189"/>
  <c r="O77" i="189"/>
  <c r="O132" i="189"/>
  <c r="P141" i="189"/>
  <c r="J172" i="189"/>
  <c r="J171" i="189" s="1"/>
  <c r="E201" i="189"/>
  <c r="J218" i="189"/>
  <c r="J217" i="189" s="1"/>
  <c r="J213" i="189" s="1"/>
  <c r="O217" i="189"/>
  <c r="O213" i="189" s="1"/>
  <c r="P223" i="189"/>
  <c r="E119" i="189"/>
  <c r="E131" i="189"/>
  <c r="E183" i="189"/>
  <c r="E182" i="189" s="1"/>
  <c r="E181" i="189" s="1"/>
  <c r="H190" i="189"/>
  <c r="H189" i="189" s="1"/>
  <c r="P355" i="189"/>
  <c r="P354" i="189" s="1"/>
  <c r="P353" i="189" s="1"/>
  <c r="J354" i="189"/>
  <c r="J353" i="189" s="1"/>
  <c r="J155" i="189"/>
  <c r="O156" i="189"/>
  <c r="J156" i="189" s="1"/>
  <c r="P156" i="189" s="1"/>
  <c r="J184" i="189"/>
  <c r="J183" i="189" s="1"/>
  <c r="O183" i="189"/>
  <c r="N190" i="189"/>
  <c r="N189" i="189" s="1"/>
  <c r="R205" i="189"/>
  <c r="K203" i="189"/>
  <c r="K197" i="189" s="1"/>
  <c r="K190" i="189" s="1"/>
  <c r="O205" i="189"/>
  <c r="J246" i="189"/>
  <c r="O245" i="189"/>
  <c r="O244" i="189" s="1"/>
  <c r="L310" i="189"/>
  <c r="E83" i="189"/>
  <c r="E79" i="189" s="1"/>
  <c r="J158" i="189"/>
  <c r="J157" i="189" s="1"/>
  <c r="P167" i="189"/>
  <c r="P166" i="189" s="1"/>
  <c r="P165" i="189" s="1"/>
  <c r="P185" i="189"/>
  <c r="F198" i="189"/>
  <c r="E222" i="189"/>
  <c r="E221" i="189" s="1"/>
  <c r="F221" i="189"/>
  <c r="F220" i="189" s="1"/>
  <c r="F219" i="189" s="1"/>
  <c r="L267" i="189"/>
  <c r="L323" i="189"/>
  <c r="P347" i="189"/>
  <c r="P346" i="189" s="1"/>
  <c r="E346" i="189"/>
  <c r="J188" i="189"/>
  <c r="J187" i="189" s="1"/>
  <c r="J186" i="189" s="1"/>
  <c r="E195" i="189"/>
  <c r="E204" i="189"/>
  <c r="K221" i="189"/>
  <c r="K244" i="189"/>
  <c r="E247" i="189"/>
  <c r="P249" i="189"/>
  <c r="E250" i="189"/>
  <c r="P257" i="189"/>
  <c r="E269" i="189"/>
  <c r="E319" i="189"/>
  <c r="F318" i="189"/>
  <c r="F315" i="189" s="1"/>
  <c r="F312" i="189" s="1"/>
  <c r="O176" i="189"/>
  <c r="J176" i="189" s="1"/>
  <c r="P176" i="189" s="1"/>
  <c r="O178" i="189"/>
  <c r="O173" i="189" s="1"/>
  <c r="E199" i="189"/>
  <c r="J202" i="189"/>
  <c r="J201" i="189" s="1"/>
  <c r="J207" i="189"/>
  <c r="E209" i="189"/>
  <c r="E212" i="189"/>
  <c r="R226" i="189"/>
  <c r="K232" i="189"/>
  <c r="K231" i="189" s="1"/>
  <c r="J236" i="189"/>
  <c r="J260" i="189"/>
  <c r="G276" i="189"/>
  <c r="G268" i="189" s="1"/>
  <c r="G267" i="189" s="1"/>
  <c r="P287" i="189"/>
  <c r="P286" i="189" s="1"/>
  <c r="P285" i="189" s="1"/>
  <c r="E321" i="189"/>
  <c r="E320" i="189" s="1"/>
  <c r="P333" i="189"/>
  <c r="H345" i="189"/>
  <c r="H344" i="189" s="1"/>
  <c r="P247" i="189"/>
  <c r="O256" i="189"/>
  <c r="O312" i="189"/>
  <c r="I324" i="189"/>
  <c r="I323" i="189" s="1"/>
  <c r="K325" i="189"/>
  <c r="K324" i="189" s="1"/>
  <c r="R326" i="189"/>
  <c r="O326" i="189"/>
  <c r="J346" i="189"/>
  <c r="O228" i="189"/>
  <c r="J228" i="189" s="1"/>
  <c r="P228" i="189" s="1"/>
  <c r="O233" i="189"/>
  <c r="J252" i="189"/>
  <c r="O251" i="189"/>
  <c r="P264" i="189"/>
  <c r="J263" i="189"/>
  <c r="J262" i="189" s="1"/>
  <c r="J270" i="189"/>
  <c r="J269" i="189" s="1"/>
  <c r="O269" i="189"/>
  <c r="E279" i="189"/>
  <c r="E277" i="189" s="1"/>
  <c r="E276" i="189" s="1"/>
  <c r="P281" i="189"/>
  <c r="P293" i="189"/>
  <c r="J296" i="189"/>
  <c r="O295" i="189"/>
  <c r="O294" i="189" s="1"/>
  <c r="O299" i="189"/>
  <c r="O298" i="189" s="1"/>
  <c r="O297" i="189" s="1"/>
  <c r="J300" i="189"/>
  <c r="J299" i="189" s="1"/>
  <c r="R336" i="189"/>
  <c r="K335" i="189"/>
  <c r="O158" i="189"/>
  <c r="O157" i="189" s="1"/>
  <c r="O222" i="189"/>
  <c r="R249" i="189"/>
  <c r="K256" i="189"/>
  <c r="K250" i="189" s="1"/>
  <c r="E263" i="189"/>
  <c r="E262" i="189" s="1"/>
  <c r="P265" i="189"/>
  <c r="R268" i="189"/>
  <c r="K267" i="189"/>
  <c r="M290" i="189"/>
  <c r="M289" i="189" s="1"/>
  <c r="L297" i="189"/>
  <c r="K304" i="189"/>
  <c r="K303" i="189" s="1"/>
  <c r="K298" i="189" s="1"/>
  <c r="H312" i="189"/>
  <c r="H311" i="189" s="1"/>
  <c r="H310" i="189" s="1"/>
  <c r="P329" i="189"/>
  <c r="P328" i="189" s="1"/>
  <c r="Q334" i="189"/>
  <c r="P334" i="189"/>
  <c r="L345" i="189"/>
  <c r="P216" i="189"/>
  <c r="P215" i="189" s="1"/>
  <c r="P214" i="189" s="1"/>
  <c r="E245" i="189"/>
  <c r="E244" i="189" s="1"/>
  <c r="P278" i="189"/>
  <c r="N290" i="189"/>
  <c r="N289" i="189" s="1"/>
  <c r="G311" i="189"/>
  <c r="G310" i="189" s="1"/>
  <c r="P317" i="189"/>
  <c r="N324" i="189"/>
  <c r="N323" i="189" s="1"/>
  <c r="L336" i="189"/>
  <c r="M345" i="189"/>
  <c r="M344" i="189" s="1"/>
  <c r="E217" i="189"/>
  <c r="E213" i="189" s="1"/>
  <c r="P255" i="189"/>
  <c r="P254" i="189" s="1"/>
  <c r="P253" i="189" s="1"/>
  <c r="E292" i="189"/>
  <c r="F291" i="189"/>
  <c r="F290" i="189" s="1"/>
  <c r="F289" i="189" s="1"/>
  <c r="E324" i="189"/>
  <c r="J350" i="189"/>
  <c r="J349" i="189" s="1"/>
  <c r="O349" i="189"/>
  <c r="J319" i="189"/>
  <c r="J318" i="189" s="1"/>
  <c r="J315" i="189" s="1"/>
  <c r="E338" i="189"/>
  <c r="O354" i="189"/>
  <c r="O353" i="189" s="1"/>
  <c r="O284" i="189"/>
  <c r="J284" i="189" s="1"/>
  <c r="P284" i="189" s="1"/>
  <c r="J314" i="189"/>
  <c r="J343" i="189"/>
  <c r="O346" i="189"/>
  <c r="F351" i="189"/>
  <c r="F349" i="189" s="1"/>
  <c r="F345" i="189" s="1"/>
  <c r="F344" i="189" s="1"/>
  <c r="O283" i="189"/>
  <c r="J283" i="189" s="1"/>
  <c r="P283" i="189" s="1"/>
  <c r="O275" i="189"/>
  <c r="O280" i="189"/>
  <c r="O292" i="189"/>
  <c r="J330" i="189"/>
  <c r="J329" i="189" s="1"/>
  <c r="J328" i="189" s="1"/>
  <c r="E358" i="189"/>
  <c r="E352" i="189"/>
  <c r="R89" i="189" l="1"/>
  <c r="K88" i="189"/>
  <c r="O311" i="189"/>
  <c r="O310" i="189" s="1"/>
  <c r="J206" i="189"/>
  <c r="O206" i="189"/>
  <c r="F197" i="189"/>
  <c r="F190" i="189" s="1"/>
  <c r="F189" i="189" s="1"/>
  <c r="J129" i="189"/>
  <c r="G17" i="189"/>
  <c r="G16" i="189" s="1"/>
  <c r="F42" i="189"/>
  <c r="F41" i="189" s="1"/>
  <c r="P87" i="189"/>
  <c r="P86" i="189" s="1"/>
  <c r="P85" i="189" s="1"/>
  <c r="J119" i="189"/>
  <c r="M113" i="189"/>
  <c r="M112" i="189" s="1"/>
  <c r="K118" i="189"/>
  <c r="K113" i="189" s="1"/>
  <c r="R311" i="189"/>
  <c r="F311" i="189"/>
  <c r="F310" i="189" s="1"/>
  <c r="O182" i="189"/>
  <c r="O181" i="189" s="1"/>
  <c r="O170" i="189" s="1"/>
  <c r="P184" i="189"/>
  <c r="P183" i="189" s="1"/>
  <c r="M190" i="189"/>
  <c r="P138" i="189"/>
  <c r="P137" i="189" s="1"/>
  <c r="E137" i="189"/>
  <c r="K43" i="189"/>
  <c r="K42" i="189" s="1"/>
  <c r="R42" i="189" s="1"/>
  <c r="E239" i="189"/>
  <c r="E307" i="189"/>
  <c r="E304" i="189" s="1"/>
  <c r="E303" i="189" s="1"/>
  <c r="E298" i="189" s="1"/>
  <c r="E297" i="189" s="1"/>
  <c r="K220" i="189"/>
  <c r="J182" i="189"/>
  <c r="J181" i="189" s="1"/>
  <c r="P140" i="189"/>
  <c r="L43" i="189"/>
  <c r="L42" i="189" s="1"/>
  <c r="J66" i="189"/>
  <c r="P66" i="189" s="1"/>
  <c r="O65" i="189"/>
  <c r="J65" i="189" s="1"/>
  <c r="P65" i="189" s="1"/>
  <c r="P350" i="189"/>
  <c r="J322" i="189"/>
  <c r="J321" i="189" s="1"/>
  <c r="J320" i="189" s="1"/>
  <c r="P209" i="189"/>
  <c r="P270" i="189"/>
  <c r="P269" i="189" s="1"/>
  <c r="J46" i="189"/>
  <c r="J45" i="189" s="1"/>
  <c r="P45" i="189" s="1"/>
  <c r="P58" i="189"/>
  <c r="O109" i="189"/>
  <c r="O105" i="189" s="1"/>
  <c r="J110" i="189"/>
  <c r="L169" i="189"/>
  <c r="L41" i="189"/>
  <c r="G41" i="189"/>
  <c r="G356" i="189"/>
  <c r="G368" i="189" s="1"/>
  <c r="M189" i="189"/>
  <c r="M356" i="189"/>
  <c r="M368" i="189" s="1"/>
  <c r="E238" i="189"/>
  <c r="R190" i="189"/>
  <c r="K189" i="189"/>
  <c r="R17" i="189"/>
  <c r="K16" i="189"/>
  <c r="E89" i="189"/>
  <c r="H356" i="189"/>
  <c r="E203" i="189"/>
  <c r="P204" i="189"/>
  <c r="P202" i="189"/>
  <c r="P201" i="189" s="1"/>
  <c r="J100" i="189"/>
  <c r="J92" i="189" s="1"/>
  <c r="P101" i="189"/>
  <c r="P100" i="189" s="1"/>
  <c r="P179" i="189"/>
  <c r="P178" i="189" s="1"/>
  <c r="P173" i="189" s="1"/>
  <c r="R113" i="189"/>
  <c r="K112" i="189"/>
  <c r="E323" i="189"/>
  <c r="J336" i="189"/>
  <c r="J335" i="189" s="1"/>
  <c r="L335" i="189"/>
  <c r="E268" i="189"/>
  <c r="E194" i="189"/>
  <c r="E191" i="189" s="1"/>
  <c r="P195" i="189"/>
  <c r="P194" i="189" s="1"/>
  <c r="E118" i="189"/>
  <c r="P300" i="189"/>
  <c r="P299" i="189" s="1"/>
  <c r="E55" i="189"/>
  <c r="P56" i="189"/>
  <c r="P319" i="189"/>
  <c r="P318" i="189" s="1"/>
  <c r="P315" i="189" s="1"/>
  <c r="E318" i="189"/>
  <c r="E315" i="189" s="1"/>
  <c r="E312" i="189" s="1"/>
  <c r="E311" i="189" s="1"/>
  <c r="P352" i="189"/>
  <c r="P351" i="189" s="1"/>
  <c r="P349" i="189" s="1"/>
  <c r="E351" i="189"/>
  <c r="E349" i="189" s="1"/>
  <c r="E345" i="189" s="1"/>
  <c r="R298" i="189"/>
  <c r="K297" i="189"/>
  <c r="J259" i="189"/>
  <c r="J256" i="189" s="1"/>
  <c r="P260" i="189"/>
  <c r="P259" i="189" s="1"/>
  <c r="P256" i="189" s="1"/>
  <c r="P199" i="189"/>
  <c r="P198" i="189" s="1"/>
  <c r="E198" i="189"/>
  <c r="E220" i="189"/>
  <c r="J311" i="189"/>
  <c r="J310" i="189" s="1"/>
  <c r="E206" i="189"/>
  <c r="P46" i="189"/>
  <c r="J173" i="189"/>
  <c r="P103" i="189"/>
  <c r="P102" i="189" s="1"/>
  <c r="P60" i="189"/>
  <c r="L356" i="189"/>
  <c r="L368" i="189" s="1"/>
  <c r="L16" i="189"/>
  <c r="Q358" i="189"/>
  <c r="E291" i="189"/>
  <c r="E290" i="189" s="1"/>
  <c r="P236" i="189"/>
  <c r="P235" i="189" s="1"/>
  <c r="J235" i="189"/>
  <c r="P207" i="189"/>
  <c r="P206" i="189" s="1"/>
  <c r="K169" i="189"/>
  <c r="R170" i="189"/>
  <c r="P75" i="189"/>
  <c r="P74" i="189" s="1"/>
  <c r="E163" i="189"/>
  <c r="E162" i="189" s="1"/>
  <c r="E161" i="189" s="1"/>
  <c r="E170" i="189"/>
  <c r="P188" i="189"/>
  <c r="P187" i="189" s="1"/>
  <c r="P186" i="189" s="1"/>
  <c r="J19" i="189"/>
  <c r="O18" i="189"/>
  <c r="O17" i="189" s="1"/>
  <c r="P314" i="189"/>
  <c r="P313" i="189" s="1"/>
  <c r="J313" i="189"/>
  <c r="J312" i="189" s="1"/>
  <c r="K219" i="189"/>
  <c r="R220" i="189"/>
  <c r="P338" i="189"/>
  <c r="P337" i="189" s="1"/>
  <c r="E337" i="189"/>
  <c r="E336" i="189" s="1"/>
  <c r="L344" i="189"/>
  <c r="J298" i="189"/>
  <c r="J297" i="189" s="1"/>
  <c r="O221" i="189"/>
  <c r="J222" i="189"/>
  <c r="P263" i="189"/>
  <c r="P262" i="189" s="1"/>
  <c r="J326" i="189"/>
  <c r="O325" i="189"/>
  <c r="O324" i="189" s="1"/>
  <c r="P322" i="189"/>
  <c r="P321" i="189" s="1"/>
  <c r="P320" i="189" s="1"/>
  <c r="O131" i="189"/>
  <c r="J132" i="189"/>
  <c r="P62" i="189"/>
  <c r="E61" i="189"/>
  <c r="P61" i="189" s="1"/>
  <c r="J164" i="189"/>
  <c r="J163" i="189" s="1"/>
  <c r="J162" i="189" s="1"/>
  <c r="J161" i="189" s="1"/>
  <c r="O163" i="189"/>
  <c r="O162" i="189" s="1"/>
  <c r="O161" i="189" s="1"/>
  <c r="P172" i="189"/>
  <c r="P171" i="189" s="1"/>
  <c r="P63" i="189"/>
  <c r="F16" i="189"/>
  <c r="N356" i="189"/>
  <c r="N368" i="189" s="1"/>
  <c r="J275" i="189"/>
  <c r="O274" i="189"/>
  <c r="O273" i="189" s="1"/>
  <c r="O268" i="189" s="1"/>
  <c r="O232" i="189"/>
  <c r="O231" i="189" s="1"/>
  <c r="J233" i="189"/>
  <c r="O345" i="189"/>
  <c r="O344" i="189" s="1"/>
  <c r="O291" i="189"/>
  <c r="O290" i="189" s="1"/>
  <c r="J292" i="189"/>
  <c r="J291" i="189" s="1"/>
  <c r="P343" i="189"/>
  <c r="P342" i="189" s="1"/>
  <c r="P339" i="189" s="1"/>
  <c r="J342" i="189"/>
  <c r="J339" i="189" s="1"/>
  <c r="J295" i="189"/>
  <c r="J294" i="189" s="1"/>
  <c r="P296" i="189"/>
  <c r="P295" i="189" s="1"/>
  <c r="P294" i="189" s="1"/>
  <c r="O250" i="189"/>
  <c r="O239" i="189" s="1"/>
  <c r="J245" i="189"/>
  <c r="J244" i="189" s="1"/>
  <c r="P246" i="189"/>
  <c r="P245" i="189" s="1"/>
  <c r="P244" i="189" s="1"/>
  <c r="O76" i="189"/>
  <c r="J76" i="189" s="1"/>
  <c r="P76" i="189" s="1"/>
  <c r="J77" i="189"/>
  <c r="P77" i="189" s="1"/>
  <c r="P218" i="189"/>
  <c r="P217" i="189" s="1"/>
  <c r="P213" i="189" s="1"/>
  <c r="O225" i="189"/>
  <c r="O224" i="189" s="1"/>
  <c r="O92" i="189"/>
  <c r="J305" i="189"/>
  <c r="J304" i="189" s="1"/>
  <c r="J303" i="189" s="1"/>
  <c r="P306" i="189"/>
  <c r="P305" i="189" s="1"/>
  <c r="J114" i="189"/>
  <c r="P115" i="189"/>
  <c r="P114" i="189" s="1"/>
  <c r="L112" i="189"/>
  <c r="J44" i="189"/>
  <c r="I356" i="189"/>
  <c r="I368" i="189" s="1"/>
  <c r="I16" i="189"/>
  <c r="J280" i="189"/>
  <c r="O279" i="189"/>
  <c r="O277" i="189" s="1"/>
  <c r="O276" i="189" s="1"/>
  <c r="J251" i="189"/>
  <c r="J250" i="189" s="1"/>
  <c r="P252" i="189"/>
  <c r="P251" i="189" s="1"/>
  <c r="P250" i="189" s="1"/>
  <c r="R324" i="189"/>
  <c r="K323" i="189"/>
  <c r="P304" i="189"/>
  <c r="P303" i="189" s="1"/>
  <c r="P212" i="189"/>
  <c r="P211" i="189" s="1"/>
  <c r="P210" i="189" s="1"/>
  <c r="E211" i="189"/>
  <c r="E210" i="189" s="1"/>
  <c r="K239" i="189"/>
  <c r="J205" i="189"/>
  <c r="O203" i="189"/>
  <c r="O197" i="189" s="1"/>
  <c r="O190" i="189" s="1"/>
  <c r="J154" i="189"/>
  <c r="P155" i="189"/>
  <c r="P154" i="189" s="1"/>
  <c r="P182" i="189"/>
  <c r="P181" i="189" s="1"/>
  <c r="O68" i="189"/>
  <c r="J68" i="189" s="1"/>
  <c r="P68" i="189" s="1"/>
  <c r="J69" i="189"/>
  <c r="P69" i="189" s="1"/>
  <c r="P191" i="189"/>
  <c r="J225" i="189"/>
  <c r="J224" i="189" s="1"/>
  <c r="P226" i="189"/>
  <c r="P225" i="189" s="1"/>
  <c r="P224" i="189" s="1"/>
  <c r="P29" i="189"/>
  <c r="P27" i="189" s="1"/>
  <c r="P23" i="189" s="1"/>
  <c r="E27" i="189"/>
  <c r="E23" i="189" s="1"/>
  <c r="E17" i="189" s="1"/>
  <c r="J51" i="189"/>
  <c r="P51" i="189" s="1"/>
  <c r="P53" i="189"/>
  <c r="O154" i="189"/>
  <c r="O118" i="189" s="1"/>
  <c r="O113" i="189" s="1"/>
  <c r="O169" i="189" l="1"/>
  <c r="J170" i="189"/>
  <c r="J169" i="189" s="1"/>
  <c r="P164" i="189"/>
  <c r="P163" i="189" s="1"/>
  <c r="P162" i="189" s="1"/>
  <c r="P161" i="189" s="1"/>
  <c r="J109" i="189"/>
  <c r="J105" i="189" s="1"/>
  <c r="P110" i="189"/>
  <c r="P109" i="189" s="1"/>
  <c r="P105" i="189" s="1"/>
  <c r="J128" i="189"/>
  <c r="P129" i="189"/>
  <c r="P128" i="189" s="1"/>
  <c r="E197" i="189"/>
  <c r="F356" i="189"/>
  <c r="K356" i="189"/>
  <c r="Q356" i="189" s="1"/>
  <c r="K41" i="189"/>
  <c r="O89" i="189"/>
  <c r="E16" i="189"/>
  <c r="O189" i="189"/>
  <c r="J190" i="189"/>
  <c r="J189" i="189" s="1"/>
  <c r="O267" i="189"/>
  <c r="J268" i="189"/>
  <c r="J267" i="189" s="1"/>
  <c r="O112" i="189"/>
  <c r="J113" i="189"/>
  <c r="J112" i="189" s="1"/>
  <c r="O238" i="189"/>
  <c r="J239" i="189"/>
  <c r="K371" i="189"/>
  <c r="K368" i="189"/>
  <c r="O88" i="189"/>
  <c r="J89" i="189"/>
  <c r="J88" i="189" s="1"/>
  <c r="P292" i="189"/>
  <c r="P291" i="189" s="1"/>
  <c r="E310" i="189"/>
  <c r="P311" i="189"/>
  <c r="E267" i="189"/>
  <c r="J43" i="189"/>
  <c r="P44" i="189"/>
  <c r="J345" i="189"/>
  <c r="J344" i="189" s="1"/>
  <c r="P312" i="189"/>
  <c r="E190" i="189"/>
  <c r="J274" i="189"/>
  <c r="J273" i="189" s="1"/>
  <c r="P275" i="189"/>
  <c r="P274" i="189" s="1"/>
  <c r="P273" i="189" s="1"/>
  <c r="O43" i="189"/>
  <c r="O42" i="189" s="1"/>
  <c r="O323" i="189"/>
  <c r="J324" i="189"/>
  <c r="O16" i="189"/>
  <c r="J325" i="189"/>
  <c r="P326" i="189"/>
  <c r="P325" i="189" s="1"/>
  <c r="E335" i="189"/>
  <c r="P336" i="189"/>
  <c r="J18" i="189"/>
  <c r="P19" i="189"/>
  <c r="P18" i="189" s="1"/>
  <c r="P55" i="189"/>
  <c r="E43" i="189"/>
  <c r="E42" i="189" s="1"/>
  <c r="H373" i="189"/>
  <c r="H368" i="189"/>
  <c r="J232" i="189"/>
  <c r="J231" i="189" s="1"/>
  <c r="P233" i="189"/>
  <c r="P232" i="189" s="1"/>
  <c r="P231" i="189" s="1"/>
  <c r="R239" i="189"/>
  <c r="K238" i="189"/>
  <c r="E344" i="189"/>
  <c r="P345" i="189"/>
  <c r="J17" i="189"/>
  <c r="P92" i="189"/>
  <c r="E88" i="189"/>
  <c r="P89" i="189"/>
  <c r="E289" i="189"/>
  <c r="P205" i="189"/>
  <c r="P203" i="189" s="1"/>
  <c r="P197" i="189" s="1"/>
  <c r="J203" i="189"/>
  <c r="J197" i="189" s="1"/>
  <c r="J279" i="189"/>
  <c r="J277" i="189" s="1"/>
  <c r="J276" i="189" s="1"/>
  <c r="P280" i="189"/>
  <c r="P279" i="189" s="1"/>
  <c r="P277" i="189" s="1"/>
  <c r="P276" i="189" s="1"/>
  <c r="O289" i="189"/>
  <c r="J290" i="189"/>
  <c r="F373" i="189"/>
  <c r="F368" i="189"/>
  <c r="P222" i="189"/>
  <c r="P221" i="189" s="1"/>
  <c r="J221" i="189"/>
  <c r="P170" i="189"/>
  <c r="E169" i="189"/>
  <c r="E113" i="189"/>
  <c r="J131" i="189"/>
  <c r="P132" i="189"/>
  <c r="P131" i="189" s="1"/>
  <c r="P118" i="189" s="1"/>
  <c r="O220" i="189"/>
  <c r="E219" i="189"/>
  <c r="P298" i="189"/>
  <c r="J118" i="189" l="1"/>
  <c r="P43" i="189"/>
  <c r="J289" i="189"/>
  <c r="R290" i="189"/>
  <c r="Q89" i="189"/>
  <c r="P88" i="189"/>
  <c r="P335" i="189"/>
  <c r="Q336" i="189"/>
  <c r="O41" i="189"/>
  <c r="J42" i="189"/>
  <c r="J41" i="189" s="1"/>
  <c r="E112" i="189"/>
  <c r="P113" i="189"/>
  <c r="P268" i="189"/>
  <c r="P297" i="189"/>
  <c r="Q298" i="189"/>
  <c r="Q170" i="189"/>
  <c r="P169" i="189"/>
  <c r="J16" i="189"/>
  <c r="E189" i="189"/>
  <c r="P190" i="189"/>
  <c r="Q311" i="189"/>
  <c r="P310" i="189"/>
  <c r="Q345" i="189"/>
  <c r="P344" i="189"/>
  <c r="E41" i="189"/>
  <c r="J238" i="189"/>
  <c r="P239" i="189"/>
  <c r="O356" i="189"/>
  <c r="P17" i="189"/>
  <c r="O219" i="189"/>
  <c r="J220" i="189"/>
  <c r="P290" i="189"/>
  <c r="J323" i="189"/>
  <c r="P324" i="189"/>
  <c r="E356" i="189"/>
  <c r="J356" i="189" l="1"/>
  <c r="J368" i="189"/>
  <c r="J371" i="189"/>
  <c r="J219" i="189"/>
  <c r="P220" i="189"/>
  <c r="P289" i="189"/>
  <c r="Q290" i="189"/>
  <c r="P356" i="189"/>
  <c r="Q17" i="189"/>
  <c r="P16" i="189"/>
  <c r="E369" i="189"/>
  <c r="F369" i="189"/>
  <c r="E377" i="189"/>
  <c r="E368" i="189"/>
  <c r="P189" i="189"/>
  <c r="Q190" i="189"/>
  <c r="Q268" i="189"/>
  <c r="P267" i="189"/>
  <c r="Q239" i="189"/>
  <c r="P238" i="189"/>
  <c r="P112" i="189"/>
  <c r="S113" i="189"/>
  <c r="Q113" i="189"/>
  <c r="O371" i="189"/>
  <c r="O368" i="189"/>
  <c r="Q324" i="189"/>
  <c r="P323" i="189"/>
  <c r="P42" i="189"/>
  <c r="R356" i="189" l="1"/>
  <c r="P368" i="189"/>
  <c r="F371" i="189"/>
  <c r="Q42" i="189"/>
  <c r="P41" i="189"/>
  <c r="P219" i="189"/>
  <c r="Q220" i="189"/>
  <c r="P369" i="189"/>
  <c r="F39" i="172" l="1"/>
  <c r="E39" i="172"/>
  <c r="F19" i="172"/>
  <c r="E19" i="172"/>
  <c r="J226" i="167"/>
  <c r="F309" i="165"/>
  <c r="F309" i="190" s="1"/>
  <c r="F311" i="165"/>
  <c r="F311" i="190" s="1"/>
  <c r="J269" i="184"/>
  <c r="J265" i="184"/>
  <c r="J257" i="184"/>
  <c r="J255" i="184"/>
  <c r="J233" i="184"/>
  <c r="J272" i="184"/>
  <c r="J240" i="184"/>
  <c r="J228" i="184"/>
  <c r="J227" i="184"/>
  <c r="J207" i="184"/>
  <c r="J204" i="184"/>
  <c r="J202" i="184"/>
  <c r="J201" i="184"/>
  <c r="J277" i="184"/>
  <c r="K268" i="165"/>
  <c r="K268" i="190" s="1"/>
  <c r="K261" i="165"/>
  <c r="K261" i="190" s="1"/>
  <c r="K260" i="165"/>
  <c r="K260" i="190" s="1"/>
  <c r="K258" i="165"/>
  <c r="K258" i="190" s="1"/>
  <c r="K252" i="165"/>
  <c r="K252" i="190" s="1"/>
  <c r="F229" i="165"/>
  <c r="F229" i="190" s="1"/>
  <c r="F124" i="165"/>
  <c r="F124" i="190" s="1"/>
  <c r="F123" i="165"/>
  <c r="F123" i="190" s="1"/>
  <c r="F130" i="165"/>
  <c r="F130" i="190" s="1"/>
  <c r="H129" i="165"/>
  <c r="H129" i="190" s="1"/>
  <c r="H240" i="167"/>
  <c r="F319" i="165"/>
  <c r="F319" i="190" s="1"/>
  <c r="H239" i="167"/>
  <c r="F317" i="165"/>
  <c r="F317" i="190" s="1"/>
  <c r="J112" i="184"/>
  <c r="J111" i="184"/>
  <c r="F104" i="165"/>
  <c r="F104" i="190" s="1"/>
  <c r="J100" i="184"/>
  <c r="K103" i="165"/>
  <c r="K103" i="190" s="1"/>
  <c r="F96" i="165"/>
  <c r="F96" i="190" s="1"/>
  <c r="F93" i="165"/>
  <c r="F93" i="190" s="1"/>
  <c r="F207" i="165"/>
  <c r="F207" i="190" s="1"/>
  <c r="F202" i="165"/>
  <c r="F202" i="190" s="1"/>
  <c r="J169" i="167"/>
  <c r="D81" i="170"/>
  <c r="D80" i="170"/>
  <c r="R221" i="165"/>
  <c r="O221" i="165"/>
  <c r="E221" i="165"/>
  <c r="N220" i="165"/>
  <c r="M220" i="165"/>
  <c r="L220" i="165"/>
  <c r="K220" i="165"/>
  <c r="I220" i="165"/>
  <c r="H220" i="165"/>
  <c r="H220" i="190" s="1"/>
  <c r="G220" i="165"/>
  <c r="F220" i="165"/>
  <c r="H219" i="165"/>
  <c r="H219" i="190" s="1"/>
  <c r="F208" i="165"/>
  <c r="F208" i="190" s="1"/>
  <c r="F200" i="165"/>
  <c r="F200" i="190" s="1"/>
  <c r="F199" i="165"/>
  <c r="F199" i="190" s="1"/>
  <c r="J176" i="184"/>
  <c r="K205" i="165"/>
  <c r="K205" i="190" s="1"/>
  <c r="F205" i="165"/>
  <c r="F205" i="190" s="1"/>
  <c r="J179" i="184"/>
  <c r="K218" i="165"/>
  <c r="K218" i="190" s="1"/>
  <c r="J166" i="184"/>
  <c r="J167" i="184"/>
  <c r="K195" i="165"/>
  <c r="K195" i="190" s="1"/>
  <c r="F195" i="165"/>
  <c r="F195" i="190" s="1"/>
  <c r="H195" i="165"/>
  <c r="H195" i="190" s="1"/>
  <c r="F204" i="165"/>
  <c r="F204" i="190" s="1"/>
  <c r="G204" i="165"/>
  <c r="G204" i="190" s="1"/>
  <c r="H204" i="165"/>
  <c r="H204" i="190" s="1"/>
  <c r="J172" i="184"/>
  <c r="J173" i="184"/>
  <c r="J168" i="184"/>
  <c r="K204" i="165"/>
  <c r="K204" i="190" s="1"/>
  <c r="M47" i="184"/>
  <c r="H47" i="184"/>
  <c r="J47" i="184"/>
  <c r="M56" i="184"/>
  <c r="H56" i="184"/>
  <c r="K56" i="184" s="1"/>
  <c r="J56" i="184"/>
  <c r="K46" i="165"/>
  <c r="F46" i="165"/>
  <c r="F46" i="190" s="1"/>
  <c r="K44" i="165"/>
  <c r="K44" i="190" s="1"/>
  <c r="F44" i="165"/>
  <c r="F44" i="190" s="1"/>
  <c r="J92" i="184"/>
  <c r="K77" i="165"/>
  <c r="K77" i="190" s="1"/>
  <c r="K54" i="165"/>
  <c r="K54" i="190" s="1"/>
  <c r="J78" i="184"/>
  <c r="H65" i="184"/>
  <c r="J65" i="184"/>
  <c r="H64" i="184"/>
  <c r="J64" i="184"/>
  <c r="J61" i="184"/>
  <c r="L219" i="165" l="1"/>
  <c r="L219" i="190" s="1"/>
  <c r="L220" i="190"/>
  <c r="M219" i="165"/>
  <c r="M219" i="190" s="1"/>
  <c r="M220" i="190"/>
  <c r="N219" i="165"/>
  <c r="N219" i="190" s="1"/>
  <c r="N220" i="190"/>
  <c r="G219" i="165"/>
  <c r="G219" i="190" s="1"/>
  <c r="G220" i="190"/>
  <c r="F361" i="165"/>
  <c r="F361" i="190"/>
  <c r="E361" i="190" s="1"/>
  <c r="K46" i="190"/>
  <c r="I219" i="165"/>
  <c r="I219" i="190" s="1"/>
  <c r="I220" i="190"/>
  <c r="E220" i="165"/>
  <c r="E221" i="190"/>
  <c r="H169" i="167"/>
  <c r="F219" i="165"/>
  <c r="F219" i="190" s="1"/>
  <c r="F220" i="190"/>
  <c r="E79" i="170"/>
  <c r="K219" i="165"/>
  <c r="K220" i="190"/>
  <c r="J221" i="165"/>
  <c r="O221" i="190"/>
  <c r="O220" i="165"/>
  <c r="J220" i="165"/>
  <c r="P221" i="165"/>
  <c r="J48" i="184"/>
  <c r="E219" i="165" l="1"/>
  <c r="E219" i="190" s="1"/>
  <c r="E220" i="190"/>
  <c r="P220" i="165"/>
  <c r="P221" i="190"/>
  <c r="J219" i="165"/>
  <c r="J219" i="190" s="1"/>
  <c r="J220" i="190"/>
  <c r="O219" i="165"/>
  <c r="O220" i="190"/>
  <c r="J221" i="190"/>
  <c r="E88" i="170"/>
  <c r="I169" i="167"/>
  <c r="K219" i="190"/>
  <c r="J45" i="184"/>
  <c r="H23" i="184"/>
  <c r="J23" i="184"/>
  <c r="J25" i="184"/>
  <c r="O219" i="190" l="1"/>
  <c r="G169" i="167"/>
  <c r="P219" i="165"/>
  <c r="P219" i="190" s="1"/>
  <c r="P220" i="190"/>
  <c r="H64" i="165"/>
  <c r="H64" i="190" s="1"/>
  <c r="F64" i="165"/>
  <c r="F64" i="190" s="1"/>
  <c r="H62" i="165"/>
  <c r="H62" i="190" s="1"/>
  <c r="F62" i="165"/>
  <c r="F62" i="190" s="1"/>
  <c r="H59" i="165"/>
  <c r="H59" i="190" s="1"/>
  <c r="H56" i="165"/>
  <c r="H56" i="190" s="1"/>
  <c r="H54" i="165"/>
  <c r="H54" i="190" s="1"/>
  <c r="F54" i="165"/>
  <c r="F54" i="190" s="1"/>
  <c r="H46" i="165"/>
  <c r="H46" i="190" s="1"/>
  <c r="H44" i="165"/>
  <c r="H44" i="190" s="1"/>
  <c r="G64" i="165"/>
  <c r="G64" i="190" s="1"/>
  <c r="G57" i="165"/>
  <c r="G57" i="190" s="1"/>
  <c r="G59" i="165"/>
  <c r="G59" i="190" s="1"/>
  <c r="F59" i="165"/>
  <c r="F59" i="190" s="1"/>
  <c r="G48" i="165"/>
  <c r="G48" i="190" s="1"/>
  <c r="F48" i="190"/>
  <c r="G44" i="165"/>
  <c r="G44" i="190" s="1"/>
  <c r="G268" i="165"/>
  <c r="G268" i="190" s="1"/>
  <c r="F268" i="165"/>
  <c r="F268" i="190" s="1"/>
  <c r="F258" i="165"/>
  <c r="F258" i="190" s="1"/>
  <c r="F252" i="165"/>
  <c r="F252" i="190" s="1"/>
  <c r="F250" i="165"/>
  <c r="F250" i="190" s="1"/>
  <c r="F249" i="165"/>
  <c r="F249" i="190" s="1"/>
  <c r="K286" i="165"/>
  <c r="K283" i="165"/>
  <c r="K283" i="190" s="1"/>
  <c r="J291" i="184"/>
  <c r="J294" i="184"/>
  <c r="J285" i="184"/>
  <c r="J283" i="184"/>
  <c r="J286" i="184"/>
  <c r="O30" i="165"/>
  <c r="O30" i="190" s="1"/>
  <c r="L30" i="165"/>
  <c r="L30" i="190" s="1"/>
  <c r="L361" i="165"/>
  <c r="D28" i="108"/>
  <c r="D24" i="108"/>
  <c r="J327" i="184"/>
  <c r="K350" i="165"/>
  <c r="K350" i="190" s="1"/>
  <c r="G350" i="165"/>
  <c r="G350" i="190" s="1"/>
  <c r="F350" i="165"/>
  <c r="F350" i="190" s="1"/>
  <c r="H341" i="165"/>
  <c r="H341" i="190" s="1"/>
  <c r="G341" i="165"/>
  <c r="G341" i="190" s="1"/>
  <c r="F341" i="165"/>
  <c r="F341" i="190" s="1"/>
  <c r="G329" i="165"/>
  <c r="G329" i="190" s="1"/>
  <c r="F329" i="165"/>
  <c r="F329" i="190" s="1"/>
  <c r="G303" i="165"/>
  <c r="G303" i="190" s="1"/>
  <c r="F303" i="165"/>
  <c r="F303" i="190" s="1"/>
  <c r="F295" i="165"/>
  <c r="F295" i="190" s="1"/>
  <c r="G295" i="165"/>
  <c r="G295" i="190" s="1"/>
  <c r="F274" i="165"/>
  <c r="F274" i="190" s="1"/>
  <c r="H273" i="165"/>
  <c r="H273" i="190" s="1"/>
  <c r="G273" i="165"/>
  <c r="G273" i="190" s="1"/>
  <c r="F273" i="165"/>
  <c r="F273" i="190" s="1"/>
  <c r="F245" i="165"/>
  <c r="F245" i="190" s="1"/>
  <c r="G244" i="165"/>
  <c r="G244" i="190" s="1"/>
  <c r="F244" i="165"/>
  <c r="F244" i="190" s="1"/>
  <c r="F226" i="165"/>
  <c r="F226" i="190" s="1"/>
  <c r="H225" i="165"/>
  <c r="H225" i="190" s="1"/>
  <c r="G225" i="165"/>
  <c r="G225" i="190" s="1"/>
  <c r="F225" i="165"/>
  <c r="F225" i="190" s="1"/>
  <c r="J103" i="167"/>
  <c r="I103" i="167"/>
  <c r="J102" i="167"/>
  <c r="J125" i="184"/>
  <c r="K115" i="165"/>
  <c r="K115" i="190" s="1"/>
  <c r="H115" i="165"/>
  <c r="H115" i="190" s="1"/>
  <c r="G115" i="165"/>
  <c r="G115" i="190" s="1"/>
  <c r="F115" i="165"/>
  <c r="F115" i="190" s="1"/>
  <c r="J99" i="184"/>
  <c r="K91" i="165"/>
  <c r="K91" i="190" s="1"/>
  <c r="D85" i="170"/>
  <c r="K286" i="190" l="1"/>
  <c r="K40" i="165"/>
  <c r="K40" i="190" s="1"/>
  <c r="J19" i="167"/>
  <c r="I19" i="167"/>
  <c r="J18" i="167"/>
  <c r="I18" i="167"/>
  <c r="J14" i="184"/>
  <c r="J15" i="184"/>
  <c r="H15" i="184"/>
  <c r="H19" i="165"/>
  <c r="H19" i="190" s="1"/>
  <c r="D105" i="188" l="1"/>
  <c r="D105" i="192" s="1"/>
  <c r="D102" i="188"/>
  <c r="D102" i="192" l="1"/>
  <c r="D101" i="188"/>
  <c r="D101" i="192" s="1"/>
  <c r="D36" i="170"/>
  <c r="D24" i="170"/>
  <c r="D18" i="170"/>
  <c r="D21" i="170"/>
  <c r="D17" i="170" s="1"/>
  <c r="D25" i="170" s="1"/>
  <c r="J280" i="184" l="1"/>
  <c r="R108" i="165"/>
  <c r="S350" i="165"/>
  <c r="K32" i="184" l="1"/>
  <c r="G54" i="165"/>
  <c r="G54" i="190" s="1"/>
  <c r="G62" i="165"/>
  <c r="G62" i="190" s="1"/>
  <c r="H47" i="165"/>
  <c r="H47" i="190" s="1"/>
  <c r="G47" i="165"/>
  <c r="G47" i="190" s="1"/>
  <c r="F47" i="165"/>
  <c r="F47" i="190" s="1"/>
  <c r="K68" i="184" l="1"/>
  <c r="K37" i="184"/>
  <c r="K59" i="184"/>
  <c r="K52" i="184"/>
  <c r="K39" i="184"/>
  <c r="K30" i="184"/>
  <c r="K63" i="184" l="1"/>
  <c r="K62" i="184"/>
  <c r="J315" i="184" l="1"/>
  <c r="D89" i="170"/>
  <c r="K325" i="165"/>
  <c r="K325" i="190" s="1"/>
  <c r="F325" i="165"/>
  <c r="F325" i="190" s="1"/>
  <c r="J94" i="184" l="1"/>
  <c r="K78" i="165"/>
  <c r="K78" i="190" s="1"/>
  <c r="F78" i="165"/>
  <c r="F78" i="190" s="1"/>
  <c r="J258" i="184" l="1"/>
  <c r="F353" i="165" l="1"/>
  <c r="F353" i="190" s="1"/>
  <c r="H32" i="167" l="1"/>
  <c r="D76" i="170"/>
  <c r="F40" i="165"/>
  <c r="F40" i="190" s="1"/>
  <c r="F22" i="165"/>
  <c r="F22" i="190" s="1"/>
  <c r="J43" i="184"/>
  <c r="F138" i="165"/>
  <c r="F138" i="190" s="1"/>
  <c r="D17" i="188"/>
  <c r="D17" i="192" s="1"/>
  <c r="D16" i="188"/>
  <c r="D16" i="192" s="1"/>
  <c r="J147" i="184"/>
  <c r="J146" i="184"/>
  <c r="D75" i="170" l="1"/>
  <c r="K70" i="184"/>
  <c r="K43" i="184"/>
  <c r="K19" i="165"/>
  <c r="K19" i="190" s="1"/>
  <c r="F180" i="165"/>
  <c r="F180" i="190" s="1"/>
  <c r="F155" i="165"/>
  <c r="F155" i="190" s="1"/>
  <c r="H155" i="165"/>
  <c r="H155" i="190" s="1"/>
  <c r="D30" i="108" l="1"/>
  <c r="D17" i="108"/>
  <c r="J372" i="165"/>
  <c r="N54" i="165"/>
  <c r="N54" i="190" s="1"/>
  <c r="D40" i="170" l="1"/>
  <c r="D28" i="170"/>
  <c r="D58" i="170"/>
  <c r="D55" i="170"/>
  <c r="D56" i="170" s="1"/>
  <c r="J300" i="184"/>
  <c r="J298" i="184"/>
  <c r="J284" i="184"/>
  <c r="J282" i="184"/>
  <c r="K281" i="165"/>
  <c r="K281" i="190" s="1"/>
  <c r="O263" i="165" l="1"/>
  <c r="O263" i="190" s="1"/>
  <c r="J254" i="184"/>
  <c r="J242" i="184"/>
  <c r="J239" i="184"/>
  <c r="J244" i="184"/>
  <c r="J241" i="184"/>
  <c r="J246" i="184"/>
  <c r="J236" i="184"/>
  <c r="J214" i="184"/>
  <c r="J210" i="184"/>
  <c r="J208" i="184"/>
  <c r="J205" i="184"/>
  <c r="J203" i="184"/>
  <c r="J200" i="184"/>
  <c r="K255" i="165"/>
  <c r="K255" i="190" s="1"/>
  <c r="H252" i="165"/>
  <c r="H252" i="190" s="1"/>
  <c r="F251" i="165"/>
  <c r="F251" i="190" s="1"/>
  <c r="K236" i="165"/>
  <c r="K236" i="190" s="1"/>
  <c r="J191" i="184"/>
  <c r="J184" i="184"/>
  <c r="K229" i="165"/>
  <c r="K229" i="190" s="1"/>
  <c r="F232" i="165"/>
  <c r="F232" i="190" s="1"/>
  <c r="G209" i="165"/>
  <c r="G209" i="190" s="1"/>
  <c r="F209" i="165"/>
  <c r="F209" i="190" s="1"/>
  <c r="H196" i="165"/>
  <c r="H196" i="190" s="1"/>
  <c r="G196" i="165"/>
  <c r="G196" i="190" s="1"/>
  <c r="F196" i="165"/>
  <c r="F196" i="190" s="1"/>
  <c r="H193" i="165"/>
  <c r="H193" i="190" s="1"/>
  <c r="G193" i="165"/>
  <c r="G193" i="190" s="1"/>
  <c r="F193" i="165"/>
  <c r="F193" i="190" s="1"/>
  <c r="J166" i="167"/>
  <c r="H166" i="167"/>
  <c r="D22" i="188"/>
  <c r="D22" i="192" s="1"/>
  <c r="O216" i="165"/>
  <c r="O216" i="190" s="1"/>
  <c r="E216" i="165"/>
  <c r="E216" i="190" s="1"/>
  <c r="N215" i="165"/>
  <c r="N215" i="190" s="1"/>
  <c r="M215" i="165"/>
  <c r="M215" i="190" s="1"/>
  <c r="L215" i="165"/>
  <c r="L215" i="190" s="1"/>
  <c r="K215" i="165"/>
  <c r="K215" i="190" s="1"/>
  <c r="I215" i="165"/>
  <c r="I215" i="190" s="1"/>
  <c r="H215" i="165"/>
  <c r="H215" i="190" s="1"/>
  <c r="G215" i="165"/>
  <c r="G215" i="190" s="1"/>
  <c r="F215" i="165"/>
  <c r="F215" i="190" s="1"/>
  <c r="E215" i="165"/>
  <c r="E215" i="190" s="1"/>
  <c r="J174" i="184"/>
  <c r="K173" i="184"/>
  <c r="L204" i="165"/>
  <c r="L204" i="190" s="1"/>
  <c r="J163" i="184"/>
  <c r="J162" i="184"/>
  <c r="K185" i="165"/>
  <c r="K185" i="190" s="1"/>
  <c r="F184" i="165"/>
  <c r="F184" i="190" s="1"/>
  <c r="H179" i="165"/>
  <c r="H179" i="190" s="1"/>
  <c r="F179" i="165"/>
  <c r="F179" i="190" s="1"/>
  <c r="H176" i="165"/>
  <c r="H176" i="190" s="1"/>
  <c r="F176" i="165"/>
  <c r="F176" i="190" s="1"/>
  <c r="H177" i="165"/>
  <c r="H177" i="190" s="1"/>
  <c r="F177" i="165"/>
  <c r="F177" i="190" s="1"/>
  <c r="H172" i="165"/>
  <c r="H172" i="190" s="1"/>
  <c r="F172" i="165"/>
  <c r="F172" i="190" s="1"/>
  <c r="H175" i="165"/>
  <c r="H175" i="190" s="1"/>
  <c r="F175" i="165"/>
  <c r="F175" i="190" s="1"/>
  <c r="E82" i="188"/>
  <c r="E82" i="192" s="1"/>
  <c r="E81" i="188"/>
  <c r="E81" i="192" s="1"/>
  <c r="J126" i="184"/>
  <c r="K120" i="165"/>
  <c r="K120" i="190" s="1"/>
  <c r="D37" i="188"/>
  <c r="D37" i="192" s="1"/>
  <c r="I214" i="165" l="1"/>
  <c r="I214" i="190" s="1"/>
  <c r="K214" i="165"/>
  <c r="K214" i="190" s="1"/>
  <c r="M214" i="165"/>
  <c r="M214" i="190" s="1"/>
  <c r="E214" i="165"/>
  <c r="E214" i="190" s="1"/>
  <c r="F214" i="165"/>
  <c r="F214" i="190" s="1"/>
  <c r="O204" i="165"/>
  <c r="O204" i="190" s="1"/>
  <c r="G214" i="165"/>
  <c r="G214" i="190" s="1"/>
  <c r="J216" i="165"/>
  <c r="J216" i="190" s="1"/>
  <c r="L214" i="165"/>
  <c r="L214" i="190" s="1"/>
  <c r="H214" i="165"/>
  <c r="H214" i="190" s="1"/>
  <c r="N214" i="165"/>
  <c r="N214" i="190" s="1"/>
  <c r="O215" i="165"/>
  <c r="O215" i="190" s="1"/>
  <c r="K156" i="165"/>
  <c r="K156" i="190" s="1"/>
  <c r="G155" i="165"/>
  <c r="G155" i="190" s="1"/>
  <c r="H130" i="165"/>
  <c r="H130" i="190" s="1"/>
  <c r="F129" i="165"/>
  <c r="F129" i="190" s="1"/>
  <c r="H350" i="165"/>
  <c r="H350" i="190" s="1"/>
  <c r="H329" i="165"/>
  <c r="H329" i="190" s="1"/>
  <c r="J235" i="167"/>
  <c r="O312" i="165"/>
  <c r="O312" i="190" s="1"/>
  <c r="E312" i="165"/>
  <c r="E312" i="190" s="1"/>
  <c r="H303" i="165"/>
  <c r="H303" i="190" s="1"/>
  <c r="J307" i="184"/>
  <c r="K299" i="165"/>
  <c r="K299" i="190" s="1"/>
  <c r="I226" i="167"/>
  <c r="J305" i="184"/>
  <c r="K295" i="165"/>
  <c r="K295" i="190" s="1"/>
  <c r="H295" i="165"/>
  <c r="H295" i="190" s="1"/>
  <c r="H268" i="165"/>
  <c r="H268" i="190" s="1"/>
  <c r="H244" i="165"/>
  <c r="H244" i="190" s="1"/>
  <c r="I102" i="167"/>
  <c r="J124" i="184"/>
  <c r="P216" i="165" l="1"/>
  <c r="P216" i="190" s="1"/>
  <c r="O214" i="165"/>
  <c r="O214" i="190" s="1"/>
  <c r="J215" i="165"/>
  <c r="J215" i="190" s="1"/>
  <c r="I166" i="167"/>
  <c r="G166" i="167" s="1"/>
  <c r="J312" i="165"/>
  <c r="J312" i="190" s="1"/>
  <c r="R156" i="165"/>
  <c r="H235" i="167"/>
  <c r="P215" i="165"/>
  <c r="P215" i="190" s="1"/>
  <c r="P312" i="165" l="1"/>
  <c r="P312" i="190" s="1"/>
  <c r="I235" i="167"/>
  <c r="G235" i="167" s="1"/>
  <c r="J214" i="165"/>
  <c r="J214" i="190" s="1"/>
  <c r="P214" i="165"/>
  <c r="P214" i="190" s="1"/>
  <c r="R91" i="165" l="1"/>
  <c r="G91" i="165"/>
  <c r="G91" i="190" s="1"/>
  <c r="F91" i="165"/>
  <c r="F91" i="190" s="1"/>
  <c r="R103" i="165"/>
  <c r="J116" i="184"/>
  <c r="J120" i="184"/>
  <c r="J110" i="184"/>
  <c r="H57" i="167"/>
  <c r="F95" i="165"/>
  <c r="F95" i="190" s="1"/>
  <c r="F97" i="165"/>
  <c r="F97" i="190" s="1"/>
  <c r="F99" i="165"/>
  <c r="F99" i="190" s="1"/>
  <c r="F94" i="165"/>
  <c r="F94" i="190" s="1"/>
  <c r="G18" i="167"/>
  <c r="H21" i="167"/>
  <c r="G20" i="165"/>
  <c r="G20" i="190" s="1"/>
  <c r="F20" i="165"/>
  <c r="F20" i="190" s="1"/>
  <c r="D87" i="170"/>
  <c r="D90" i="170" s="1"/>
  <c r="J96" i="184"/>
  <c r="K87" i="165"/>
  <c r="K87" i="190" s="1"/>
  <c r="I53" i="184"/>
  <c r="J91" i="184"/>
  <c r="K73" i="165"/>
  <c r="K73" i="190" s="1"/>
  <c r="G73" i="165"/>
  <c r="G73" i="190" s="1"/>
  <c r="F73" i="165"/>
  <c r="F73" i="190" s="1"/>
  <c r="J72" i="167"/>
  <c r="N83" i="165"/>
  <c r="N83" i="190" s="1"/>
  <c r="M83" i="165"/>
  <c r="M83" i="190" s="1"/>
  <c r="L83" i="165"/>
  <c r="L83" i="190" s="1"/>
  <c r="K83" i="165"/>
  <c r="K83" i="190" s="1"/>
  <c r="I83" i="165"/>
  <c r="I83" i="190" s="1"/>
  <c r="H83" i="165"/>
  <c r="H83" i="190" s="1"/>
  <c r="G83" i="165"/>
  <c r="G83" i="190" s="1"/>
  <c r="F84" i="165"/>
  <c r="F84" i="190" s="1"/>
  <c r="O84" i="165"/>
  <c r="O84" i="190" s="1"/>
  <c r="L56" i="165"/>
  <c r="L56" i="190" s="1"/>
  <c r="H48" i="167"/>
  <c r="J71" i="167"/>
  <c r="R82" i="165"/>
  <c r="F81" i="165"/>
  <c r="F81" i="190" s="1"/>
  <c r="G81" i="165"/>
  <c r="G81" i="190" s="1"/>
  <c r="H81" i="165"/>
  <c r="H81" i="190" s="1"/>
  <c r="I81" i="165"/>
  <c r="I81" i="190" s="1"/>
  <c r="K81" i="165"/>
  <c r="K81" i="190" s="1"/>
  <c r="L81" i="165"/>
  <c r="L81" i="190" s="1"/>
  <c r="M81" i="165"/>
  <c r="M81" i="190" s="1"/>
  <c r="N81" i="165"/>
  <c r="N81" i="190" s="1"/>
  <c r="O82" i="165"/>
  <c r="O82" i="190" s="1"/>
  <c r="E82" i="165"/>
  <c r="E82" i="190" s="1"/>
  <c r="J80" i="184"/>
  <c r="R56" i="165" s="1"/>
  <c r="J77" i="184"/>
  <c r="K47" i="165"/>
  <c r="K47" i="190" s="1"/>
  <c r="J66" i="184"/>
  <c r="J55" i="184"/>
  <c r="J60" i="184"/>
  <c r="J49" i="184"/>
  <c r="J41" i="184"/>
  <c r="J33" i="184"/>
  <c r="K34" i="184"/>
  <c r="I34" i="184"/>
  <c r="N80" i="165" l="1"/>
  <c r="N80" i="190" s="1"/>
  <c r="O56" i="165"/>
  <c r="O56" i="190" s="1"/>
  <c r="K80" i="165"/>
  <c r="K80" i="190" s="1"/>
  <c r="I80" i="165"/>
  <c r="I80" i="190" s="1"/>
  <c r="H80" i="165"/>
  <c r="H80" i="190" s="1"/>
  <c r="M80" i="165"/>
  <c r="M80" i="190" s="1"/>
  <c r="H71" i="167"/>
  <c r="G80" i="165"/>
  <c r="G80" i="190" s="1"/>
  <c r="J84" i="165"/>
  <c r="J84" i="190" s="1"/>
  <c r="L80" i="165"/>
  <c r="L80" i="190" s="1"/>
  <c r="J82" i="165"/>
  <c r="F80" i="165"/>
  <c r="F80" i="190" s="1"/>
  <c r="E84" i="165"/>
  <c r="E84" i="190" s="1"/>
  <c r="E81" i="165"/>
  <c r="E81" i="190" s="1"/>
  <c r="F83" i="165"/>
  <c r="F83" i="190" s="1"/>
  <c r="O83" i="165"/>
  <c r="O83" i="190" s="1"/>
  <c r="O81" i="165"/>
  <c r="O81" i="190" s="1"/>
  <c r="J81" i="165" l="1"/>
  <c r="J81" i="190" s="1"/>
  <c r="J82" i="190"/>
  <c r="P84" i="165"/>
  <c r="P84" i="190" s="1"/>
  <c r="H72" i="167"/>
  <c r="J83" i="165"/>
  <c r="J83" i="190" s="1"/>
  <c r="P82" i="165"/>
  <c r="P82" i="190" s="1"/>
  <c r="I71" i="167"/>
  <c r="G71" i="167" s="1"/>
  <c r="P83" i="165"/>
  <c r="P83" i="190" s="1"/>
  <c r="M79" i="165"/>
  <c r="M79" i="190" s="1"/>
  <c r="J80" i="165"/>
  <c r="J80" i="190" s="1"/>
  <c r="G79" i="165"/>
  <c r="G79" i="190" s="1"/>
  <c r="E80" i="165"/>
  <c r="E80" i="190" s="1"/>
  <c r="E83" i="165"/>
  <c r="E83" i="190" s="1"/>
  <c r="I72" i="167"/>
  <c r="G72" i="167" s="1"/>
  <c r="I79" i="165"/>
  <c r="I79" i="190" s="1"/>
  <c r="K79" i="165"/>
  <c r="K79" i="190" s="1"/>
  <c r="F79" i="165"/>
  <c r="F79" i="190" s="1"/>
  <c r="O80" i="165"/>
  <c r="O80" i="190" s="1"/>
  <c r="L79" i="165"/>
  <c r="L79" i="190" s="1"/>
  <c r="H79" i="165"/>
  <c r="H79" i="190" s="1"/>
  <c r="N79" i="165"/>
  <c r="N79" i="190" s="1"/>
  <c r="O46" i="165"/>
  <c r="O46" i="190" s="1"/>
  <c r="G46" i="165"/>
  <c r="G46" i="190" s="1"/>
  <c r="H48" i="165"/>
  <c r="H48" i="190" s="1"/>
  <c r="N56" i="165"/>
  <c r="N56" i="190" s="1"/>
  <c r="L46" i="165"/>
  <c r="L46" i="190" s="1"/>
  <c r="M44" i="165"/>
  <c r="M44" i="190" s="1"/>
  <c r="M46" i="165"/>
  <c r="M46" i="190" s="1"/>
  <c r="L44" i="165"/>
  <c r="L44" i="190" s="1"/>
  <c r="F93" i="188"/>
  <c r="F93" i="192" s="1"/>
  <c r="E93" i="188"/>
  <c r="E93" i="192" s="1"/>
  <c r="E92" i="188"/>
  <c r="E92" i="192" s="1"/>
  <c r="F92" i="188"/>
  <c r="F92" i="192" s="1"/>
  <c r="F89" i="188"/>
  <c r="F89" i="192" s="1"/>
  <c r="E89" i="188"/>
  <c r="E89" i="192" s="1"/>
  <c r="D62" i="188"/>
  <c r="D62" i="192" s="1"/>
  <c r="D61" i="188"/>
  <c r="D61" i="192" s="1"/>
  <c r="D45" i="188"/>
  <c r="D45" i="192" s="1"/>
  <c r="D44" i="188"/>
  <c r="D44" i="192" s="1"/>
  <c r="M56" i="165"/>
  <c r="M56" i="190" s="1"/>
  <c r="G56" i="165"/>
  <c r="G56" i="190" s="1"/>
  <c r="M361" i="165"/>
  <c r="D122" i="188"/>
  <c r="D122" i="192" s="1"/>
  <c r="C128" i="188"/>
  <c r="C128" i="192" s="1"/>
  <c r="C127" i="188"/>
  <c r="C127" i="192" s="1"/>
  <c r="D117" i="188"/>
  <c r="D117" i="192" s="1"/>
  <c r="F123" i="188"/>
  <c r="F123" i="192" s="1"/>
  <c r="E123" i="188"/>
  <c r="E123" i="192" s="1"/>
  <c r="E95" i="188"/>
  <c r="E95" i="192" s="1"/>
  <c r="E94" i="192" s="1"/>
  <c r="D59" i="188"/>
  <c r="D59" i="192" s="1"/>
  <c r="D70" i="188"/>
  <c r="D70" i="192" s="1"/>
  <c r="D67" i="188"/>
  <c r="D67" i="192" s="1"/>
  <c r="D30" i="188"/>
  <c r="D30" i="192" s="1"/>
  <c r="D40" i="188"/>
  <c r="D40" i="192" s="1"/>
  <c r="D38" i="188"/>
  <c r="D38" i="192" s="1"/>
  <c r="C94" i="192" l="1"/>
  <c r="F122" i="188"/>
  <c r="F122" i="192" s="1"/>
  <c r="D69" i="188"/>
  <c r="D69" i="192" s="1"/>
  <c r="D46" i="188"/>
  <c r="D46" i="192" s="1"/>
  <c r="J79" i="165"/>
  <c r="J79" i="190" s="1"/>
  <c r="D65" i="188"/>
  <c r="D65" i="192" s="1"/>
  <c r="E122" i="188"/>
  <c r="E122" i="192" s="1"/>
  <c r="O79" i="165"/>
  <c r="O79" i="190" s="1"/>
  <c r="E79" i="165"/>
  <c r="E79" i="190" s="1"/>
  <c r="P81" i="165"/>
  <c r="P81" i="190" s="1"/>
  <c r="D32" i="188"/>
  <c r="D32" i="192" s="1"/>
  <c r="D60" i="188"/>
  <c r="D60" i="192" s="1"/>
  <c r="P80" i="165" l="1"/>
  <c r="P80" i="190" s="1"/>
  <c r="P79" i="165" l="1"/>
  <c r="P79" i="190" s="1"/>
  <c r="D50" i="170" l="1"/>
  <c r="D52" i="170" s="1"/>
  <c r="Q350" i="165" l="1"/>
  <c r="J129" i="167" l="1"/>
  <c r="R160" i="165"/>
  <c r="O160" i="165"/>
  <c r="O160" i="190" s="1"/>
  <c r="E160" i="165"/>
  <c r="E160" i="190" s="1"/>
  <c r="N158" i="165"/>
  <c r="N158" i="190" s="1"/>
  <c r="M158" i="165"/>
  <c r="M158" i="190" s="1"/>
  <c r="L158" i="165"/>
  <c r="L158" i="190" s="1"/>
  <c r="K158" i="165"/>
  <c r="K158" i="190" s="1"/>
  <c r="I158" i="165"/>
  <c r="I158" i="190" s="1"/>
  <c r="H158" i="165"/>
  <c r="H158" i="190" s="1"/>
  <c r="G158" i="165"/>
  <c r="G158" i="190" s="1"/>
  <c r="F158" i="165"/>
  <c r="F158" i="190" s="1"/>
  <c r="J160" i="165" l="1"/>
  <c r="J160" i="190" s="1"/>
  <c r="H129" i="167"/>
  <c r="I129" i="167"/>
  <c r="P160" i="165"/>
  <c r="P160" i="190" s="1"/>
  <c r="N140" i="165"/>
  <c r="N140" i="190" s="1"/>
  <c r="M140" i="165"/>
  <c r="M140" i="190" s="1"/>
  <c r="L140" i="165"/>
  <c r="L140" i="190" s="1"/>
  <c r="K140" i="165"/>
  <c r="K140" i="190" s="1"/>
  <c r="I140" i="165"/>
  <c r="I140" i="190" s="1"/>
  <c r="H140" i="165"/>
  <c r="H140" i="190" s="1"/>
  <c r="G140" i="165"/>
  <c r="G140" i="190" s="1"/>
  <c r="F140" i="165"/>
  <c r="F140" i="190" s="1"/>
  <c r="G129" i="167" l="1"/>
  <c r="R151" i="165"/>
  <c r="O151" i="165"/>
  <c r="O151" i="190" s="1"/>
  <c r="E151" i="165"/>
  <c r="E151" i="190" s="1"/>
  <c r="R148" i="165"/>
  <c r="O148" i="165"/>
  <c r="O148" i="190" s="1"/>
  <c r="E148" i="165"/>
  <c r="E148" i="190" s="1"/>
  <c r="R144" i="165"/>
  <c r="O144" i="165"/>
  <c r="O144" i="190" s="1"/>
  <c r="E144" i="165"/>
  <c r="E144" i="190" s="1"/>
  <c r="R141" i="165"/>
  <c r="O141" i="165"/>
  <c r="O141" i="190" s="1"/>
  <c r="E141" i="165"/>
  <c r="E141" i="190" s="1"/>
  <c r="J144" i="165" l="1"/>
  <c r="J144" i="190" s="1"/>
  <c r="J151" i="165"/>
  <c r="J151" i="190" s="1"/>
  <c r="J148" i="165"/>
  <c r="J148" i="190" s="1"/>
  <c r="E140" i="165"/>
  <c r="E140" i="190" s="1"/>
  <c r="O140" i="165"/>
  <c r="O140" i="190" s="1"/>
  <c r="J141" i="165"/>
  <c r="J141" i="190" s="1"/>
  <c r="J95" i="167"/>
  <c r="P144" i="165" l="1"/>
  <c r="P144" i="190" s="1"/>
  <c r="P151" i="165"/>
  <c r="P151" i="190" s="1"/>
  <c r="P148" i="165"/>
  <c r="P148" i="190" s="1"/>
  <c r="P141" i="165"/>
  <c r="P141" i="190" s="1"/>
  <c r="J140" i="165"/>
  <c r="J140" i="190" s="1"/>
  <c r="O108" i="165"/>
  <c r="O108" i="190" s="1"/>
  <c r="E108" i="165"/>
  <c r="E108" i="190" s="1"/>
  <c r="N107" i="165"/>
  <c r="N107" i="190" s="1"/>
  <c r="M107" i="165"/>
  <c r="M107" i="190" s="1"/>
  <c r="L107" i="165"/>
  <c r="L107" i="190" s="1"/>
  <c r="K107" i="165"/>
  <c r="K107" i="190" s="1"/>
  <c r="I107" i="165"/>
  <c r="I107" i="190" s="1"/>
  <c r="H107" i="165"/>
  <c r="H107" i="190" s="1"/>
  <c r="G107" i="165"/>
  <c r="G107" i="190" s="1"/>
  <c r="F107" i="165"/>
  <c r="F107" i="190" s="1"/>
  <c r="J108" i="165" l="1"/>
  <c r="J108" i="190" s="1"/>
  <c r="F106" i="165"/>
  <c r="F106" i="190" s="1"/>
  <c r="H106" i="165"/>
  <c r="H106" i="190" s="1"/>
  <c r="N106" i="165"/>
  <c r="N106" i="190" s="1"/>
  <c r="I95" i="167"/>
  <c r="I106" i="165"/>
  <c r="I106" i="190" s="1"/>
  <c r="P140" i="165"/>
  <c r="P140" i="190" s="1"/>
  <c r="G106" i="165"/>
  <c r="G106" i="190" s="1"/>
  <c r="K106" i="165"/>
  <c r="K106" i="190" s="1"/>
  <c r="L106" i="165"/>
  <c r="L106" i="190" s="1"/>
  <c r="M106" i="165"/>
  <c r="M106" i="190" s="1"/>
  <c r="E107" i="165"/>
  <c r="E107" i="190" s="1"/>
  <c r="H95" i="167"/>
  <c r="G95" i="167" s="1"/>
  <c r="J107" i="165"/>
  <c r="J107" i="190" s="1"/>
  <c r="P108" i="165"/>
  <c r="P108" i="190" s="1"/>
  <c r="O107" i="165"/>
  <c r="O107" i="190" s="1"/>
  <c r="P107" i="165" l="1"/>
  <c r="P107" i="190" s="1"/>
  <c r="J106" i="165"/>
  <c r="J106" i="190" s="1"/>
  <c r="E106" i="165"/>
  <c r="E106" i="190" s="1"/>
  <c r="O106" i="165"/>
  <c r="O106" i="190" s="1"/>
  <c r="R78" i="165"/>
  <c r="P106" i="165" l="1"/>
  <c r="P106" i="190" s="1"/>
  <c r="J69" i="167"/>
  <c r="O78" i="165"/>
  <c r="O78" i="190" s="1"/>
  <c r="E78" i="165"/>
  <c r="E78" i="190" s="1"/>
  <c r="N76" i="165"/>
  <c r="N76" i="190" s="1"/>
  <c r="M76" i="165"/>
  <c r="M76" i="190" s="1"/>
  <c r="L76" i="165"/>
  <c r="L76" i="190" s="1"/>
  <c r="I76" i="165"/>
  <c r="I76" i="190" s="1"/>
  <c r="H76" i="165"/>
  <c r="H76" i="190" s="1"/>
  <c r="G76" i="165"/>
  <c r="G76" i="190" s="1"/>
  <c r="F76" i="165"/>
  <c r="F76" i="190" s="1"/>
  <c r="C121" i="188"/>
  <c r="C121" i="192" s="1"/>
  <c r="C113" i="188"/>
  <c r="C113" i="192" s="1"/>
  <c r="C112" i="188"/>
  <c r="C112" i="192" s="1"/>
  <c r="C111" i="188"/>
  <c r="C111" i="192" s="1"/>
  <c r="C110" i="188"/>
  <c r="C110" i="192" s="1"/>
  <c r="C114" i="188"/>
  <c r="C114" i="192" s="1"/>
  <c r="F101" i="188"/>
  <c r="F101" i="192" s="1"/>
  <c r="E101" i="188"/>
  <c r="E101" i="192" s="1"/>
  <c r="C105" i="188"/>
  <c r="C105" i="192" s="1"/>
  <c r="C103" i="188"/>
  <c r="C103" i="192" s="1"/>
  <c r="H69" i="167" l="1"/>
  <c r="J78" i="165"/>
  <c r="J78" i="190" s="1"/>
  <c r="C123" i="188"/>
  <c r="C123" i="192" s="1"/>
  <c r="E109" i="188"/>
  <c r="E109" i="192" s="1"/>
  <c r="C77" i="188"/>
  <c r="C77" i="192" s="1"/>
  <c r="C16" i="188"/>
  <c r="C16" i="192" s="1"/>
  <c r="C15" i="188"/>
  <c r="C15" i="192" s="1"/>
  <c r="C14" i="188"/>
  <c r="C14" i="192" s="1"/>
  <c r="P78" i="165" l="1"/>
  <c r="P78" i="190" s="1"/>
  <c r="I69" i="167"/>
  <c r="G69" i="167" s="1"/>
  <c r="C99" i="188"/>
  <c r="C99" i="192" s="1"/>
  <c r="C116" i="188"/>
  <c r="C116" i="192" s="1"/>
  <c r="C115" i="188"/>
  <c r="C115" i="192" s="1"/>
  <c r="F109" i="188"/>
  <c r="F109" i="192" s="1"/>
  <c r="C122" i="188"/>
  <c r="C122" i="192" s="1"/>
  <c r="D98" i="188"/>
  <c r="D98" i="192" s="1"/>
  <c r="E94" i="188"/>
  <c r="E91" i="188"/>
  <c r="E91" i="192" s="1"/>
  <c r="F86" i="188"/>
  <c r="F86" i="192" s="1"/>
  <c r="E86" i="188"/>
  <c r="E86" i="192" s="1"/>
  <c r="D87" i="188"/>
  <c r="D87" i="192" s="1"/>
  <c r="C95" i="188"/>
  <c r="C95" i="192" s="1"/>
  <c r="C102" i="188"/>
  <c r="C102" i="192" s="1"/>
  <c r="C104" i="188"/>
  <c r="C104" i="192" s="1"/>
  <c r="C106" i="188"/>
  <c r="C106" i="192" s="1"/>
  <c r="C107" i="188"/>
  <c r="C107" i="192" s="1"/>
  <c r="C108" i="188"/>
  <c r="C108" i="192" s="1"/>
  <c r="C117" i="188"/>
  <c r="C117" i="192" s="1"/>
  <c r="C119" i="188"/>
  <c r="C119" i="192" s="1"/>
  <c r="C120" i="188"/>
  <c r="C120" i="192" s="1"/>
  <c r="C124" i="188"/>
  <c r="C124" i="192" s="1"/>
  <c r="C125" i="188"/>
  <c r="C125" i="192" s="1"/>
  <c r="C126" i="188"/>
  <c r="C126" i="192" s="1"/>
  <c r="C93" i="188"/>
  <c r="C93" i="192" s="1"/>
  <c r="C81" i="188"/>
  <c r="C81" i="192" s="1"/>
  <c r="C82" i="188"/>
  <c r="C82" i="192" s="1"/>
  <c r="C83" i="188"/>
  <c r="C83" i="192" s="1"/>
  <c r="C84" i="188"/>
  <c r="C84" i="192" s="1"/>
  <c r="E80" i="188"/>
  <c r="E80" i="192" s="1"/>
  <c r="D74" i="188"/>
  <c r="D74" i="192" s="1"/>
  <c r="F74" i="188"/>
  <c r="F74" i="192" s="1"/>
  <c r="F55" i="192" s="1"/>
  <c r="E74" i="188"/>
  <c r="E74" i="192" s="1"/>
  <c r="C65" i="188"/>
  <c r="C65" i="192" s="1"/>
  <c r="D57" i="188"/>
  <c r="D57" i="192" s="1"/>
  <c r="F11" i="188"/>
  <c r="C54" i="188"/>
  <c r="C54" i="192" s="1"/>
  <c r="C53" i="188"/>
  <c r="C53" i="192" s="1"/>
  <c r="C52" i="188"/>
  <c r="C52" i="192" s="1"/>
  <c r="E51" i="188"/>
  <c r="E51" i="192" s="1"/>
  <c r="C46" i="188"/>
  <c r="C46" i="192" s="1"/>
  <c r="D43" i="188"/>
  <c r="D43" i="192" s="1"/>
  <c r="C32" i="188"/>
  <c r="C32" i="192" s="1"/>
  <c r="C45" i="188"/>
  <c r="C45" i="192" s="1"/>
  <c r="C44" i="188"/>
  <c r="C44" i="192" s="1"/>
  <c r="D23" i="188"/>
  <c r="D23" i="192" s="1"/>
  <c r="D21" i="188"/>
  <c r="D21" i="192" s="1"/>
  <c r="D13" i="188"/>
  <c r="D13" i="192" s="1"/>
  <c r="D18" i="188"/>
  <c r="D18" i="192" s="1"/>
  <c r="C19" i="188"/>
  <c r="C19" i="192" s="1"/>
  <c r="C18" i="188" l="1"/>
  <c r="C18" i="192" s="1"/>
  <c r="F55" i="188"/>
  <c r="C98" i="188"/>
  <c r="C98" i="192" s="1"/>
  <c r="F100" i="188"/>
  <c r="F100" i="192" s="1"/>
  <c r="F97" i="192" s="1"/>
  <c r="C87" i="188"/>
  <c r="C87" i="192" s="1"/>
  <c r="C23" i="188"/>
  <c r="C23" i="192" s="1"/>
  <c r="E79" i="188"/>
  <c r="E79" i="192" s="1"/>
  <c r="E55" i="192" s="1"/>
  <c r="D31" i="188"/>
  <c r="D31" i="192" s="1"/>
  <c r="C91" i="188"/>
  <c r="C91" i="192" s="1"/>
  <c r="D56" i="188"/>
  <c r="D56" i="192" s="1"/>
  <c r="D20" i="188"/>
  <c r="D20" i="192" s="1"/>
  <c r="D86" i="188"/>
  <c r="D86" i="192" s="1"/>
  <c r="D85" i="192" s="1"/>
  <c r="C21" i="188"/>
  <c r="C21" i="192" s="1"/>
  <c r="C94" i="188"/>
  <c r="D12" i="188"/>
  <c r="D12" i="192" s="1"/>
  <c r="C13" i="188"/>
  <c r="C13" i="192" s="1"/>
  <c r="C80" i="188"/>
  <c r="C80" i="192" s="1"/>
  <c r="C43" i="188"/>
  <c r="C43" i="192" s="1"/>
  <c r="F355" i="165"/>
  <c r="F355" i="190" s="1"/>
  <c r="C56" i="188" l="1"/>
  <c r="C56" i="192" s="1"/>
  <c r="E55" i="188"/>
  <c r="C12" i="188"/>
  <c r="C12" i="192" s="1"/>
  <c r="D85" i="188"/>
  <c r="C86" i="188"/>
  <c r="C86" i="192" s="1"/>
  <c r="C20" i="188"/>
  <c r="C20" i="192" s="1"/>
  <c r="J148" i="167"/>
  <c r="N183" i="165"/>
  <c r="M183" i="165"/>
  <c r="M183" i="190" s="1"/>
  <c r="L183" i="165"/>
  <c r="L183" i="190" s="1"/>
  <c r="K183" i="165"/>
  <c r="K183" i="190" s="1"/>
  <c r="I183" i="165"/>
  <c r="I183" i="190" s="1"/>
  <c r="H183" i="165"/>
  <c r="H183" i="190" s="1"/>
  <c r="G183" i="165"/>
  <c r="G183" i="190" s="1"/>
  <c r="F183" i="165"/>
  <c r="F183" i="190" s="1"/>
  <c r="O184" i="165"/>
  <c r="O184" i="190" s="1"/>
  <c r="E184" i="165"/>
  <c r="E184" i="190" s="1"/>
  <c r="I27" i="184"/>
  <c r="J73" i="167"/>
  <c r="R87" i="165"/>
  <c r="J87" i="184"/>
  <c r="K69" i="165"/>
  <c r="O87" i="165"/>
  <c r="O87" i="190" s="1"/>
  <c r="E87" i="165"/>
  <c r="E87" i="190" s="1"/>
  <c r="N86" i="165"/>
  <c r="N86" i="190" s="1"/>
  <c r="M86" i="165"/>
  <c r="M86" i="190" s="1"/>
  <c r="L86" i="165"/>
  <c r="L86" i="190" s="1"/>
  <c r="K86" i="165"/>
  <c r="K86" i="190" s="1"/>
  <c r="I86" i="165"/>
  <c r="I86" i="190" s="1"/>
  <c r="H86" i="165"/>
  <c r="H86" i="190" s="1"/>
  <c r="G86" i="165"/>
  <c r="G86" i="190" s="1"/>
  <c r="F86" i="165"/>
  <c r="F86" i="190" s="1"/>
  <c r="J88" i="184"/>
  <c r="K70" i="165"/>
  <c r="H246" i="167"/>
  <c r="F322" i="165"/>
  <c r="F322" i="190" s="1"/>
  <c r="D45" i="170"/>
  <c r="D118" i="188"/>
  <c r="D118" i="192" s="1"/>
  <c r="N182" i="165" l="1"/>
  <c r="N182" i="190" s="1"/>
  <c r="N183" i="190"/>
  <c r="M85" i="165"/>
  <c r="M85" i="190" s="1"/>
  <c r="N85" i="165"/>
  <c r="N85" i="190" s="1"/>
  <c r="F85" i="165"/>
  <c r="F85" i="190" s="1"/>
  <c r="H148" i="167"/>
  <c r="H73" i="167"/>
  <c r="I85" i="165"/>
  <c r="I85" i="190" s="1"/>
  <c r="F182" i="165"/>
  <c r="F182" i="190" s="1"/>
  <c r="G182" i="165"/>
  <c r="G182" i="190" s="1"/>
  <c r="L85" i="165"/>
  <c r="L85" i="190" s="1"/>
  <c r="H182" i="165"/>
  <c r="H182" i="190" s="1"/>
  <c r="E86" i="165"/>
  <c r="E86" i="190" s="1"/>
  <c r="E183" i="165"/>
  <c r="E183" i="190" s="1"/>
  <c r="C118" i="188"/>
  <c r="C118" i="192" s="1"/>
  <c r="D109" i="188"/>
  <c r="D109" i="192" s="1"/>
  <c r="H85" i="165"/>
  <c r="H85" i="190" s="1"/>
  <c r="M182" i="165"/>
  <c r="M182" i="190" s="1"/>
  <c r="I182" i="165"/>
  <c r="I182" i="190" s="1"/>
  <c r="G85" i="165"/>
  <c r="G85" i="190" s="1"/>
  <c r="K85" i="165"/>
  <c r="K85" i="190" s="1"/>
  <c r="J87" i="165"/>
  <c r="J87" i="190" s="1"/>
  <c r="L182" i="165"/>
  <c r="L182" i="190" s="1"/>
  <c r="J184" i="165"/>
  <c r="J184" i="190" s="1"/>
  <c r="O183" i="165"/>
  <c r="O183" i="190" s="1"/>
  <c r="O86" i="165"/>
  <c r="O86" i="190" s="1"/>
  <c r="E85" i="165" l="1"/>
  <c r="E85" i="190" s="1"/>
  <c r="P87" i="165"/>
  <c r="P87" i="190" s="1"/>
  <c r="D100" i="188"/>
  <c r="D100" i="192" s="1"/>
  <c r="D97" i="192" s="1"/>
  <c r="C109" i="188"/>
  <c r="C109" i="192" s="1"/>
  <c r="J86" i="165"/>
  <c r="J86" i="190" s="1"/>
  <c r="E87" i="170"/>
  <c r="I73" i="167"/>
  <c r="G73" i="167" s="1"/>
  <c r="O85" i="165"/>
  <c r="O85" i="190" s="1"/>
  <c r="J183" i="165"/>
  <c r="J183" i="190" s="1"/>
  <c r="I148" i="167"/>
  <c r="G148" i="167" s="1"/>
  <c r="P184" i="165"/>
  <c r="P184" i="190" s="1"/>
  <c r="H242" i="167"/>
  <c r="F320" i="165"/>
  <c r="F320" i="190" s="1"/>
  <c r="D97" i="188" l="1"/>
  <c r="P86" i="165"/>
  <c r="P86" i="190" s="1"/>
  <c r="P183" i="165"/>
  <c r="P183" i="190" s="1"/>
  <c r="P85" i="165"/>
  <c r="P85" i="190" s="1"/>
  <c r="J85" i="165"/>
  <c r="J85" i="190" s="1"/>
  <c r="K268" i="184" l="1"/>
  <c r="F66" i="165" l="1"/>
  <c r="F66" i="190" s="1"/>
  <c r="K172" i="165"/>
  <c r="K172" i="190" s="1"/>
  <c r="R172" i="165" l="1"/>
  <c r="R25" i="165" l="1"/>
  <c r="K93" i="184"/>
  <c r="I93" i="184"/>
  <c r="F97" i="188" l="1"/>
  <c r="C92" i="188"/>
  <c r="C92" i="192" s="1"/>
  <c r="F91" i="188"/>
  <c r="F91" i="192" s="1"/>
  <c r="E90" i="188"/>
  <c r="E90" i="192" s="1"/>
  <c r="E85" i="192" s="1"/>
  <c r="C89" i="188"/>
  <c r="C89" i="192" s="1"/>
  <c r="C88" i="188"/>
  <c r="C88" i="192" s="1"/>
  <c r="D79" i="188"/>
  <c r="D79" i="192" s="1"/>
  <c r="C78" i="188"/>
  <c r="C78" i="192" s="1"/>
  <c r="C76" i="188"/>
  <c r="C76" i="192" s="1"/>
  <c r="C75" i="188"/>
  <c r="C75" i="192" s="1"/>
  <c r="C74" i="188"/>
  <c r="C74" i="192" s="1"/>
  <c r="C73" i="188"/>
  <c r="C73" i="192" s="1"/>
  <c r="C72" i="188"/>
  <c r="C72" i="192" s="1"/>
  <c r="D71" i="188"/>
  <c r="D71" i="192" s="1"/>
  <c r="C70" i="188"/>
  <c r="C70" i="192" s="1"/>
  <c r="C69" i="188"/>
  <c r="C69" i="192" s="1"/>
  <c r="C68" i="188"/>
  <c r="C68" i="192" s="1"/>
  <c r="C67" i="188"/>
  <c r="C67" i="192" s="1"/>
  <c r="C66" i="188"/>
  <c r="C66" i="192" s="1"/>
  <c r="C63" i="188"/>
  <c r="C63" i="192" s="1"/>
  <c r="C62" i="188"/>
  <c r="C62" i="192" s="1"/>
  <c r="C61" i="188"/>
  <c r="C61" i="192" s="1"/>
  <c r="C60" i="188"/>
  <c r="C60" i="192" s="1"/>
  <c r="C59" i="188"/>
  <c r="C59" i="192" s="1"/>
  <c r="C58" i="188"/>
  <c r="C58" i="192" s="1"/>
  <c r="C57" i="188"/>
  <c r="C57" i="192" s="1"/>
  <c r="D51" i="188"/>
  <c r="D51" i="192" s="1"/>
  <c r="E50" i="188"/>
  <c r="E50" i="192" s="1"/>
  <c r="E11" i="192" s="1"/>
  <c r="C50" i="188"/>
  <c r="C50" i="192" s="1"/>
  <c r="C49" i="188"/>
  <c r="C49" i="192" s="1"/>
  <c r="C48" i="188"/>
  <c r="C48" i="192" s="1"/>
  <c r="C47" i="188"/>
  <c r="C47" i="192" s="1"/>
  <c r="C42" i="188"/>
  <c r="C42" i="192" s="1"/>
  <c r="C41" i="188"/>
  <c r="C41" i="192" s="1"/>
  <c r="C40" i="188"/>
  <c r="C40" i="192" s="1"/>
  <c r="C39" i="188"/>
  <c r="C39" i="192" s="1"/>
  <c r="C38" i="188"/>
  <c r="C38" i="192" s="1"/>
  <c r="C37" i="188"/>
  <c r="C37" i="192" s="1"/>
  <c r="C36" i="188"/>
  <c r="C36" i="192" s="1"/>
  <c r="C35" i="188"/>
  <c r="C35" i="192" s="1"/>
  <c r="C34" i="188"/>
  <c r="C34" i="192" s="1"/>
  <c r="C33" i="188"/>
  <c r="C33" i="192" s="1"/>
  <c r="C30" i="188"/>
  <c r="C30" i="192" s="1"/>
  <c r="C29" i="188"/>
  <c r="C29" i="192" s="1"/>
  <c r="D28" i="188"/>
  <c r="D28" i="192" s="1"/>
  <c r="C27" i="188"/>
  <c r="C27" i="192" s="1"/>
  <c r="D26" i="188"/>
  <c r="D26" i="192" s="1"/>
  <c r="C24" i="188"/>
  <c r="C24" i="192" s="1"/>
  <c r="C22" i="188"/>
  <c r="C22" i="192" s="1"/>
  <c r="C17" i="188"/>
  <c r="C17" i="192" s="1"/>
  <c r="E96" i="192" l="1"/>
  <c r="C85" i="192"/>
  <c r="C79" i="188"/>
  <c r="C79" i="192" s="1"/>
  <c r="D64" i="188"/>
  <c r="D64" i="192" s="1"/>
  <c r="D55" i="192" s="1"/>
  <c r="D25" i="188"/>
  <c r="D25" i="192" s="1"/>
  <c r="D11" i="192" s="1"/>
  <c r="C11" i="192" s="1"/>
  <c r="C28" i="188"/>
  <c r="C28" i="192" s="1"/>
  <c r="E11" i="188"/>
  <c r="C51" i="188"/>
  <c r="C51" i="192" s="1"/>
  <c r="F90" i="188"/>
  <c r="F90" i="192" s="1"/>
  <c r="F85" i="192" s="1"/>
  <c r="F96" i="192" s="1"/>
  <c r="F129" i="192" s="1"/>
  <c r="J129" i="192" s="1"/>
  <c r="C26" i="188"/>
  <c r="C26" i="192" s="1"/>
  <c r="C71" i="188"/>
  <c r="C71" i="192" s="1"/>
  <c r="E100" i="188"/>
  <c r="E100" i="192" s="1"/>
  <c r="E97" i="192" s="1"/>
  <c r="C97" i="192" s="1"/>
  <c r="C101" i="188"/>
  <c r="C101" i="192" s="1"/>
  <c r="C90" i="188"/>
  <c r="C90" i="192" s="1"/>
  <c r="E85" i="188"/>
  <c r="C55" i="192" l="1"/>
  <c r="D96" i="192"/>
  <c r="E129" i="192"/>
  <c r="I129" i="192" s="1"/>
  <c r="D11" i="188"/>
  <c r="C11" i="188" s="1"/>
  <c r="D55" i="188"/>
  <c r="D96" i="188" s="1"/>
  <c r="F85" i="188"/>
  <c r="F96" i="188" s="1"/>
  <c r="F129" i="188" s="1"/>
  <c r="J129" i="188" s="1"/>
  <c r="C25" i="188"/>
  <c r="C25" i="192" s="1"/>
  <c r="C85" i="188"/>
  <c r="E96" i="188"/>
  <c r="E129" i="188" s="1"/>
  <c r="I129" i="188" s="1"/>
  <c r="C64" i="188"/>
  <c r="C64" i="192" s="1"/>
  <c r="C100" i="188"/>
  <c r="C100" i="192" s="1"/>
  <c r="E97" i="188"/>
  <c r="C97" i="188" s="1"/>
  <c r="C31" i="188"/>
  <c r="C31" i="192" s="1"/>
  <c r="C96" i="192" l="1"/>
  <c r="D129" i="192"/>
  <c r="C96" i="188"/>
  <c r="D129" i="188"/>
  <c r="H129" i="188" s="1"/>
  <c r="C55" i="188"/>
  <c r="H129" i="192" l="1"/>
  <c r="C129" i="192"/>
  <c r="G129" i="192" s="1"/>
  <c r="C129" i="188"/>
  <c r="G129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J36" i="167"/>
  <c r="I36" i="167"/>
  <c r="G38" i="167"/>
  <c r="H34" i="167"/>
  <c r="H33" i="167"/>
  <c r="J17" i="184"/>
  <c r="R40" i="165" s="1"/>
  <c r="R159" i="165"/>
  <c r="R130" i="165"/>
  <c r="R120" i="165"/>
  <c r="J129" i="184"/>
  <c r="N131" i="165"/>
  <c r="N131" i="190" s="1"/>
  <c r="M131" i="165"/>
  <c r="M131" i="190" s="1"/>
  <c r="L131" i="165"/>
  <c r="L131" i="190" s="1"/>
  <c r="I131" i="165"/>
  <c r="I131" i="190" s="1"/>
  <c r="H131" i="165"/>
  <c r="H131" i="190" s="1"/>
  <c r="G131" i="165"/>
  <c r="G131" i="190" s="1"/>
  <c r="F131" i="165"/>
  <c r="F131" i="190" s="1"/>
  <c r="K132" i="165"/>
  <c r="K132" i="190" s="1"/>
  <c r="F133" i="165"/>
  <c r="F133" i="190" s="1"/>
  <c r="F122" i="165"/>
  <c r="F122" i="190" s="1"/>
  <c r="K155" i="165"/>
  <c r="K155" i="190" s="1"/>
  <c r="J65" i="167"/>
  <c r="I65" i="167"/>
  <c r="J64" i="167"/>
  <c r="R70" i="165"/>
  <c r="N68" i="165"/>
  <c r="M68" i="165"/>
  <c r="L68" i="165"/>
  <c r="K68" i="165"/>
  <c r="I68" i="165"/>
  <c r="H68" i="165"/>
  <c r="G68" i="165"/>
  <c r="F68" i="165"/>
  <c r="O70" i="165"/>
  <c r="E70" i="165"/>
  <c r="K131" i="165" l="1"/>
  <c r="K131" i="190" s="1"/>
  <c r="R132" i="165"/>
  <c r="R115" i="165"/>
  <c r="H64" i="167"/>
  <c r="O132" i="165"/>
  <c r="O132" i="190" s="1"/>
  <c r="J70" i="165"/>
  <c r="J116" i="167"/>
  <c r="F354" i="165"/>
  <c r="F354" i="190" s="1"/>
  <c r="E132" i="165"/>
  <c r="E132" i="190" s="1"/>
  <c r="J233" i="167"/>
  <c r="J234" i="167"/>
  <c r="N308" i="165"/>
  <c r="M308" i="165"/>
  <c r="L308" i="165"/>
  <c r="K308" i="165"/>
  <c r="I308" i="165"/>
  <c r="H308" i="165"/>
  <c r="G308" i="165"/>
  <c r="F308" i="165"/>
  <c r="O309" i="165"/>
  <c r="O309" i="190" s="1"/>
  <c r="E309" i="165"/>
  <c r="E309" i="190" s="1"/>
  <c r="R325" i="165"/>
  <c r="J244" i="167"/>
  <c r="I244" i="167"/>
  <c r="H244" i="167"/>
  <c r="J314" i="184"/>
  <c r="K322" i="165"/>
  <c r="K322" i="190" s="1"/>
  <c r="M239" i="167"/>
  <c r="G239" i="167"/>
  <c r="O308" i="165" l="1"/>
  <c r="J132" i="165"/>
  <c r="J132" i="190" s="1"/>
  <c r="H233" i="167"/>
  <c r="R322" i="165"/>
  <c r="J309" i="165"/>
  <c r="J309" i="190" s="1"/>
  <c r="E308" i="165"/>
  <c r="E131" i="165"/>
  <c r="E131" i="190" s="1"/>
  <c r="H116" i="167"/>
  <c r="I64" i="167"/>
  <c r="G64" i="167" s="1"/>
  <c r="P70" i="165"/>
  <c r="O131" i="165"/>
  <c r="O131" i="190" s="1"/>
  <c r="P132" i="165"/>
  <c r="P132" i="190" s="1"/>
  <c r="F316" i="165"/>
  <c r="F316" i="190" s="1"/>
  <c r="N316" i="165"/>
  <c r="N316" i="190" s="1"/>
  <c r="M316" i="165"/>
  <c r="M316" i="190" s="1"/>
  <c r="L316" i="165"/>
  <c r="L316" i="190" s="1"/>
  <c r="K316" i="165"/>
  <c r="K316" i="190" s="1"/>
  <c r="I316" i="165"/>
  <c r="I316" i="190" s="1"/>
  <c r="H316" i="165"/>
  <c r="H316" i="190" s="1"/>
  <c r="G316" i="165"/>
  <c r="G316" i="190" s="1"/>
  <c r="O317" i="165"/>
  <c r="O317" i="190" s="1"/>
  <c r="E317" i="165"/>
  <c r="E317" i="190" s="1"/>
  <c r="J131" i="165" l="1"/>
  <c r="J131" i="190" s="1"/>
  <c r="P309" i="165"/>
  <c r="P309" i="190" s="1"/>
  <c r="I116" i="167"/>
  <c r="G116" i="167" s="1"/>
  <c r="J317" i="165"/>
  <c r="J317" i="190" s="1"/>
  <c r="O316" i="165"/>
  <c r="O316" i="190" s="1"/>
  <c r="P308" i="165"/>
  <c r="K239" i="167"/>
  <c r="P131" i="165"/>
  <c r="P131" i="190" s="1"/>
  <c r="E316" i="165"/>
  <c r="E316" i="190" s="1"/>
  <c r="J308" i="165"/>
  <c r="I233" i="167"/>
  <c r="G233" i="167" s="1"/>
  <c r="R179" i="165"/>
  <c r="G177" i="165"/>
  <c r="G177" i="190" s="1"/>
  <c r="G172" i="165"/>
  <c r="G172" i="190" s="1"/>
  <c r="N204" i="165"/>
  <c r="N204" i="190" s="1"/>
  <c r="M204" i="165"/>
  <c r="M204" i="190" s="1"/>
  <c r="J175" i="184"/>
  <c r="J171" i="184"/>
  <c r="J169" i="184"/>
  <c r="J165" i="184" s="1"/>
  <c r="P317" i="165" l="1"/>
  <c r="L239" i="167"/>
  <c r="J316" i="165"/>
  <c r="J316" i="190" s="1"/>
  <c r="D19" i="108"/>
  <c r="P316" i="165" l="1"/>
  <c r="P316" i="190" s="1"/>
  <c r="P317" i="190"/>
  <c r="R73" i="165"/>
  <c r="R69" i="165"/>
  <c r="R67" i="165"/>
  <c r="R64" i="165"/>
  <c r="R62" i="165"/>
  <c r="L35" i="184" l="1"/>
  <c r="M35" i="184" s="1"/>
  <c r="I35" i="184"/>
  <c r="K35" i="184"/>
  <c r="F45" i="165" l="1"/>
  <c r="F45" i="190" s="1"/>
  <c r="J22" i="184"/>
  <c r="J43" i="167"/>
  <c r="I43" i="167"/>
  <c r="H43" i="167"/>
  <c r="E77" i="165"/>
  <c r="E77" i="190" s="1"/>
  <c r="E76" i="165"/>
  <c r="E76" i="190" s="1"/>
  <c r="K66" i="165"/>
  <c r="K66" i="190" s="1"/>
  <c r="J63" i="167"/>
  <c r="O69" i="165"/>
  <c r="E69" i="165"/>
  <c r="J49" i="167"/>
  <c r="K45" i="165"/>
  <c r="K45" i="190" s="1"/>
  <c r="I45" i="165"/>
  <c r="I45" i="190" s="1"/>
  <c r="O48" i="165"/>
  <c r="O48" i="190" s="1"/>
  <c r="E48" i="165"/>
  <c r="E48" i="190" s="1"/>
  <c r="J51" i="184"/>
  <c r="J50" i="184"/>
  <c r="R46" i="165" s="1"/>
  <c r="J27" i="184"/>
  <c r="K27" i="184" s="1"/>
  <c r="F60" i="165"/>
  <c r="F60" i="190" s="1"/>
  <c r="R284" i="165"/>
  <c r="R281" i="165"/>
  <c r="R268" i="165"/>
  <c r="R244" i="165"/>
  <c r="I264" i="184"/>
  <c r="K267" i="184"/>
  <c r="K266" i="184"/>
  <c r="I265" i="184"/>
  <c r="J263" i="184"/>
  <c r="K263" i="184" s="1"/>
  <c r="J261" i="184"/>
  <c r="I261" i="184"/>
  <c r="J260" i="184"/>
  <c r="J259" i="184"/>
  <c r="I257" i="184"/>
  <c r="J256" i="184"/>
  <c r="K255" i="184"/>
  <c r="I255" i="184"/>
  <c r="K254" i="184"/>
  <c r="J253" i="184"/>
  <c r="K253" i="184" s="1"/>
  <c r="K242" i="184"/>
  <c r="J238" i="184"/>
  <c r="J237" i="184"/>
  <c r="K236" i="184"/>
  <c r="I236" i="184"/>
  <c r="J235" i="184"/>
  <c r="J230" i="184"/>
  <c r="J224" i="184"/>
  <c r="J223" i="184"/>
  <c r="J222" i="184"/>
  <c r="J220" i="184"/>
  <c r="J219" i="184"/>
  <c r="I219" i="184"/>
  <c r="K218" i="184"/>
  <c r="J211" i="184"/>
  <c r="K209" i="184"/>
  <c r="I209" i="184"/>
  <c r="J206" i="184"/>
  <c r="K205" i="184"/>
  <c r="I205" i="184"/>
  <c r="K204" i="184"/>
  <c r="I204" i="184"/>
  <c r="K203" i="184"/>
  <c r="I203" i="184"/>
  <c r="J194" i="184"/>
  <c r="J192" i="184" s="1"/>
  <c r="K193" i="184"/>
  <c r="J190" i="184"/>
  <c r="K190" i="184" s="1"/>
  <c r="I190" i="184"/>
  <c r="J185" i="184"/>
  <c r="R44" i="165" l="1"/>
  <c r="K72" i="184"/>
  <c r="K47" i="184"/>
  <c r="K75" i="184"/>
  <c r="K76" i="165"/>
  <c r="K76" i="190" s="1"/>
  <c r="R261" i="165"/>
  <c r="O44" i="165"/>
  <c r="O44" i="190" s="1"/>
  <c r="J217" i="184"/>
  <c r="R255" i="165"/>
  <c r="J198" i="184"/>
  <c r="R252" i="165"/>
  <c r="J68" i="167"/>
  <c r="K228" i="184"/>
  <c r="R54" i="165"/>
  <c r="K219" i="184"/>
  <c r="G45" i="165"/>
  <c r="G45" i="190" s="1"/>
  <c r="H49" i="167"/>
  <c r="H45" i="165"/>
  <c r="H45" i="190" s="1"/>
  <c r="J85" i="184"/>
  <c r="O77" i="165"/>
  <c r="O77" i="190" s="1"/>
  <c r="R77" i="165"/>
  <c r="H68" i="167"/>
  <c r="J69" i="165"/>
  <c r="O68" i="165"/>
  <c r="E68" i="165"/>
  <c r="H63" i="167"/>
  <c r="R260" i="165"/>
  <c r="K80" i="184"/>
  <c r="J48" i="165"/>
  <c r="J48" i="190" s="1"/>
  <c r="J229" i="184"/>
  <c r="J186" i="184"/>
  <c r="O76" i="165" l="1"/>
  <c r="O76" i="190" s="1"/>
  <c r="R66" i="165"/>
  <c r="P48" i="165"/>
  <c r="P48" i="190" s="1"/>
  <c r="P69" i="165"/>
  <c r="J77" i="165"/>
  <c r="J77" i="190" s="1"/>
  <c r="I63" i="167"/>
  <c r="G63" i="167" s="1"/>
  <c r="J68" i="165"/>
  <c r="I49" i="167"/>
  <c r="G49" i="167" s="1"/>
  <c r="J196" i="184"/>
  <c r="P77" i="165" l="1"/>
  <c r="P77" i="190" s="1"/>
  <c r="J76" i="165"/>
  <c r="J76" i="190" s="1"/>
  <c r="I68" i="167"/>
  <c r="G68" i="167" s="1"/>
  <c r="P68" i="165"/>
  <c r="K237" i="165"/>
  <c r="K237" i="190" s="1"/>
  <c r="K231" i="165"/>
  <c r="K231" i="190" s="1"/>
  <c r="K230" i="165"/>
  <c r="K230" i="190" s="1"/>
  <c r="J118" i="184"/>
  <c r="J117" i="184"/>
  <c r="D29" i="108"/>
  <c r="J222" i="167"/>
  <c r="G223" i="167"/>
  <c r="O290" i="165"/>
  <c r="O290" i="190" s="1"/>
  <c r="L289" i="165"/>
  <c r="L289" i="190" s="1"/>
  <c r="E290" i="165"/>
  <c r="E290" i="190" s="1"/>
  <c r="N289" i="165"/>
  <c r="N289" i="190" s="1"/>
  <c r="M289" i="165"/>
  <c r="M289" i="190" s="1"/>
  <c r="K289" i="165"/>
  <c r="K289" i="190" s="1"/>
  <c r="I289" i="165"/>
  <c r="I289" i="190" s="1"/>
  <c r="H289" i="165"/>
  <c r="H289" i="190" s="1"/>
  <c r="G289" i="165"/>
  <c r="G289" i="190" s="1"/>
  <c r="F289" i="165"/>
  <c r="F289" i="190" s="1"/>
  <c r="L263" i="165"/>
  <c r="L263" i="190" s="1"/>
  <c r="L239" i="165"/>
  <c r="L239" i="190" s="1"/>
  <c r="P76" i="165" l="1"/>
  <c r="P76" i="190" s="1"/>
  <c r="H288" i="165"/>
  <c r="H288" i="190" s="1"/>
  <c r="N288" i="165"/>
  <c r="N288" i="190" s="1"/>
  <c r="I288" i="165"/>
  <c r="I288" i="190" s="1"/>
  <c r="G288" i="165"/>
  <c r="G288" i="190" s="1"/>
  <c r="M288" i="165"/>
  <c r="M288" i="190" s="1"/>
  <c r="L288" i="165"/>
  <c r="L288" i="190" s="1"/>
  <c r="H222" i="167"/>
  <c r="R236" i="165"/>
  <c r="R229" i="165"/>
  <c r="R237" i="165"/>
  <c r="E289" i="165"/>
  <c r="E289" i="190" s="1"/>
  <c r="O289" i="165"/>
  <c r="O289" i="190" s="1"/>
  <c r="R230" i="165"/>
  <c r="F288" i="165"/>
  <c r="F288" i="190" s="1"/>
  <c r="K288" i="165"/>
  <c r="K288" i="190" s="1"/>
  <c r="R231" i="165"/>
  <c r="J290" i="165"/>
  <c r="J290" i="190" s="1"/>
  <c r="O288" i="165" l="1"/>
  <c r="O288" i="190" s="1"/>
  <c r="E288" i="165"/>
  <c r="E288" i="190" s="1"/>
  <c r="J289" i="165"/>
  <c r="J289" i="190" s="1"/>
  <c r="I222" i="167"/>
  <c r="G222" i="167" s="1"/>
  <c r="P290" i="165"/>
  <c r="P290" i="190" s="1"/>
  <c r="P289" i="165" l="1"/>
  <c r="P289" i="190" s="1"/>
  <c r="J288" i="165"/>
  <c r="J288" i="190" s="1"/>
  <c r="J109" i="184"/>
  <c r="J108" i="184"/>
  <c r="P288" i="165" l="1"/>
  <c r="P288" i="190" s="1"/>
  <c r="K114" i="184"/>
  <c r="R346" i="165"/>
  <c r="R344" i="165"/>
  <c r="R341" i="165"/>
  <c r="J326" i="184"/>
  <c r="J262" i="167"/>
  <c r="I262" i="167"/>
  <c r="H263" i="167"/>
  <c r="G263" i="167" s="1"/>
  <c r="R295" i="165" l="1"/>
  <c r="D44" i="170" l="1"/>
  <c r="D46" i="170" s="1"/>
  <c r="J62" i="167"/>
  <c r="F101" i="165"/>
  <c r="F101" i="190" s="1"/>
  <c r="O67" i="165"/>
  <c r="O67" i="190" s="1"/>
  <c r="E67" i="165"/>
  <c r="E67" i="190" s="1"/>
  <c r="N65" i="165"/>
  <c r="N65" i="190" s="1"/>
  <c r="M65" i="165"/>
  <c r="M65" i="190" s="1"/>
  <c r="L65" i="165"/>
  <c r="L65" i="190" s="1"/>
  <c r="K65" i="165"/>
  <c r="K65" i="190" s="1"/>
  <c r="I65" i="165"/>
  <c r="I65" i="190" s="1"/>
  <c r="H65" i="165"/>
  <c r="H65" i="190" s="1"/>
  <c r="G65" i="165"/>
  <c r="G65" i="190" s="1"/>
  <c r="J24" i="167"/>
  <c r="M24" i="167" s="1"/>
  <c r="J26" i="165"/>
  <c r="J26" i="190" s="1"/>
  <c r="E26" i="165"/>
  <c r="E26" i="190" s="1"/>
  <c r="N24" i="165"/>
  <c r="N24" i="190" s="1"/>
  <c r="M24" i="165"/>
  <c r="M24" i="190" s="1"/>
  <c r="L24" i="165"/>
  <c r="L24" i="190" s="1"/>
  <c r="K24" i="165"/>
  <c r="K24" i="190" s="1"/>
  <c r="I24" i="165"/>
  <c r="I24" i="190" s="1"/>
  <c r="H24" i="165"/>
  <c r="H24" i="190" s="1"/>
  <c r="G24" i="165"/>
  <c r="G24" i="190" s="1"/>
  <c r="F24" i="165"/>
  <c r="F24" i="190" s="1"/>
  <c r="I24" i="167" l="1"/>
  <c r="L24" i="167" s="1"/>
  <c r="H62" i="167"/>
  <c r="J67" i="165"/>
  <c r="J67" i="190" s="1"/>
  <c r="R278" i="165"/>
  <c r="P26" i="165"/>
  <c r="P26" i="190" s="1"/>
  <c r="H24" i="167"/>
  <c r="P67" i="165" l="1"/>
  <c r="P67" i="190" s="1"/>
  <c r="I62" i="167"/>
  <c r="G62" i="167" s="1"/>
  <c r="K24" i="167"/>
  <c r="G24" i="167"/>
  <c r="J299" i="184" l="1"/>
  <c r="R283" i="165" l="1"/>
  <c r="K283" i="184"/>
  <c r="D46" i="172" l="1"/>
  <c r="E47" i="172"/>
  <c r="E46" i="172" s="1"/>
  <c r="F46" i="172" s="1"/>
  <c r="E23" i="172"/>
  <c r="E22" i="172" s="1"/>
  <c r="D22" i="172"/>
  <c r="C42" i="172"/>
  <c r="F45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F36" i="172"/>
  <c r="E36" i="172"/>
  <c r="C36" i="172" s="1"/>
  <c r="F27" i="172"/>
  <c r="F26" i="172" s="1"/>
  <c r="F25" i="172" s="1"/>
  <c r="E27" i="172"/>
  <c r="E26" i="172" s="1"/>
  <c r="E25" i="172" s="1"/>
  <c r="J320" i="184" l="1"/>
  <c r="J319" i="184" s="1"/>
  <c r="J318" i="184"/>
  <c r="J313" i="184"/>
  <c r="J311" i="184"/>
  <c r="J306" i="184"/>
  <c r="L302" i="184"/>
  <c r="J302" i="184"/>
  <c r="I302" i="184"/>
  <c r="K301" i="184"/>
  <c r="I301" i="184"/>
  <c r="K294" i="184"/>
  <c r="I294" i="184"/>
  <c r="K293" i="184"/>
  <c r="I293" i="184"/>
  <c r="J292" i="184"/>
  <c r="R286" i="165" s="1"/>
  <c r="I292" i="184"/>
  <c r="K291" i="184"/>
  <c r="I291" i="184"/>
  <c r="K289" i="184"/>
  <c r="I289" i="184"/>
  <c r="K288" i="184"/>
  <c r="I288" i="184"/>
  <c r="I285" i="184"/>
  <c r="H284" i="184"/>
  <c r="K284" i="184" s="1"/>
  <c r="I283" i="184"/>
  <c r="K281" i="184"/>
  <c r="I281" i="184"/>
  <c r="K280" i="184"/>
  <c r="L278" i="184"/>
  <c r="J183" i="184"/>
  <c r="I179" i="184"/>
  <c r="I172" i="184"/>
  <c r="I167" i="184"/>
  <c r="K162" i="184"/>
  <c r="J160" i="184"/>
  <c r="J159" i="184"/>
  <c r="K159" i="184" s="1"/>
  <c r="I159" i="184"/>
  <c r="J158" i="184"/>
  <c r="J155" i="184"/>
  <c r="K154" i="184"/>
  <c r="I154" i="184"/>
  <c r="H150" i="184"/>
  <c r="I150" i="184" s="1"/>
  <c r="J144" i="184"/>
  <c r="J127" i="184"/>
  <c r="I125" i="184"/>
  <c r="K121" i="184"/>
  <c r="J115" i="184"/>
  <c r="K113" i="184"/>
  <c r="K111" i="184"/>
  <c r="I111" i="184"/>
  <c r="I110" i="184"/>
  <c r="I108" i="184"/>
  <c r="K107" i="184"/>
  <c r="I107" i="184"/>
  <c r="J90" i="184"/>
  <c r="I82" i="184"/>
  <c r="K81" i="184"/>
  <c r="K78" i="184"/>
  <c r="I78" i="184"/>
  <c r="K76" i="184"/>
  <c r="I76" i="184"/>
  <c r="J67" i="184"/>
  <c r="I59" i="184"/>
  <c r="K58" i="184"/>
  <c r="I58" i="184"/>
  <c r="K54" i="184"/>
  <c r="I54" i="184"/>
  <c r="K50" i="184"/>
  <c r="I50" i="184"/>
  <c r="H46" i="184"/>
  <c r="I46" i="184" s="1"/>
  <c r="K31" i="184"/>
  <c r="K26" i="184"/>
  <c r="I26" i="184"/>
  <c r="I25" i="184"/>
  <c r="I23" i="184"/>
  <c r="R19" i="165" l="1"/>
  <c r="J98" i="184"/>
  <c r="J21" i="184"/>
  <c r="J13" i="184"/>
  <c r="J12" i="184" s="1"/>
  <c r="J312" i="184"/>
  <c r="R72" i="165"/>
  <c r="R110" i="165"/>
  <c r="R47" i="165"/>
  <c r="R155" i="165"/>
  <c r="J152" i="184"/>
  <c r="J151" i="184" s="1"/>
  <c r="R204" i="165"/>
  <c r="J310" i="184"/>
  <c r="J309" i="184" s="1"/>
  <c r="I280" i="184"/>
  <c r="K285" i="184"/>
  <c r="K292" i="184"/>
  <c r="K302" i="184"/>
  <c r="M23" i="184"/>
  <c r="J317" i="184"/>
  <c r="J316" i="184" s="1"/>
  <c r="J182" i="184"/>
  <c r="J304" i="184"/>
  <c r="J303" i="184" s="1"/>
  <c r="R299" i="165"/>
  <c r="K46" i="184"/>
  <c r="J123" i="184"/>
  <c r="J122" i="184" s="1"/>
  <c r="I284" i="184"/>
  <c r="J195" i="184"/>
  <c r="J279" i="184"/>
  <c r="J164" i="184" l="1"/>
  <c r="J278" i="184"/>
  <c r="J97" i="184"/>
  <c r="J20" i="184"/>
  <c r="J181" i="184"/>
  <c r="J325" i="184"/>
  <c r="F35" i="172"/>
  <c r="F32" i="172" s="1"/>
  <c r="E35" i="172"/>
  <c r="E32" i="172" s="1"/>
  <c r="C40" i="172"/>
  <c r="C37" i="172" s="1"/>
  <c r="C28" i="172"/>
  <c r="C27" i="172"/>
  <c r="K287" i="165"/>
  <c r="K287" i="190" s="1"/>
  <c r="J328" i="184" l="1"/>
  <c r="R287" i="165"/>
  <c r="C26" i="172"/>
  <c r="C25" i="172" s="1"/>
  <c r="C35" i="172"/>
  <c r="C32" i="172" s="1"/>
  <c r="C31" i="172" s="1"/>
  <c r="N257" i="165"/>
  <c r="N257" i="190" s="1"/>
  <c r="M257" i="165"/>
  <c r="M257" i="190" s="1"/>
  <c r="L257" i="165"/>
  <c r="L257" i="190" s="1"/>
  <c r="I257" i="165"/>
  <c r="I257" i="190" s="1"/>
  <c r="H257" i="165"/>
  <c r="H257" i="190" s="1"/>
  <c r="G257" i="165"/>
  <c r="G257" i="190" s="1"/>
  <c r="H256" i="165" l="1"/>
  <c r="H256" i="190" s="1"/>
  <c r="L256" i="165"/>
  <c r="L256" i="190" s="1"/>
  <c r="I256" i="165"/>
  <c r="I256" i="190" s="1"/>
  <c r="M256" i="165"/>
  <c r="M256" i="190" s="1"/>
  <c r="G256" i="165"/>
  <c r="G256" i="190" s="1"/>
  <c r="N256" i="165"/>
  <c r="N256" i="190" s="1"/>
  <c r="J67" i="167" l="1"/>
  <c r="O73" i="165"/>
  <c r="O73" i="190" s="1"/>
  <c r="O337" i="165"/>
  <c r="O337" i="190" s="1"/>
  <c r="K182" i="165" l="1"/>
  <c r="K182" i="190" s="1"/>
  <c r="E73" i="165"/>
  <c r="E73" i="190" s="1"/>
  <c r="R185" i="165"/>
  <c r="J73" i="165"/>
  <c r="J73" i="190" s="1"/>
  <c r="E111" i="165"/>
  <c r="O111" i="165"/>
  <c r="J111" i="165" s="1"/>
  <c r="H67" i="167" l="1"/>
  <c r="R258" i="165"/>
  <c r="I67" i="167"/>
  <c r="K257" i="165"/>
  <c r="K257" i="190" s="1"/>
  <c r="P73" i="165"/>
  <c r="P73" i="190" s="1"/>
  <c r="P111" i="165"/>
  <c r="G67" i="167" l="1"/>
  <c r="K256" i="165"/>
  <c r="K256" i="190" s="1"/>
  <c r="G220" i="167"/>
  <c r="J219" i="167" l="1"/>
  <c r="F21" i="172" l="1"/>
  <c r="G246" i="167"/>
  <c r="G39" i="167" l="1"/>
  <c r="H22" i="167" l="1"/>
  <c r="J32" i="167"/>
  <c r="G37" i="167"/>
  <c r="G36" i="167"/>
  <c r="G35" i="167"/>
  <c r="G34" i="167"/>
  <c r="G33" i="167"/>
  <c r="K32" i="167"/>
  <c r="I32" i="167"/>
  <c r="M17" i="167"/>
  <c r="E40" i="165"/>
  <c r="E40" i="190" s="1"/>
  <c r="G245" i="167"/>
  <c r="O40" i="165" l="1"/>
  <c r="O40" i="190" s="1"/>
  <c r="M32" i="167"/>
  <c r="E75" i="170"/>
  <c r="J40" i="165" l="1"/>
  <c r="J40" i="190" s="1"/>
  <c r="F75" i="165"/>
  <c r="F75" i="190" s="1"/>
  <c r="P40" i="165" l="1"/>
  <c r="P40" i="190" s="1"/>
  <c r="L32" i="167"/>
  <c r="K53" i="165"/>
  <c r="K53" i="190" s="1"/>
  <c r="N51" i="165"/>
  <c r="N51" i="190" s="1"/>
  <c r="M51" i="165"/>
  <c r="M51" i="190" s="1"/>
  <c r="L51" i="165"/>
  <c r="L51" i="190" s="1"/>
  <c r="I51" i="165"/>
  <c r="I51" i="190" s="1"/>
  <c r="H51" i="165"/>
  <c r="H51" i="190" s="1"/>
  <c r="G51" i="165"/>
  <c r="G51" i="190" s="1"/>
  <c r="F51" i="165"/>
  <c r="F51" i="190" s="1"/>
  <c r="E53" i="165"/>
  <c r="E53" i="190" s="1"/>
  <c r="J179" i="167"/>
  <c r="O232" i="165"/>
  <c r="O232" i="190" s="1"/>
  <c r="E232" i="165"/>
  <c r="E232" i="190" s="1"/>
  <c r="R53" i="165" l="1"/>
  <c r="K51" i="165"/>
  <c r="K51" i="190" s="1"/>
  <c r="H179" i="167"/>
  <c r="E51" i="165"/>
  <c r="E51" i="190" s="1"/>
  <c r="O53" i="165"/>
  <c r="O53" i="190" s="1"/>
  <c r="H51" i="167"/>
  <c r="J232" i="165"/>
  <c r="J232" i="190" s="1"/>
  <c r="J51" i="167"/>
  <c r="J53" i="165" l="1"/>
  <c r="O51" i="165"/>
  <c r="O51" i="190" s="1"/>
  <c r="P232" i="165"/>
  <c r="P232" i="190" s="1"/>
  <c r="I179" i="167"/>
  <c r="G179" i="167" s="1"/>
  <c r="J51" i="165" l="1"/>
  <c r="J51" i="190" s="1"/>
  <c r="J53" i="190"/>
  <c r="P53" i="165"/>
  <c r="P53" i="190" s="1"/>
  <c r="I51" i="167"/>
  <c r="G51" i="167" s="1"/>
  <c r="P51" i="165" l="1"/>
  <c r="P51" i="190" s="1"/>
  <c r="J215" i="167"/>
  <c r="J213" i="167"/>
  <c r="N272" i="165" l="1"/>
  <c r="N272" i="190" s="1"/>
  <c r="M272" i="165"/>
  <c r="M272" i="190" s="1"/>
  <c r="L272" i="165"/>
  <c r="L272" i="190" s="1"/>
  <c r="K272" i="165"/>
  <c r="K272" i="190" s="1"/>
  <c r="I272" i="165"/>
  <c r="I272" i="190" s="1"/>
  <c r="G272" i="165"/>
  <c r="G272" i="190" s="1"/>
  <c r="O275" i="165"/>
  <c r="O275" i="190" s="1"/>
  <c r="E275" i="165"/>
  <c r="E275" i="190" s="1"/>
  <c r="O281" i="165"/>
  <c r="O281" i="190" s="1"/>
  <c r="E281" i="165"/>
  <c r="E281" i="190" s="1"/>
  <c r="J281" i="165" l="1"/>
  <c r="J281" i="190" s="1"/>
  <c r="H213" i="167"/>
  <c r="J275" i="165"/>
  <c r="J275" i="190" s="1"/>
  <c r="H215" i="167"/>
  <c r="K129" i="165"/>
  <c r="K129" i="190" s="1"/>
  <c r="K164" i="165"/>
  <c r="K164" i="190" s="1"/>
  <c r="N163" i="165"/>
  <c r="N163" i="190" s="1"/>
  <c r="M163" i="165"/>
  <c r="M163" i="190" s="1"/>
  <c r="L163" i="165"/>
  <c r="L163" i="190" s="1"/>
  <c r="I163" i="165"/>
  <c r="I163" i="190" s="1"/>
  <c r="H163" i="165"/>
  <c r="H163" i="190" s="1"/>
  <c r="G163" i="165"/>
  <c r="G163" i="190" s="1"/>
  <c r="F163" i="165"/>
  <c r="F163" i="190" s="1"/>
  <c r="G103" i="167"/>
  <c r="P281" i="165" l="1"/>
  <c r="P281" i="190" s="1"/>
  <c r="K163" i="165"/>
  <c r="K163" i="190" s="1"/>
  <c r="R164" i="165"/>
  <c r="R129" i="165"/>
  <c r="H162" i="165"/>
  <c r="H162" i="190" s="1"/>
  <c r="M162" i="165"/>
  <c r="M162" i="190" s="1"/>
  <c r="I162" i="165"/>
  <c r="I162" i="190" s="1"/>
  <c r="N162" i="165"/>
  <c r="N162" i="190" s="1"/>
  <c r="P275" i="165"/>
  <c r="P275" i="190" s="1"/>
  <c r="I213" i="167"/>
  <c r="F162" i="165"/>
  <c r="F162" i="190" s="1"/>
  <c r="O164" i="165"/>
  <c r="O164" i="190" s="1"/>
  <c r="J130" i="167"/>
  <c r="G162" i="165"/>
  <c r="G162" i="190" s="1"/>
  <c r="L162" i="165"/>
  <c r="L162" i="190" s="1"/>
  <c r="I215" i="167"/>
  <c r="G215" i="167" s="1"/>
  <c r="K162" i="165" l="1"/>
  <c r="K162" i="190" s="1"/>
  <c r="J164" i="165"/>
  <c r="J164" i="190" s="1"/>
  <c r="G213" i="167"/>
  <c r="O163" i="165"/>
  <c r="O163" i="190" s="1"/>
  <c r="J163" i="165" l="1"/>
  <c r="J163" i="190" s="1"/>
  <c r="I130" i="167"/>
  <c r="O162" i="165"/>
  <c r="O162" i="190" s="1"/>
  <c r="J112" i="167"/>
  <c r="O126" i="165"/>
  <c r="O126" i="190" s="1"/>
  <c r="E126" i="165"/>
  <c r="E126" i="190" s="1"/>
  <c r="J104" i="167"/>
  <c r="J105" i="167"/>
  <c r="N114" i="165"/>
  <c r="N114" i="190" s="1"/>
  <c r="M114" i="165"/>
  <c r="M114" i="190" s="1"/>
  <c r="L114" i="165"/>
  <c r="L114" i="190" s="1"/>
  <c r="I114" i="165"/>
  <c r="I114" i="190" s="1"/>
  <c r="G114" i="165"/>
  <c r="G114" i="190" s="1"/>
  <c r="J117" i="165"/>
  <c r="J117" i="190" s="1"/>
  <c r="E117" i="165"/>
  <c r="E117" i="190" s="1"/>
  <c r="J162" i="165" l="1"/>
  <c r="J162" i="190" s="1"/>
  <c r="I105" i="167"/>
  <c r="H112" i="167"/>
  <c r="J126" i="165"/>
  <c r="J126" i="190" s="1"/>
  <c r="K114" i="165"/>
  <c r="K114" i="190" s="1"/>
  <c r="P117" i="165"/>
  <c r="P117" i="190" s="1"/>
  <c r="H105" i="167"/>
  <c r="I112" i="167" l="1"/>
  <c r="G112" i="167" s="1"/>
  <c r="G105" i="167"/>
  <c r="P126" i="165"/>
  <c r="P126" i="190" s="1"/>
  <c r="F269" i="165"/>
  <c r="G269" i="165"/>
  <c r="H269" i="165"/>
  <c r="O258" i="165"/>
  <c r="O258" i="190" s="1"/>
  <c r="J183" i="167"/>
  <c r="O237" i="165"/>
  <c r="O237" i="190" s="1"/>
  <c r="E237" i="165"/>
  <c r="E237" i="190" s="1"/>
  <c r="F257" i="165" l="1"/>
  <c r="F257" i="190" s="1"/>
  <c r="O257" i="165"/>
  <c r="O257" i="190" s="1"/>
  <c r="H183" i="167"/>
  <c r="J237" i="165"/>
  <c r="J237" i="190" s="1"/>
  <c r="P237" i="165" l="1"/>
  <c r="P237" i="190" s="1"/>
  <c r="F256" i="165"/>
  <c r="F256" i="190" s="1"/>
  <c r="O256" i="165"/>
  <c r="O256" i="190" s="1"/>
  <c r="I183" i="167"/>
  <c r="G183" i="167" s="1"/>
  <c r="F114" i="165" l="1"/>
  <c r="F114" i="190" s="1"/>
  <c r="J149" i="167" l="1"/>
  <c r="O185" i="165" l="1"/>
  <c r="O185" i="190" s="1"/>
  <c r="E185" i="165"/>
  <c r="E185" i="190" s="1"/>
  <c r="L181" i="165"/>
  <c r="L181" i="190" s="1"/>
  <c r="F174" i="165"/>
  <c r="F174" i="190" s="1"/>
  <c r="K176" i="165"/>
  <c r="K176" i="190" s="1"/>
  <c r="K177" i="165"/>
  <c r="K177" i="190" s="1"/>
  <c r="G139" i="167"/>
  <c r="O182" i="165" l="1"/>
  <c r="O182" i="190" s="1"/>
  <c r="E182" i="165"/>
  <c r="E182" i="190" s="1"/>
  <c r="R177" i="165"/>
  <c r="R176" i="165"/>
  <c r="M181" i="165"/>
  <c r="M181" i="190" s="1"/>
  <c r="K181" i="165"/>
  <c r="K181" i="190" s="1"/>
  <c r="I181" i="165"/>
  <c r="I181" i="190" s="1"/>
  <c r="N181" i="165"/>
  <c r="N181" i="190" s="1"/>
  <c r="F181" i="165"/>
  <c r="F181" i="190" s="1"/>
  <c r="H149" i="167"/>
  <c r="G181" i="165"/>
  <c r="G181" i="190" s="1"/>
  <c r="H181" i="165"/>
  <c r="H181" i="190" s="1"/>
  <c r="J185" i="165"/>
  <c r="J185" i="190" s="1"/>
  <c r="J182" i="165" l="1"/>
  <c r="J182" i="190" s="1"/>
  <c r="E181" i="165"/>
  <c r="E181" i="190" s="1"/>
  <c r="O181" i="165"/>
  <c r="O181" i="190" s="1"/>
  <c r="I149" i="167"/>
  <c r="G149" i="167" s="1"/>
  <c r="P185" i="165"/>
  <c r="P185" i="190" s="1"/>
  <c r="P182" i="165" l="1"/>
  <c r="P182" i="190" s="1"/>
  <c r="J181" i="165"/>
  <c r="J181" i="190" s="1"/>
  <c r="K175" i="165"/>
  <c r="K175" i="190" s="1"/>
  <c r="R175" i="165" l="1"/>
  <c r="P181" i="165"/>
  <c r="P181" i="190" s="1"/>
  <c r="G258" i="167"/>
  <c r="J250" i="167"/>
  <c r="I250" i="167"/>
  <c r="K329" i="165"/>
  <c r="K329" i="190" s="1"/>
  <c r="J231" i="167"/>
  <c r="J230" i="167" s="1"/>
  <c r="I231" i="167"/>
  <c r="K303" i="165"/>
  <c r="K303" i="190" s="1"/>
  <c r="J172" i="167"/>
  <c r="I172" i="167"/>
  <c r="K225" i="165"/>
  <c r="K225" i="190" s="1"/>
  <c r="D25" i="108"/>
  <c r="D34" i="108" s="1"/>
  <c r="H243" i="167"/>
  <c r="R329" i="165" l="1"/>
  <c r="R303" i="165"/>
  <c r="R225" i="165"/>
  <c r="F272" i="165"/>
  <c r="F272" i="190" s="1"/>
  <c r="J28" i="167"/>
  <c r="J32" i="165" l="1"/>
  <c r="J32" i="190" s="1"/>
  <c r="J30" i="165"/>
  <c r="J30" i="190" s="1"/>
  <c r="O29" i="165"/>
  <c r="O29" i="190" s="1"/>
  <c r="L29" i="165"/>
  <c r="L29" i="190" s="1"/>
  <c r="F29" i="165"/>
  <c r="F29" i="190" s="1"/>
  <c r="N29" i="165"/>
  <c r="N29" i="190" s="1"/>
  <c r="M29" i="165"/>
  <c r="M29" i="190" s="1"/>
  <c r="K29" i="165"/>
  <c r="K29" i="190" s="1"/>
  <c r="I29" i="165"/>
  <c r="I29" i="190" s="1"/>
  <c r="H29" i="165"/>
  <c r="H29" i="190" s="1"/>
  <c r="G29" i="165"/>
  <c r="G29" i="190" s="1"/>
  <c r="E32" i="165"/>
  <c r="E32" i="190" s="1"/>
  <c r="I28" i="167" l="1"/>
  <c r="H28" i="167"/>
  <c r="J29" i="165"/>
  <c r="J29" i="190" s="1"/>
  <c r="P32" i="165"/>
  <c r="P32" i="190" s="1"/>
  <c r="J228" i="167"/>
  <c r="G28" i="167" l="1"/>
  <c r="O299" i="165"/>
  <c r="O299" i="190" s="1"/>
  <c r="E299" i="165"/>
  <c r="E299" i="190" s="1"/>
  <c r="N298" i="165"/>
  <c r="N298" i="190" s="1"/>
  <c r="M298" i="165"/>
  <c r="M298" i="190" s="1"/>
  <c r="L298" i="165"/>
  <c r="L298" i="190" s="1"/>
  <c r="K298" i="165"/>
  <c r="K298" i="190" s="1"/>
  <c r="I298" i="165"/>
  <c r="I298" i="190" s="1"/>
  <c r="H298" i="165"/>
  <c r="H298" i="190" s="1"/>
  <c r="G298" i="165"/>
  <c r="G298" i="190" s="1"/>
  <c r="F298" i="165"/>
  <c r="F298" i="190" s="1"/>
  <c r="L337" i="165"/>
  <c r="L337" i="190" s="1"/>
  <c r="L336" i="165"/>
  <c r="L336" i="190" s="1"/>
  <c r="L335" i="165"/>
  <c r="L335" i="190" s="1"/>
  <c r="L334" i="165"/>
  <c r="L334" i="190" s="1"/>
  <c r="F25" i="153"/>
  <c r="F17" i="153"/>
  <c r="F14" i="153"/>
  <c r="F13" i="153"/>
  <c r="L297" i="165" l="1"/>
  <c r="L297" i="190" s="1"/>
  <c r="N297" i="165"/>
  <c r="N297" i="190" s="1"/>
  <c r="H297" i="165"/>
  <c r="H297" i="190" s="1"/>
  <c r="M297" i="165"/>
  <c r="M297" i="190" s="1"/>
  <c r="F29" i="153"/>
  <c r="F297" i="165"/>
  <c r="F297" i="190" s="1"/>
  <c r="K297" i="165"/>
  <c r="K297" i="190" s="1"/>
  <c r="J299" i="165"/>
  <c r="J299" i="190" s="1"/>
  <c r="G297" i="165"/>
  <c r="G297" i="190" s="1"/>
  <c r="I297" i="165"/>
  <c r="I297" i="190" s="1"/>
  <c r="E298" i="165"/>
  <c r="E298" i="190" s="1"/>
  <c r="H228" i="167"/>
  <c r="O298" i="165"/>
  <c r="O298" i="190" s="1"/>
  <c r="J298" i="165" l="1"/>
  <c r="J298" i="190" s="1"/>
  <c r="P299" i="165"/>
  <c r="P299" i="190" s="1"/>
  <c r="E297" i="165"/>
  <c r="E297" i="190" s="1"/>
  <c r="O297" i="165"/>
  <c r="O297" i="190" s="1"/>
  <c r="I228" i="167"/>
  <c r="G228" i="167" s="1"/>
  <c r="J297" i="165" l="1"/>
  <c r="J297" i="190" s="1"/>
  <c r="P298" i="165"/>
  <c r="P298" i="190" s="1"/>
  <c r="P297" i="165" l="1"/>
  <c r="P297" i="190" s="1"/>
  <c r="J247" i="167" l="1"/>
  <c r="J238" i="167" s="1"/>
  <c r="O325" i="165" l="1"/>
  <c r="O325" i="190" s="1"/>
  <c r="E325" i="165"/>
  <c r="E325" i="190" s="1"/>
  <c r="N324" i="165"/>
  <c r="N324" i="190" s="1"/>
  <c r="M324" i="165"/>
  <c r="M324" i="190" s="1"/>
  <c r="L324" i="165"/>
  <c r="L324" i="190" s="1"/>
  <c r="K324" i="165"/>
  <c r="K324" i="190" s="1"/>
  <c r="I324" i="165"/>
  <c r="I324" i="190" s="1"/>
  <c r="H324" i="165"/>
  <c r="H324" i="190" s="1"/>
  <c r="G324" i="165"/>
  <c r="G324" i="190" s="1"/>
  <c r="F324" i="165"/>
  <c r="F324" i="190" s="1"/>
  <c r="F212" i="165"/>
  <c r="F212" i="190" s="1"/>
  <c r="G17" i="107"/>
  <c r="L195" i="165"/>
  <c r="L195" i="190" s="1"/>
  <c r="M323" i="165" l="1"/>
  <c r="M323" i="190" s="1"/>
  <c r="N323" i="165"/>
  <c r="N323" i="190" s="1"/>
  <c r="R218" i="165"/>
  <c r="H323" i="165"/>
  <c r="H323" i="190" s="1"/>
  <c r="I323" i="165"/>
  <c r="I323" i="190" s="1"/>
  <c r="F323" i="165"/>
  <c r="F323" i="190" s="1"/>
  <c r="K323" i="165"/>
  <c r="K323" i="190" s="1"/>
  <c r="H247" i="167"/>
  <c r="H238" i="167" s="1"/>
  <c r="G323" i="165"/>
  <c r="G323" i="190" s="1"/>
  <c r="L323" i="165"/>
  <c r="L323" i="190" s="1"/>
  <c r="J325" i="165"/>
  <c r="J325" i="190" s="1"/>
  <c r="O324" i="165"/>
  <c r="O324" i="190" s="1"/>
  <c r="E324" i="165"/>
  <c r="E324" i="190" s="1"/>
  <c r="E89" i="170" l="1"/>
  <c r="E323" i="165"/>
  <c r="E323" i="190" s="1"/>
  <c r="J324" i="165"/>
  <c r="J324" i="190" s="1"/>
  <c r="I247" i="167"/>
  <c r="I238" i="167" s="1"/>
  <c r="P325" i="165"/>
  <c r="P325" i="190" s="1"/>
  <c r="O323" i="165"/>
  <c r="O323" i="190" s="1"/>
  <c r="G247" i="167" l="1"/>
  <c r="P324" i="165"/>
  <c r="P324" i="190" s="1"/>
  <c r="J323" i="165"/>
  <c r="J323" i="190" s="1"/>
  <c r="P323" i="165" l="1"/>
  <c r="P323" i="190" s="1"/>
  <c r="J118" i="167" l="1"/>
  <c r="N134" i="165"/>
  <c r="N134" i="190" s="1"/>
  <c r="M134" i="165"/>
  <c r="M134" i="190" s="1"/>
  <c r="L134" i="165"/>
  <c r="L134" i="190" s="1"/>
  <c r="K134" i="165"/>
  <c r="K134" i="190" s="1"/>
  <c r="I134" i="165"/>
  <c r="I134" i="190" s="1"/>
  <c r="H134" i="165"/>
  <c r="H134" i="190" s="1"/>
  <c r="G134" i="165"/>
  <c r="G134" i="190" s="1"/>
  <c r="F134" i="165"/>
  <c r="F134" i="190" s="1"/>
  <c r="J113" i="167"/>
  <c r="J111" i="167"/>
  <c r="E134" i="165" l="1"/>
  <c r="E134" i="190" s="1"/>
  <c r="O134" i="165"/>
  <c r="O134" i="190" s="1"/>
  <c r="J134" i="165" l="1"/>
  <c r="J134" i="190" s="1"/>
  <c r="F18" i="165" l="1"/>
  <c r="F18" i="190" s="1"/>
  <c r="P134" i="165"/>
  <c r="P134" i="190" s="1"/>
  <c r="J195" i="167"/>
  <c r="G197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57" i="165"/>
  <c r="N357" i="190" s="1"/>
  <c r="M357" i="165"/>
  <c r="M357" i="190" s="1"/>
  <c r="L357" i="165"/>
  <c r="L357" i="190" s="1"/>
  <c r="K357" i="165"/>
  <c r="K357" i="190" s="1"/>
  <c r="I357" i="165"/>
  <c r="I357" i="190" s="1"/>
  <c r="H357" i="165"/>
  <c r="H357" i="190" s="1"/>
  <c r="G357" i="165"/>
  <c r="G357" i="190" s="1"/>
  <c r="F357" i="165"/>
  <c r="F357" i="190" s="1"/>
  <c r="N354" i="165"/>
  <c r="N354" i="190" s="1"/>
  <c r="M354" i="165"/>
  <c r="M354" i="190" s="1"/>
  <c r="L354" i="165"/>
  <c r="L354" i="190" s="1"/>
  <c r="K354" i="165"/>
  <c r="K354" i="190" s="1"/>
  <c r="I354" i="165"/>
  <c r="I354" i="190" s="1"/>
  <c r="H354" i="165"/>
  <c r="H354" i="190" s="1"/>
  <c r="G354" i="165"/>
  <c r="G354" i="190" s="1"/>
  <c r="O353" i="165"/>
  <c r="O353" i="190" s="1"/>
  <c r="N349" i="165"/>
  <c r="N349" i="190" s="1"/>
  <c r="M349" i="165"/>
  <c r="M349" i="190" s="1"/>
  <c r="L349" i="165"/>
  <c r="L349" i="190" s="1"/>
  <c r="K349" i="165"/>
  <c r="K349" i="190" s="1"/>
  <c r="I349" i="165"/>
  <c r="I349" i="190" s="1"/>
  <c r="G349" i="165"/>
  <c r="G349" i="190" s="1"/>
  <c r="O343" i="165"/>
  <c r="O343" i="190" s="1"/>
  <c r="N343" i="165"/>
  <c r="N343" i="190" s="1"/>
  <c r="M343" i="165"/>
  <c r="M343" i="190" s="1"/>
  <c r="L343" i="165"/>
  <c r="L343" i="190" s="1"/>
  <c r="K343" i="165"/>
  <c r="K343" i="190" s="1"/>
  <c r="I343" i="165"/>
  <c r="I343" i="190" s="1"/>
  <c r="H343" i="165"/>
  <c r="H343" i="190" s="1"/>
  <c r="G343" i="165"/>
  <c r="G343" i="190" s="1"/>
  <c r="F343" i="165"/>
  <c r="F343" i="190" s="1"/>
  <c r="N345" i="165"/>
  <c r="N345" i="190" s="1"/>
  <c r="M345" i="165"/>
  <c r="M345" i="190" s="1"/>
  <c r="L345" i="165"/>
  <c r="L345" i="190" s="1"/>
  <c r="K345" i="165"/>
  <c r="K345" i="190" s="1"/>
  <c r="I345" i="165"/>
  <c r="I345" i="190" s="1"/>
  <c r="H345" i="165"/>
  <c r="H345" i="190" s="1"/>
  <c r="G345" i="165"/>
  <c r="G345" i="190" s="1"/>
  <c r="F345" i="165"/>
  <c r="F345" i="190" s="1"/>
  <c r="N340" i="165"/>
  <c r="N340" i="190" s="1"/>
  <c r="M340" i="165"/>
  <c r="M340" i="190" s="1"/>
  <c r="L340" i="165"/>
  <c r="L340" i="190" s="1"/>
  <c r="K340" i="165"/>
  <c r="K340" i="190" s="1"/>
  <c r="I340" i="165"/>
  <c r="I340" i="190" s="1"/>
  <c r="G340" i="165"/>
  <c r="G340" i="190" s="1"/>
  <c r="F340" i="165"/>
  <c r="F340" i="190" s="1"/>
  <c r="N333" i="165"/>
  <c r="N333" i="190" s="1"/>
  <c r="M333" i="165"/>
  <c r="M333" i="190" s="1"/>
  <c r="L333" i="165"/>
  <c r="L333" i="190" s="1"/>
  <c r="K333" i="165"/>
  <c r="K333" i="190" s="1"/>
  <c r="I333" i="165"/>
  <c r="I333" i="190" s="1"/>
  <c r="H333" i="165"/>
  <c r="H333" i="190" s="1"/>
  <c r="G333" i="165"/>
  <c r="G333" i="190" s="1"/>
  <c r="F333" i="165"/>
  <c r="F333" i="190" s="1"/>
  <c r="N328" i="165"/>
  <c r="N328" i="190" s="1"/>
  <c r="M328" i="165"/>
  <c r="M328" i="190" s="1"/>
  <c r="L328" i="165"/>
  <c r="L328" i="190" s="1"/>
  <c r="K328" i="165"/>
  <c r="K328" i="190" s="1"/>
  <c r="I328" i="165"/>
  <c r="I328" i="190" s="1"/>
  <c r="G328" i="165"/>
  <c r="G328" i="190" s="1"/>
  <c r="N61" i="165"/>
  <c r="N61" i="190" s="1"/>
  <c r="M61" i="165"/>
  <c r="M61" i="190" s="1"/>
  <c r="L61" i="165"/>
  <c r="L61" i="190" s="1"/>
  <c r="K61" i="165"/>
  <c r="K61" i="190" s="1"/>
  <c r="I61" i="165"/>
  <c r="I61" i="190" s="1"/>
  <c r="M58" i="165"/>
  <c r="M58" i="190" s="1"/>
  <c r="K58" i="165"/>
  <c r="K58" i="190" s="1"/>
  <c r="I58" i="165"/>
  <c r="I58" i="190" s="1"/>
  <c r="M55" i="165"/>
  <c r="M55" i="190" s="1"/>
  <c r="K55" i="165"/>
  <c r="K55" i="190" s="1"/>
  <c r="I55" i="165"/>
  <c r="I55" i="190" s="1"/>
  <c r="N49" i="165"/>
  <c r="N49" i="190" s="1"/>
  <c r="M49" i="165"/>
  <c r="M49" i="190" s="1"/>
  <c r="L49" i="165"/>
  <c r="L49" i="190" s="1"/>
  <c r="K49" i="165"/>
  <c r="K49" i="190" s="1"/>
  <c r="I49" i="165"/>
  <c r="I49" i="190" s="1"/>
  <c r="H49" i="165"/>
  <c r="H49" i="190" s="1"/>
  <c r="N321" i="165"/>
  <c r="N321" i="190" s="1"/>
  <c r="M321" i="165"/>
  <c r="M321" i="190" s="1"/>
  <c r="L321" i="165"/>
  <c r="L321" i="190" s="1"/>
  <c r="I321" i="165"/>
  <c r="I321" i="190" s="1"/>
  <c r="H321" i="165"/>
  <c r="H321" i="190" s="1"/>
  <c r="G321" i="165"/>
  <c r="G321" i="190" s="1"/>
  <c r="N310" i="165"/>
  <c r="N310" i="190" s="1"/>
  <c r="M310" i="165"/>
  <c r="M310" i="190" s="1"/>
  <c r="L310" i="165"/>
  <c r="L310" i="190" s="1"/>
  <c r="K310" i="165"/>
  <c r="K310" i="190" s="1"/>
  <c r="I310" i="165"/>
  <c r="I310" i="190" s="1"/>
  <c r="H310" i="165"/>
  <c r="H310" i="190" s="1"/>
  <c r="G310" i="165"/>
  <c r="G310" i="190" s="1"/>
  <c r="F310" i="165"/>
  <c r="F310" i="190" s="1"/>
  <c r="N302" i="165"/>
  <c r="N302" i="190" s="1"/>
  <c r="M302" i="165"/>
  <c r="M302" i="190" s="1"/>
  <c r="L302" i="165"/>
  <c r="L302" i="190" s="1"/>
  <c r="K302" i="165"/>
  <c r="K302" i="190" s="1"/>
  <c r="I302" i="165"/>
  <c r="I302" i="190" s="1"/>
  <c r="G302" i="165"/>
  <c r="G302" i="190" s="1"/>
  <c r="N294" i="165"/>
  <c r="N294" i="190" s="1"/>
  <c r="N293" i="190" s="1"/>
  <c r="N292" i="190" s="1"/>
  <c r="M294" i="165"/>
  <c r="M294" i="190" s="1"/>
  <c r="M293" i="190" s="1"/>
  <c r="M292" i="190" s="1"/>
  <c r="L294" i="165"/>
  <c r="L294" i="190" s="1"/>
  <c r="L293" i="190" s="1"/>
  <c r="K294" i="165"/>
  <c r="K294" i="190" s="1"/>
  <c r="K293" i="190" s="1"/>
  <c r="K292" i="190" s="1"/>
  <c r="I294" i="165"/>
  <c r="I294" i="190" s="1"/>
  <c r="I293" i="190" s="1"/>
  <c r="I292" i="190" s="1"/>
  <c r="G294" i="165"/>
  <c r="G294" i="190" s="1"/>
  <c r="G293" i="190" s="1"/>
  <c r="G292" i="190" s="1"/>
  <c r="N282" i="165"/>
  <c r="N282" i="190" s="1"/>
  <c r="M282" i="165"/>
  <c r="M282" i="190" s="1"/>
  <c r="L282" i="165"/>
  <c r="L282" i="190" s="1"/>
  <c r="K282" i="165"/>
  <c r="K282" i="190" s="1"/>
  <c r="I282" i="165"/>
  <c r="I282" i="190" s="1"/>
  <c r="H282" i="165"/>
  <c r="H282" i="190" s="1"/>
  <c r="G282" i="165"/>
  <c r="G282" i="190" s="1"/>
  <c r="F282" i="165"/>
  <c r="F282" i="190" s="1"/>
  <c r="N277" i="165"/>
  <c r="N277" i="190" s="1"/>
  <c r="M277" i="165"/>
  <c r="M277" i="190" s="1"/>
  <c r="L277" i="165"/>
  <c r="L277" i="190" s="1"/>
  <c r="I277" i="165"/>
  <c r="I277" i="190" s="1"/>
  <c r="H277" i="165"/>
  <c r="H277" i="190" s="1"/>
  <c r="G277" i="165"/>
  <c r="G277" i="190" s="1"/>
  <c r="F277" i="165"/>
  <c r="F277" i="190" s="1"/>
  <c r="L292" i="190" l="1"/>
  <c r="L348" i="190"/>
  <c r="G307" i="165"/>
  <c r="G307" i="190" s="1"/>
  <c r="H307" i="165"/>
  <c r="H307" i="190" s="1"/>
  <c r="I307" i="165"/>
  <c r="I307" i="190" s="1"/>
  <c r="K307" i="165"/>
  <c r="K307" i="190" s="1"/>
  <c r="L307" i="165"/>
  <c r="L307" i="190" s="1"/>
  <c r="M307" i="165"/>
  <c r="M307" i="190" s="1"/>
  <c r="N307" i="165"/>
  <c r="N307" i="190" s="1"/>
  <c r="F307" i="165"/>
  <c r="F307" i="190" s="1"/>
  <c r="L356" i="165"/>
  <c r="L356" i="190" s="1"/>
  <c r="G356" i="165"/>
  <c r="G356" i="190" s="1"/>
  <c r="K43" i="165"/>
  <c r="K43" i="190" s="1"/>
  <c r="I43" i="165"/>
  <c r="I43" i="190" s="1"/>
  <c r="M293" i="165"/>
  <c r="G318" i="165"/>
  <c r="G318" i="190" s="1"/>
  <c r="M318" i="165"/>
  <c r="M318" i="190" s="1"/>
  <c r="F332" i="165"/>
  <c r="F332" i="190" s="1"/>
  <c r="K332" i="165"/>
  <c r="K332" i="190" s="1"/>
  <c r="K352" i="165"/>
  <c r="K352" i="190" s="1"/>
  <c r="K348" i="190" s="1"/>
  <c r="K347" i="190" s="1"/>
  <c r="H356" i="165"/>
  <c r="H356" i="190" s="1"/>
  <c r="M356" i="165"/>
  <c r="M356" i="190" s="1"/>
  <c r="G276" i="165"/>
  <c r="G276" i="190" s="1"/>
  <c r="I276" i="165"/>
  <c r="I276" i="190" s="1"/>
  <c r="F280" i="165"/>
  <c r="F280" i="190" s="1"/>
  <c r="G293" i="165"/>
  <c r="F276" i="165"/>
  <c r="F276" i="190" s="1"/>
  <c r="L276" i="165"/>
  <c r="L276" i="190" s="1"/>
  <c r="G280" i="165"/>
  <c r="G280" i="190" s="1"/>
  <c r="L280" i="165"/>
  <c r="L280" i="190" s="1"/>
  <c r="I293" i="165"/>
  <c r="N293" i="165"/>
  <c r="H318" i="165"/>
  <c r="H318" i="190" s="1"/>
  <c r="N318" i="165"/>
  <c r="N318" i="190" s="1"/>
  <c r="G332" i="165"/>
  <c r="G332" i="190" s="1"/>
  <c r="L332" i="165"/>
  <c r="L332" i="190" s="1"/>
  <c r="G352" i="165"/>
  <c r="G352" i="190" s="1"/>
  <c r="G348" i="190" s="1"/>
  <c r="G347" i="190" s="1"/>
  <c r="L352" i="165"/>
  <c r="L352" i="190" s="1"/>
  <c r="I356" i="165"/>
  <c r="I356" i="190" s="1"/>
  <c r="N356" i="165"/>
  <c r="N356" i="190" s="1"/>
  <c r="M276" i="165"/>
  <c r="M276" i="190" s="1"/>
  <c r="M280" i="165"/>
  <c r="M280" i="190" s="1"/>
  <c r="K293" i="165"/>
  <c r="I318" i="165"/>
  <c r="I318" i="190" s="1"/>
  <c r="H332" i="165"/>
  <c r="H332" i="190" s="1"/>
  <c r="M332" i="165"/>
  <c r="M332" i="190" s="1"/>
  <c r="J353" i="165"/>
  <c r="J353" i="190" s="1"/>
  <c r="H352" i="165"/>
  <c r="H352" i="190" s="1"/>
  <c r="M352" i="165"/>
  <c r="M352" i="190" s="1"/>
  <c r="M348" i="190" s="1"/>
  <c r="M347" i="190" s="1"/>
  <c r="F356" i="165"/>
  <c r="F356" i="190" s="1"/>
  <c r="K356" i="165"/>
  <c r="K356" i="190" s="1"/>
  <c r="H280" i="165"/>
  <c r="H280" i="190" s="1"/>
  <c r="H276" i="165"/>
  <c r="H276" i="190" s="1"/>
  <c r="N276" i="165"/>
  <c r="N276" i="190" s="1"/>
  <c r="I280" i="165"/>
  <c r="I280" i="190" s="1"/>
  <c r="N280" i="165"/>
  <c r="N280" i="190" s="1"/>
  <c r="L293" i="165"/>
  <c r="L318" i="165"/>
  <c r="L318" i="190" s="1"/>
  <c r="I332" i="165"/>
  <c r="I332" i="190" s="1"/>
  <c r="N332" i="165"/>
  <c r="N332" i="190" s="1"/>
  <c r="I352" i="165"/>
  <c r="I352" i="190" s="1"/>
  <c r="I348" i="190" s="1"/>
  <c r="I347" i="190" s="1"/>
  <c r="N352" i="165"/>
  <c r="N352" i="190" s="1"/>
  <c r="N348" i="190" s="1"/>
  <c r="N347" i="190" s="1"/>
  <c r="K280" i="165"/>
  <c r="K280" i="190" s="1"/>
  <c r="H342" i="165"/>
  <c r="H342" i="190" s="1"/>
  <c r="K342" i="165"/>
  <c r="K342" i="190" s="1"/>
  <c r="K339" i="190" s="1"/>
  <c r="K338" i="190" s="1"/>
  <c r="G342" i="165"/>
  <c r="G342" i="190" s="1"/>
  <c r="G339" i="190" s="1"/>
  <c r="G338" i="190" s="1"/>
  <c r="L342" i="165"/>
  <c r="L342" i="190" s="1"/>
  <c r="L339" i="190" s="1"/>
  <c r="I342" i="165"/>
  <c r="I342" i="190" s="1"/>
  <c r="I339" i="190" s="1"/>
  <c r="I338" i="190" s="1"/>
  <c r="M342" i="165"/>
  <c r="M342" i="190" s="1"/>
  <c r="M339" i="190" s="1"/>
  <c r="M338" i="190" s="1"/>
  <c r="F342" i="165"/>
  <c r="F342" i="190" s="1"/>
  <c r="F339" i="190" s="1"/>
  <c r="F338" i="190" s="1"/>
  <c r="N342" i="165"/>
  <c r="N342" i="190" s="1"/>
  <c r="N339" i="190" s="1"/>
  <c r="N338" i="190" s="1"/>
  <c r="N266" i="165"/>
  <c r="N266" i="190" s="1"/>
  <c r="M266" i="165"/>
  <c r="M266" i="190" s="1"/>
  <c r="L266" i="165"/>
  <c r="L266" i="190" s="1"/>
  <c r="K266" i="165"/>
  <c r="K266" i="190" s="1"/>
  <c r="I266" i="165"/>
  <c r="I266" i="190" s="1"/>
  <c r="F266" i="165"/>
  <c r="F266" i="190" s="1"/>
  <c r="N262" i="165"/>
  <c r="N262" i="190" s="1"/>
  <c r="M262" i="165"/>
  <c r="M262" i="190" s="1"/>
  <c r="L262" i="165"/>
  <c r="L262" i="190" s="1"/>
  <c r="K262" i="165"/>
  <c r="K262" i="190" s="1"/>
  <c r="I262" i="165"/>
  <c r="I262" i="190" s="1"/>
  <c r="H262" i="165"/>
  <c r="H262" i="190" s="1"/>
  <c r="G262" i="165"/>
  <c r="G262" i="190" s="1"/>
  <c r="F262" i="165"/>
  <c r="F262" i="190" s="1"/>
  <c r="E262" i="165"/>
  <c r="E262" i="190" s="1"/>
  <c r="N254" i="165"/>
  <c r="N254" i="190" s="1"/>
  <c r="M254" i="165"/>
  <c r="M254" i="190" s="1"/>
  <c r="L254" i="165"/>
  <c r="L254" i="190" s="1"/>
  <c r="K254" i="165"/>
  <c r="K254" i="190" s="1"/>
  <c r="I254" i="165"/>
  <c r="I254" i="190" s="1"/>
  <c r="H254" i="165"/>
  <c r="H254" i="190" s="1"/>
  <c r="G254" i="165"/>
  <c r="G254" i="190" s="1"/>
  <c r="F254" i="165"/>
  <c r="F254" i="190" s="1"/>
  <c r="N248" i="165"/>
  <c r="N248" i="190" s="1"/>
  <c r="M248" i="165"/>
  <c r="M248" i="190" s="1"/>
  <c r="L248" i="165"/>
  <c r="L248" i="190" s="1"/>
  <c r="K248" i="165"/>
  <c r="K248" i="190" s="1"/>
  <c r="I248" i="165"/>
  <c r="I248" i="190" s="1"/>
  <c r="H248" i="165"/>
  <c r="H248" i="190" s="1"/>
  <c r="G248" i="165"/>
  <c r="G248" i="190" s="1"/>
  <c r="F248" i="165"/>
  <c r="F248" i="190" s="1"/>
  <c r="N243" i="165"/>
  <c r="N243" i="190" s="1"/>
  <c r="M243" i="165"/>
  <c r="M243" i="190" s="1"/>
  <c r="L243" i="165"/>
  <c r="L243" i="190" s="1"/>
  <c r="K243" i="165"/>
  <c r="K243" i="190" s="1"/>
  <c r="I243" i="165"/>
  <c r="I243" i="190" s="1"/>
  <c r="G243" i="165"/>
  <c r="G243" i="190" s="1"/>
  <c r="N238" i="165"/>
  <c r="N238" i="190" s="1"/>
  <c r="M238" i="165"/>
  <c r="M238" i="190" s="1"/>
  <c r="L238" i="165"/>
  <c r="L238" i="190" s="1"/>
  <c r="K238" i="165"/>
  <c r="K238" i="190" s="1"/>
  <c r="I238" i="165"/>
  <c r="I238" i="190" s="1"/>
  <c r="H238" i="165"/>
  <c r="H238" i="190" s="1"/>
  <c r="G238" i="165"/>
  <c r="G238" i="190" s="1"/>
  <c r="F238" i="165"/>
  <c r="F238" i="190" s="1"/>
  <c r="N228" i="165"/>
  <c r="N228" i="190" s="1"/>
  <c r="M228" i="165"/>
  <c r="M228" i="190" s="1"/>
  <c r="L228" i="165"/>
  <c r="L228" i="190" s="1"/>
  <c r="I228" i="165"/>
  <c r="I228" i="190" s="1"/>
  <c r="H228" i="165"/>
  <c r="H228" i="190" s="1"/>
  <c r="G228" i="165"/>
  <c r="G228" i="190" s="1"/>
  <c r="F228" i="165"/>
  <c r="F228" i="190" s="1"/>
  <c r="N224" i="165"/>
  <c r="N224" i="190" s="1"/>
  <c r="M224" i="165"/>
  <c r="M224" i="190" s="1"/>
  <c r="L224" i="165"/>
  <c r="L224" i="190" s="1"/>
  <c r="K224" i="165"/>
  <c r="K224" i="190" s="1"/>
  <c r="I224" i="165"/>
  <c r="I224" i="190" s="1"/>
  <c r="G224" i="165"/>
  <c r="G224" i="190" s="1"/>
  <c r="N217" i="165"/>
  <c r="N217" i="190" s="1"/>
  <c r="M217" i="165"/>
  <c r="M217" i="190" s="1"/>
  <c r="L217" i="165"/>
  <c r="L217" i="190" s="1"/>
  <c r="K217" i="165"/>
  <c r="K217" i="190" s="1"/>
  <c r="I217" i="165"/>
  <c r="I217" i="190" s="1"/>
  <c r="H217" i="165"/>
  <c r="H217" i="190" s="1"/>
  <c r="G217" i="165"/>
  <c r="G217" i="190" s="1"/>
  <c r="F217" i="165"/>
  <c r="F217" i="190" s="1"/>
  <c r="N211" i="165"/>
  <c r="M211" i="165"/>
  <c r="M211" i="190" s="1"/>
  <c r="L211" i="165"/>
  <c r="L211" i="190" s="1"/>
  <c r="K211" i="165"/>
  <c r="K211" i="190" s="1"/>
  <c r="I211" i="165"/>
  <c r="I211" i="190" s="1"/>
  <c r="H211" i="165"/>
  <c r="H211" i="190" s="1"/>
  <c r="G211" i="165"/>
  <c r="G211" i="190" s="1"/>
  <c r="F211" i="165"/>
  <c r="F211" i="190" s="1"/>
  <c r="N206" i="165"/>
  <c r="N206" i="190" s="1"/>
  <c r="M206" i="165"/>
  <c r="M206" i="190" s="1"/>
  <c r="L206" i="165"/>
  <c r="L206" i="190" s="1"/>
  <c r="I206" i="165"/>
  <c r="I206" i="190" s="1"/>
  <c r="H206" i="165"/>
  <c r="H206" i="190" s="1"/>
  <c r="G206" i="165"/>
  <c r="G206" i="190" s="1"/>
  <c r="M203" i="165"/>
  <c r="M203" i="190" s="1"/>
  <c r="I203" i="165"/>
  <c r="I203" i="190" s="1"/>
  <c r="G203" i="165"/>
  <c r="G203" i="190" s="1"/>
  <c r="N201" i="165"/>
  <c r="N201" i="190" s="1"/>
  <c r="M201" i="165"/>
  <c r="M201" i="190" s="1"/>
  <c r="L201" i="165"/>
  <c r="L201" i="190" s="1"/>
  <c r="K201" i="165"/>
  <c r="K201" i="190" s="1"/>
  <c r="I201" i="165"/>
  <c r="I201" i="190" s="1"/>
  <c r="H201" i="165"/>
  <c r="H201" i="190" s="1"/>
  <c r="G201" i="165"/>
  <c r="G201" i="190" s="1"/>
  <c r="N198" i="165"/>
  <c r="N198" i="190" s="1"/>
  <c r="M198" i="165"/>
  <c r="M198" i="190" s="1"/>
  <c r="L198" i="165"/>
  <c r="L198" i="190" s="1"/>
  <c r="K198" i="165"/>
  <c r="K198" i="190" s="1"/>
  <c r="I198" i="165"/>
  <c r="I198" i="190" s="1"/>
  <c r="H198" i="165"/>
  <c r="H198" i="190" s="1"/>
  <c r="G198" i="165"/>
  <c r="G198" i="190" s="1"/>
  <c r="M194" i="165"/>
  <c r="M194" i="190" s="1"/>
  <c r="I194" i="165"/>
  <c r="I194" i="190" s="1"/>
  <c r="G194" i="165"/>
  <c r="G194" i="190" s="1"/>
  <c r="N192" i="165"/>
  <c r="N192" i="190" s="1"/>
  <c r="M192" i="165"/>
  <c r="M192" i="190" s="1"/>
  <c r="L192" i="165"/>
  <c r="L192" i="190" s="1"/>
  <c r="K192" i="165"/>
  <c r="K192" i="190" s="1"/>
  <c r="I192" i="165"/>
  <c r="I192" i="190" s="1"/>
  <c r="G192" i="165"/>
  <c r="G192" i="190" s="1"/>
  <c r="N187" i="165"/>
  <c r="N187" i="190" s="1"/>
  <c r="M187" i="165"/>
  <c r="M187" i="190" s="1"/>
  <c r="L187" i="165"/>
  <c r="L187" i="190" s="1"/>
  <c r="K187" i="165"/>
  <c r="K187" i="190" s="1"/>
  <c r="I187" i="165"/>
  <c r="I187" i="190" s="1"/>
  <c r="H187" i="165"/>
  <c r="H187" i="190" s="1"/>
  <c r="G187" i="165"/>
  <c r="G187" i="190" s="1"/>
  <c r="F187" i="165"/>
  <c r="F187" i="190" s="1"/>
  <c r="N178" i="165"/>
  <c r="N178" i="190" s="1"/>
  <c r="M178" i="165"/>
  <c r="M178" i="190" s="1"/>
  <c r="K178" i="165"/>
  <c r="K178" i="190" s="1"/>
  <c r="I178" i="165"/>
  <c r="I178" i="190" s="1"/>
  <c r="G178" i="165"/>
  <c r="G178" i="190" s="1"/>
  <c r="M171" i="165"/>
  <c r="M171" i="190" s="1"/>
  <c r="K171" i="165"/>
  <c r="K171" i="190" s="1"/>
  <c r="I171" i="165"/>
  <c r="I171" i="190" s="1"/>
  <c r="N166" i="165"/>
  <c r="N166" i="190" s="1"/>
  <c r="M166" i="165"/>
  <c r="M166" i="190" s="1"/>
  <c r="L166" i="165"/>
  <c r="L166" i="190" s="1"/>
  <c r="K166" i="165"/>
  <c r="K166" i="190" s="1"/>
  <c r="I166" i="165"/>
  <c r="I166" i="190" s="1"/>
  <c r="H166" i="165"/>
  <c r="H166" i="190" s="1"/>
  <c r="G166" i="165"/>
  <c r="G166" i="190" s="1"/>
  <c r="F166" i="165"/>
  <c r="F166" i="190" s="1"/>
  <c r="M154" i="165"/>
  <c r="M154" i="190" s="1"/>
  <c r="I154" i="165"/>
  <c r="I154" i="190" s="1"/>
  <c r="N137" i="165"/>
  <c r="N137" i="190" s="1"/>
  <c r="M137" i="165"/>
  <c r="M137" i="190" s="1"/>
  <c r="L137" i="165"/>
  <c r="L137" i="190" s="1"/>
  <c r="K137" i="165"/>
  <c r="K137" i="190" s="1"/>
  <c r="I137" i="165"/>
  <c r="I137" i="190" s="1"/>
  <c r="H137" i="165"/>
  <c r="H137" i="190" s="1"/>
  <c r="G137" i="165"/>
  <c r="G137" i="190" s="1"/>
  <c r="M128" i="165"/>
  <c r="M128" i="190" s="1"/>
  <c r="K128" i="165"/>
  <c r="K128" i="190" s="1"/>
  <c r="I128" i="165"/>
  <c r="I128" i="190" s="1"/>
  <c r="F128" i="165"/>
  <c r="F128" i="190" s="1"/>
  <c r="N119" i="165"/>
  <c r="N119" i="190" s="1"/>
  <c r="M119" i="165"/>
  <c r="M119" i="190" s="1"/>
  <c r="L119" i="165"/>
  <c r="L119" i="190" s="1"/>
  <c r="K119" i="165"/>
  <c r="K119" i="190" s="1"/>
  <c r="I119" i="165"/>
  <c r="I119" i="190" s="1"/>
  <c r="H119" i="165"/>
  <c r="H119" i="190" s="1"/>
  <c r="G119" i="165"/>
  <c r="G119" i="190" s="1"/>
  <c r="L338" i="190" l="1"/>
  <c r="L347" i="190"/>
  <c r="G271" i="190"/>
  <c r="G270" i="190" s="1"/>
  <c r="N210" i="165"/>
  <c r="N210" i="190" s="1"/>
  <c r="N211" i="190"/>
  <c r="M170" i="190"/>
  <c r="M169" i="190" s="1"/>
  <c r="I213" i="165"/>
  <c r="I213" i="190" s="1"/>
  <c r="L348" i="165"/>
  <c r="K213" i="165"/>
  <c r="K213" i="190" s="1"/>
  <c r="L213" i="165"/>
  <c r="L213" i="190" s="1"/>
  <c r="M213" i="165"/>
  <c r="M213" i="190" s="1"/>
  <c r="N213" i="165"/>
  <c r="N213" i="190" s="1"/>
  <c r="M118" i="165"/>
  <c r="M118" i="190" s="1"/>
  <c r="F213" i="165"/>
  <c r="F213" i="190" s="1"/>
  <c r="G213" i="165"/>
  <c r="G213" i="190" s="1"/>
  <c r="H213" i="165"/>
  <c r="H213" i="190" s="1"/>
  <c r="I118" i="165"/>
  <c r="I118" i="190" s="1"/>
  <c r="M348" i="165"/>
  <c r="N279" i="165"/>
  <c r="N279" i="190" s="1"/>
  <c r="N271" i="190" s="1"/>
  <c r="N270" i="190" s="1"/>
  <c r="H279" i="165"/>
  <c r="H279" i="190" s="1"/>
  <c r="I315" i="165"/>
  <c r="I315" i="190" s="1"/>
  <c r="I314" i="190" s="1"/>
  <c r="I313" i="190" s="1"/>
  <c r="M315" i="165"/>
  <c r="M315" i="190" s="1"/>
  <c r="M314" i="190" s="1"/>
  <c r="M313" i="190" s="1"/>
  <c r="K279" i="165"/>
  <c r="K279" i="190" s="1"/>
  <c r="I279" i="165"/>
  <c r="I279" i="190" s="1"/>
  <c r="I271" i="190" s="1"/>
  <c r="I270" i="190" s="1"/>
  <c r="G315" i="165"/>
  <c r="G315" i="190" s="1"/>
  <c r="G314" i="190" s="1"/>
  <c r="G313" i="190" s="1"/>
  <c r="L315" i="165"/>
  <c r="L315" i="190" s="1"/>
  <c r="L314" i="190" s="1"/>
  <c r="M279" i="165"/>
  <c r="M279" i="190" s="1"/>
  <c r="M271" i="190" s="1"/>
  <c r="M270" i="190" s="1"/>
  <c r="N315" i="165"/>
  <c r="N315" i="190" s="1"/>
  <c r="N314" i="190" s="1"/>
  <c r="N313" i="190" s="1"/>
  <c r="L279" i="165"/>
  <c r="L279" i="190" s="1"/>
  <c r="L271" i="190" s="1"/>
  <c r="H315" i="165"/>
  <c r="H315" i="190" s="1"/>
  <c r="H314" i="190" s="1"/>
  <c r="H313" i="190" s="1"/>
  <c r="G279" i="165"/>
  <c r="G279" i="190" s="1"/>
  <c r="F279" i="165"/>
  <c r="F279" i="190" s="1"/>
  <c r="F271" i="190" s="1"/>
  <c r="F270" i="190" s="1"/>
  <c r="K348" i="165"/>
  <c r="R348" i="165" s="1"/>
  <c r="G348" i="165"/>
  <c r="F157" i="165"/>
  <c r="F157" i="190" s="1"/>
  <c r="K157" i="165"/>
  <c r="K157" i="190" s="1"/>
  <c r="F165" i="165"/>
  <c r="F165" i="190" s="1"/>
  <c r="K165" i="165"/>
  <c r="K165" i="190" s="1"/>
  <c r="I173" i="165"/>
  <c r="I173" i="190" s="1"/>
  <c r="I170" i="190" s="1"/>
  <c r="I169" i="190" s="1"/>
  <c r="F186" i="165"/>
  <c r="F186" i="190" s="1"/>
  <c r="K186" i="165"/>
  <c r="K186" i="190" s="1"/>
  <c r="M191" i="165"/>
  <c r="I210" i="165"/>
  <c r="I210" i="190" s="1"/>
  <c r="G227" i="165"/>
  <c r="G227" i="190" s="1"/>
  <c r="M227" i="165"/>
  <c r="M227" i="190" s="1"/>
  <c r="K247" i="165"/>
  <c r="K247" i="190" s="1"/>
  <c r="I259" i="165"/>
  <c r="I259" i="190" s="1"/>
  <c r="N259" i="165"/>
  <c r="N259" i="190" s="1"/>
  <c r="L265" i="165"/>
  <c r="L265" i="190" s="1"/>
  <c r="F339" i="165"/>
  <c r="L339" i="165"/>
  <c r="N348" i="165"/>
  <c r="M331" i="165"/>
  <c r="M331" i="190" s="1"/>
  <c r="M327" i="190" s="1"/>
  <c r="M326" i="190" s="1"/>
  <c r="I348" i="165"/>
  <c r="L331" i="165"/>
  <c r="L331" i="190" s="1"/>
  <c r="L327" i="190" s="1"/>
  <c r="F306" i="165"/>
  <c r="F306" i="190" s="1"/>
  <c r="G157" i="165"/>
  <c r="G157" i="190" s="1"/>
  <c r="L157" i="165"/>
  <c r="L157" i="190" s="1"/>
  <c r="G165" i="165"/>
  <c r="G165" i="190" s="1"/>
  <c r="L165" i="165"/>
  <c r="L165" i="190" s="1"/>
  <c r="G186" i="165"/>
  <c r="G186" i="190" s="1"/>
  <c r="L186" i="165"/>
  <c r="L186" i="190" s="1"/>
  <c r="F210" i="165"/>
  <c r="F210" i="190" s="1"/>
  <c r="K210" i="165"/>
  <c r="K210" i="190" s="1"/>
  <c r="H227" i="165"/>
  <c r="H227" i="190" s="1"/>
  <c r="N227" i="165"/>
  <c r="N227" i="190" s="1"/>
  <c r="G247" i="165"/>
  <c r="G247" i="190" s="1"/>
  <c r="L247" i="165"/>
  <c r="L247" i="190" s="1"/>
  <c r="F259" i="165"/>
  <c r="F259" i="190" s="1"/>
  <c r="K259" i="165"/>
  <c r="K259" i="190" s="1"/>
  <c r="F265" i="165"/>
  <c r="F265" i="190" s="1"/>
  <c r="M265" i="165"/>
  <c r="M265" i="190" s="1"/>
  <c r="M339" i="165"/>
  <c r="G339" i="165"/>
  <c r="N331" i="165"/>
  <c r="N331" i="190" s="1"/>
  <c r="N327" i="190" s="1"/>
  <c r="N326" i="190" s="1"/>
  <c r="I306" i="165"/>
  <c r="I306" i="190" s="1"/>
  <c r="I301" i="190" s="1"/>
  <c r="H306" i="165"/>
  <c r="H306" i="190" s="1"/>
  <c r="L306" i="165"/>
  <c r="L306" i="190" s="1"/>
  <c r="L301" i="190" s="1"/>
  <c r="K331" i="165"/>
  <c r="K331" i="190" s="1"/>
  <c r="K327" i="190" s="1"/>
  <c r="K326" i="190" s="1"/>
  <c r="H157" i="165"/>
  <c r="H157" i="190" s="1"/>
  <c r="M157" i="165"/>
  <c r="M157" i="190" s="1"/>
  <c r="H165" i="165"/>
  <c r="H165" i="190" s="1"/>
  <c r="M165" i="165"/>
  <c r="M165" i="190" s="1"/>
  <c r="M173" i="165"/>
  <c r="M173" i="190" s="1"/>
  <c r="H186" i="165"/>
  <c r="H186" i="190" s="1"/>
  <c r="M186" i="165"/>
  <c r="M186" i="190" s="1"/>
  <c r="G210" i="165"/>
  <c r="G210" i="190" s="1"/>
  <c r="L210" i="165"/>
  <c r="L210" i="190" s="1"/>
  <c r="I227" i="165"/>
  <c r="I227" i="190" s="1"/>
  <c r="H247" i="165"/>
  <c r="H247" i="190" s="1"/>
  <c r="M247" i="165"/>
  <c r="M247" i="190" s="1"/>
  <c r="G259" i="165"/>
  <c r="G259" i="190" s="1"/>
  <c r="I265" i="165"/>
  <c r="I265" i="190" s="1"/>
  <c r="N265" i="165"/>
  <c r="N265" i="190" s="1"/>
  <c r="I339" i="165"/>
  <c r="H331" i="165"/>
  <c r="H331" i="190" s="1"/>
  <c r="G331" i="165"/>
  <c r="G331" i="190" s="1"/>
  <c r="G327" i="190" s="1"/>
  <c r="G326" i="190" s="1"/>
  <c r="K306" i="165"/>
  <c r="K306" i="190" s="1"/>
  <c r="K301" i="190" s="1"/>
  <c r="I157" i="165"/>
  <c r="I157" i="190" s="1"/>
  <c r="N157" i="165"/>
  <c r="N157" i="190" s="1"/>
  <c r="I165" i="165"/>
  <c r="I165" i="190" s="1"/>
  <c r="N165" i="165"/>
  <c r="N165" i="190" s="1"/>
  <c r="G173" i="165"/>
  <c r="G173" i="190" s="1"/>
  <c r="I186" i="165"/>
  <c r="I186" i="190" s="1"/>
  <c r="N186" i="165"/>
  <c r="N186" i="190" s="1"/>
  <c r="H210" i="165"/>
  <c r="H210" i="190" s="1"/>
  <c r="M210" i="165"/>
  <c r="M210" i="190" s="1"/>
  <c r="F227" i="165"/>
  <c r="F227" i="190" s="1"/>
  <c r="L227" i="165"/>
  <c r="L227" i="190" s="1"/>
  <c r="I247" i="165"/>
  <c r="I247" i="190" s="1"/>
  <c r="N247" i="165"/>
  <c r="N247" i="190" s="1"/>
  <c r="N242" i="190" s="1"/>
  <c r="N241" i="190" s="1"/>
  <c r="H259" i="165"/>
  <c r="H259" i="190" s="1"/>
  <c r="M259" i="165"/>
  <c r="M259" i="190" s="1"/>
  <c r="K265" i="165"/>
  <c r="K265" i="190" s="1"/>
  <c r="N339" i="165"/>
  <c r="K339" i="165"/>
  <c r="R339" i="165" s="1"/>
  <c r="I331" i="165"/>
  <c r="I331" i="190" s="1"/>
  <c r="I327" i="190" s="1"/>
  <c r="I326" i="190" s="1"/>
  <c r="N306" i="165"/>
  <c r="N306" i="190" s="1"/>
  <c r="N301" i="190" s="1"/>
  <c r="M306" i="165"/>
  <c r="M306" i="190" s="1"/>
  <c r="M301" i="190" s="1"/>
  <c r="G306" i="165"/>
  <c r="G306" i="190" s="1"/>
  <c r="G301" i="190" s="1"/>
  <c r="F331" i="165"/>
  <c r="F331" i="190" s="1"/>
  <c r="L259" i="165"/>
  <c r="L259" i="190" s="1"/>
  <c r="I235" i="165"/>
  <c r="I235" i="190" s="1"/>
  <c r="F235" i="165"/>
  <c r="F235" i="190" s="1"/>
  <c r="K235" i="165"/>
  <c r="K235" i="190" s="1"/>
  <c r="G235" i="165"/>
  <c r="G235" i="190" s="1"/>
  <c r="L235" i="165"/>
  <c r="L235" i="190" s="1"/>
  <c r="N235" i="165"/>
  <c r="N235" i="190" s="1"/>
  <c r="G191" i="165"/>
  <c r="H235" i="165"/>
  <c r="H235" i="190" s="1"/>
  <c r="M235" i="165"/>
  <c r="M235" i="190" s="1"/>
  <c r="I197" i="165"/>
  <c r="I197" i="190" s="1"/>
  <c r="M197" i="165"/>
  <c r="M197" i="190" s="1"/>
  <c r="G197" i="165"/>
  <c r="G197" i="190" s="1"/>
  <c r="I191" i="165"/>
  <c r="N253" i="165"/>
  <c r="N253" i="190" s="1"/>
  <c r="N109" i="165"/>
  <c r="N109" i="190" s="1"/>
  <c r="M109" i="165"/>
  <c r="M109" i="190" s="1"/>
  <c r="L109" i="165"/>
  <c r="L109" i="190" s="1"/>
  <c r="I109" i="165"/>
  <c r="I109" i="190" s="1"/>
  <c r="H109" i="165"/>
  <c r="H109" i="190" s="1"/>
  <c r="G109" i="165"/>
  <c r="G109" i="190" s="1"/>
  <c r="F109" i="165"/>
  <c r="F109" i="190" s="1"/>
  <c r="N102" i="165"/>
  <c r="N102" i="190" s="1"/>
  <c r="M102" i="165"/>
  <c r="M102" i="190" s="1"/>
  <c r="L102" i="165"/>
  <c r="L102" i="190" s="1"/>
  <c r="K102" i="165"/>
  <c r="K102" i="190" s="1"/>
  <c r="I102" i="165"/>
  <c r="I102" i="190" s="1"/>
  <c r="N100" i="165"/>
  <c r="N100" i="190" s="1"/>
  <c r="M100" i="165"/>
  <c r="M100" i="190" s="1"/>
  <c r="L100" i="165"/>
  <c r="L100" i="190" s="1"/>
  <c r="K100" i="165"/>
  <c r="K100" i="190" s="1"/>
  <c r="I100" i="165"/>
  <c r="I100" i="190" s="1"/>
  <c r="H100" i="165"/>
  <c r="H100" i="190" s="1"/>
  <c r="G100" i="165"/>
  <c r="G100" i="190" s="1"/>
  <c r="F100" i="165"/>
  <c r="F100" i="190" s="1"/>
  <c r="N98" i="165"/>
  <c r="N98" i="190" s="1"/>
  <c r="M98" i="165"/>
  <c r="M98" i="190" s="1"/>
  <c r="L98" i="165"/>
  <c r="L98" i="190" s="1"/>
  <c r="K98" i="165"/>
  <c r="K98" i="190" s="1"/>
  <c r="I98" i="165"/>
  <c r="I98" i="190" s="1"/>
  <c r="H98" i="165"/>
  <c r="H98" i="190" s="1"/>
  <c r="G98" i="165"/>
  <c r="G98" i="190" s="1"/>
  <c r="F98" i="165"/>
  <c r="F98" i="190" s="1"/>
  <c r="O97" i="165"/>
  <c r="O97" i="190" s="1"/>
  <c r="N90" i="165"/>
  <c r="N90" i="190" s="1"/>
  <c r="M90" i="165"/>
  <c r="M90" i="190" s="1"/>
  <c r="L90" i="165"/>
  <c r="L90" i="190" s="1"/>
  <c r="K90" i="165"/>
  <c r="K90" i="190" s="1"/>
  <c r="I90" i="165"/>
  <c r="I90" i="190" s="1"/>
  <c r="N74" i="165"/>
  <c r="N74" i="190" s="1"/>
  <c r="M74" i="165"/>
  <c r="M74" i="190" s="1"/>
  <c r="L74" i="165"/>
  <c r="L74" i="190" s="1"/>
  <c r="K74" i="165"/>
  <c r="K74" i="190" s="1"/>
  <c r="K42" i="190" s="1"/>
  <c r="K41" i="190" s="1"/>
  <c r="I74" i="165"/>
  <c r="I74" i="190" s="1"/>
  <c r="I42" i="190" s="1"/>
  <c r="I41" i="190" s="1"/>
  <c r="H74" i="165"/>
  <c r="H74" i="190" s="1"/>
  <c r="G74" i="165"/>
  <c r="G74" i="190" s="1"/>
  <c r="F74" i="165"/>
  <c r="F74" i="190" s="1"/>
  <c r="N37" i="165"/>
  <c r="N37" i="190" s="1"/>
  <c r="M37" i="165"/>
  <c r="M37" i="190" s="1"/>
  <c r="L37" i="165"/>
  <c r="L37" i="190" s="1"/>
  <c r="K37" i="165"/>
  <c r="K37" i="190" s="1"/>
  <c r="I37" i="165"/>
  <c r="I37" i="190" s="1"/>
  <c r="H37" i="165"/>
  <c r="H37" i="190" s="1"/>
  <c r="G37" i="165"/>
  <c r="G37" i="190" s="1"/>
  <c r="F37" i="165"/>
  <c r="F37" i="190" s="1"/>
  <c r="E35" i="165"/>
  <c r="E35" i="190" s="1"/>
  <c r="N34" i="165"/>
  <c r="N34" i="190" s="1"/>
  <c r="M34" i="165"/>
  <c r="M34" i="190" s="1"/>
  <c r="L34" i="165"/>
  <c r="L34" i="190" s="1"/>
  <c r="K34" i="165"/>
  <c r="K34" i="190" s="1"/>
  <c r="I34" i="165"/>
  <c r="I34" i="190" s="1"/>
  <c r="H34" i="165"/>
  <c r="H34" i="190" s="1"/>
  <c r="G34" i="165"/>
  <c r="G34" i="190" s="1"/>
  <c r="F34" i="165"/>
  <c r="F34" i="190" s="1"/>
  <c r="N27" i="165"/>
  <c r="N27" i="190" s="1"/>
  <c r="M27" i="165"/>
  <c r="M27" i="190" s="1"/>
  <c r="K27" i="165"/>
  <c r="K27" i="190" s="1"/>
  <c r="I27" i="165"/>
  <c r="I27" i="190" s="1"/>
  <c r="H27" i="165"/>
  <c r="H27" i="190" s="1"/>
  <c r="G27" i="165"/>
  <c r="G27" i="190" s="1"/>
  <c r="F27" i="165"/>
  <c r="F27" i="190" s="1"/>
  <c r="N18" i="165"/>
  <c r="N18" i="190" s="1"/>
  <c r="M18" i="165"/>
  <c r="M18" i="190" s="1"/>
  <c r="L18" i="165"/>
  <c r="L18" i="190" s="1"/>
  <c r="I18" i="165"/>
  <c r="I18" i="190" s="1"/>
  <c r="J59" i="167"/>
  <c r="J58" i="167"/>
  <c r="J56" i="167"/>
  <c r="M56" i="167" s="1"/>
  <c r="J55" i="167"/>
  <c r="L270" i="190" l="1"/>
  <c r="M242" i="190"/>
  <c r="M241" i="190" s="1"/>
  <c r="G191" i="190"/>
  <c r="G190" i="190" s="1"/>
  <c r="G189" i="190" s="1"/>
  <c r="G190" i="165"/>
  <c r="I191" i="190"/>
  <c r="I190" i="190" s="1"/>
  <c r="I189" i="190" s="1"/>
  <c r="I190" i="165"/>
  <c r="L326" i="190"/>
  <c r="I242" i="190"/>
  <c r="I241" i="190" s="1"/>
  <c r="L313" i="190"/>
  <c r="M191" i="190"/>
  <c r="M190" i="190" s="1"/>
  <c r="M189" i="190" s="1"/>
  <c r="M190" i="165"/>
  <c r="L300" i="190"/>
  <c r="I300" i="190"/>
  <c r="K300" i="190"/>
  <c r="N300" i="190"/>
  <c r="G300" i="190"/>
  <c r="M300" i="190"/>
  <c r="I42" i="165"/>
  <c r="K42" i="165"/>
  <c r="F105" i="165"/>
  <c r="F105" i="190" s="1"/>
  <c r="G105" i="165"/>
  <c r="G105" i="190" s="1"/>
  <c r="H105" i="165"/>
  <c r="H105" i="190" s="1"/>
  <c r="I105" i="165"/>
  <c r="I105" i="190" s="1"/>
  <c r="L105" i="165"/>
  <c r="L105" i="190" s="1"/>
  <c r="M105" i="165"/>
  <c r="M105" i="190" s="1"/>
  <c r="N105" i="165"/>
  <c r="N105" i="190" s="1"/>
  <c r="H253" i="165"/>
  <c r="H253" i="190" s="1"/>
  <c r="L253" i="165"/>
  <c r="L253" i="190" s="1"/>
  <c r="L242" i="190" s="1"/>
  <c r="K253" i="165"/>
  <c r="M253" i="165"/>
  <c r="M253" i="190" s="1"/>
  <c r="I253" i="165"/>
  <c r="I253" i="190" s="1"/>
  <c r="I170" i="165"/>
  <c r="M170" i="165"/>
  <c r="G253" i="165"/>
  <c r="G253" i="190" s="1"/>
  <c r="N271" i="165"/>
  <c r="F253" i="165"/>
  <c r="F253" i="190" s="1"/>
  <c r="M234" i="165"/>
  <c r="M234" i="190" s="1"/>
  <c r="M223" i="190" s="1"/>
  <c r="M222" i="190" s="1"/>
  <c r="K234" i="165"/>
  <c r="K234" i="190" s="1"/>
  <c r="I23" i="165"/>
  <c r="I23" i="190" s="1"/>
  <c r="I17" i="190" s="1"/>
  <c r="N23" i="165"/>
  <c r="N23" i="190" s="1"/>
  <c r="F33" i="165"/>
  <c r="F33" i="190" s="1"/>
  <c r="E34" i="165"/>
  <c r="E34" i="190" s="1"/>
  <c r="N36" i="165"/>
  <c r="N36" i="190" s="1"/>
  <c r="F23" i="165"/>
  <c r="F23" i="190" s="1"/>
  <c r="K23" i="165"/>
  <c r="K23" i="190" s="1"/>
  <c r="G33" i="165"/>
  <c r="G33" i="190" s="1"/>
  <c r="L33" i="165"/>
  <c r="L33" i="190" s="1"/>
  <c r="F36" i="165"/>
  <c r="F36" i="190" s="1"/>
  <c r="K36" i="165"/>
  <c r="K36" i="190" s="1"/>
  <c r="N234" i="165"/>
  <c r="N234" i="190" s="1"/>
  <c r="N223" i="190" s="1"/>
  <c r="N222" i="190" s="1"/>
  <c r="I234" i="165"/>
  <c r="I234" i="190" s="1"/>
  <c r="I223" i="190" s="1"/>
  <c r="I222" i="190" s="1"/>
  <c r="G301" i="165"/>
  <c r="M271" i="165"/>
  <c r="M301" i="165"/>
  <c r="I161" i="165"/>
  <c r="I161" i="190" s="1"/>
  <c r="I113" i="190" s="1"/>
  <c r="I112" i="190" s="1"/>
  <c r="M314" i="165"/>
  <c r="G327" i="165"/>
  <c r="H161" i="165"/>
  <c r="H161" i="190" s="1"/>
  <c r="I314" i="165"/>
  <c r="I301" i="165"/>
  <c r="N327" i="165"/>
  <c r="L161" i="165"/>
  <c r="L161" i="190" s="1"/>
  <c r="M327" i="165"/>
  <c r="G23" i="165"/>
  <c r="G23" i="190" s="1"/>
  <c r="G36" i="165"/>
  <c r="G36" i="190" s="1"/>
  <c r="N242" i="165"/>
  <c r="L234" i="165"/>
  <c r="L234" i="190" s="1"/>
  <c r="L223" i="190" s="1"/>
  <c r="I327" i="165"/>
  <c r="L301" i="165"/>
  <c r="L327" i="165"/>
  <c r="K161" i="165"/>
  <c r="K161" i="190" s="1"/>
  <c r="H33" i="165"/>
  <c r="H33" i="190" s="1"/>
  <c r="M33" i="165"/>
  <c r="M33" i="190" s="1"/>
  <c r="L36" i="165"/>
  <c r="L36" i="190" s="1"/>
  <c r="H23" i="165"/>
  <c r="H23" i="190" s="1"/>
  <c r="I33" i="165"/>
  <c r="I33" i="190" s="1"/>
  <c r="N33" i="165"/>
  <c r="N33" i="190" s="1"/>
  <c r="H36" i="165"/>
  <c r="H36" i="190" s="1"/>
  <c r="M36" i="165"/>
  <c r="M36" i="190" s="1"/>
  <c r="J97" i="165"/>
  <c r="J97" i="190" s="1"/>
  <c r="H234" i="165"/>
  <c r="H234" i="190" s="1"/>
  <c r="G234" i="165"/>
  <c r="G234" i="190" s="1"/>
  <c r="G223" i="190" s="1"/>
  <c r="G222" i="190" s="1"/>
  <c r="F234" i="165"/>
  <c r="F234" i="190" s="1"/>
  <c r="L271" i="165"/>
  <c r="H314" i="165"/>
  <c r="N161" i="165"/>
  <c r="N161" i="190" s="1"/>
  <c r="K301" i="165"/>
  <c r="R301" i="165" s="1"/>
  <c r="G271" i="165"/>
  <c r="M161" i="165"/>
  <c r="M161" i="190" s="1"/>
  <c r="M113" i="190" s="1"/>
  <c r="M112" i="190" s="1"/>
  <c r="K327" i="165"/>
  <c r="R327" i="165" s="1"/>
  <c r="I271" i="165"/>
  <c r="L314" i="165"/>
  <c r="G161" i="165"/>
  <c r="G161" i="190" s="1"/>
  <c r="G314" i="165"/>
  <c r="K33" i="165"/>
  <c r="K33" i="190" s="1"/>
  <c r="I36" i="165"/>
  <c r="I36" i="190" s="1"/>
  <c r="N301" i="165"/>
  <c r="N314" i="165"/>
  <c r="F161" i="165"/>
  <c r="F161" i="190" s="1"/>
  <c r="M23" i="165"/>
  <c r="M23" i="190" s="1"/>
  <c r="M17" i="190" s="1"/>
  <c r="I92" i="165"/>
  <c r="I92" i="190" s="1"/>
  <c r="I89" i="190" s="1"/>
  <c r="I88" i="190" s="1"/>
  <c r="N92" i="165"/>
  <c r="N92" i="190" s="1"/>
  <c r="N89" i="190" s="1"/>
  <c r="N88" i="190" s="1"/>
  <c r="L27" i="165"/>
  <c r="L27" i="190" s="1"/>
  <c r="L92" i="165"/>
  <c r="L92" i="190" s="1"/>
  <c r="L89" i="190" s="1"/>
  <c r="L88" i="190" s="1"/>
  <c r="K92" i="165"/>
  <c r="K92" i="190" s="1"/>
  <c r="M92" i="165"/>
  <c r="M92" i="190" s="1"/>
  <c r="G57" i="167"/>
  <c r="J54" i="167"/>
  <c r="J53" i="167"/>
  <c r="I16" i="190" l="1"/>
  <c r="I359" i="190"/>
  <c r="M16" i="190"/>
  <c r="L241" i="190"/>
  <c r="L222" i="190"/>
  <c r="M89" i="190"/>
  <c r="M88" i="190" s="1"/>
  <c r="K242" i="165"/>
  <c r="R242" i="165" s="1"/>
  <c r="K253" i="190"/>
  <c r="K242" i="190" s="1"/>
  <c r="K241" i="190" s="1"/>
  <c r="F17" i="190"/>
  <c r="F16" i="190" s="1"/>
  <c r="N17" i="190"/>
  <c r="L242" i="165"/>
  <c r="M113" i="165"/>
  <c r="M242" i="165"/>
  <c r="I242" i="165"/>
  <c r="M17" i="165"/>
  <c r="M223" i="165"/>
  <c r="N17" i="165"/>
  <c r="I17" i="165"/>
  <c r="G223" i="165"/>
  <c r="M89" i="165"/>
  <c r="L89" i="165"/>
  <c r="I113" i="165"/>
  <c r="I223" i="165"/>
  <c r="E33" i="165"/>
  <c r="E33" i="190" s="1"/>
  <c r="I89" i="165"/>
  <c r="L23" i="165"/>
  <c r="L23" i="190" s="1"/>
  <c r="L17" i="190" s="1"/>
  <c r="N89" i="165"/>
  <c r="L223" i="165"/>
  <c r="N223" i="165"/>
  <c r="J50" i="167"/>
  <c r="N16" i="190" l="1"/>
  <c r="L16" i="190"/>
  <c r="L17" i="165"/>
  <c r="F63" i="165"/>
  <c r="F63" i="190" s="1"/>
  <c r="G63" i="165"/>
  <c r="G63" i="190" s="1"/>
  <c r="O63" i="165"/>
  <c r="O63" i="190" s="1"/>
  <c r="G55" i="165"/>
  <c r="G55" i="190" s="1"/>
  <c r="F55" i="165"/>
  <c r="F55" i="190" s="1"/>
  <c r="J57" i="165"/>
  <c r="J57" i="190" s="1"/>
  <c r="E57" i="165"/>
  <c r="E57" i="190" s="1"/>
  <c r="O50" i="165"/>
  <c r="O50" i="190" s="1"/>
  <c r="G49" i="165"/>
  <c r="G49" i="190" s="1"/>
  <c r="F49" i="165"/>
  <c r="F49" i="190" s="1"/>
  <c r="E50" i="165"/>
  <c r="E50" i="190" s="1"/>
  <c r="J61" i="167"/>
  <c r="E63" i="165" l="1"/>
  <c r="E63" i="190" s="1"/>
  <c r="O49" i="165"/>
  <c r="O49" i="190" s="1"/>
  <c r="H54" i="167"/>
  <c r="J63" i="165"/>
  <c r="J63" i="190" s="1"/>
  <c r="I54" i="167"/>
  <c r="F61" i="165"/>
  <c r="F61" i="190" s="1"/>
  <c r="G61" i="165"/>
  <c r="G61" i="190" s="1"/>
  <c r="E49" i="165"/>
  <c r="E49" i="190" s="1"/>
  <c r="H50" i="167"/>
  <c r="P57" i="165"/>
  <c r="P57" i="190" s="1"/>
  <c r="F65" i="165"/>
  <c r="F65" i="190" s="1"/>
  <c r="O66" i="165"/>
  <c r="O66" i="190" s="1"/>
  <c r="J47" i="167"/>
  <c r="M47" i="167" s="1"/>
  <c r="J60" i="167"/>
  <c r="M45" i="165" l="1"/>
  <c r="M45" i="190" s="1"/>
  <c r="O65" i="165"/>
  <c r="O65" i="190" s="1"/>
  <c r="G54" i="167"/>
  <c r="I59" i="167"/>
  <c r="H59" i="167"/>
  <c r="E66" i="165"/>
  <c r="E66" i="190" s="1"/>
  <c r="P63" i="165"/>
  <c r="P63" i="190" s="1"/>
  <c r="J44" i="167"/>
  <c r="M44" i="167" s="1"/>
  <c r="J66" i="165"/>
  <c r="J66" i="190" s="1"/>
  <c r="J50" i="165"/>
  <c r="J50" i="190" s="1"/>
  <c r="O64" i="165"/>
  <c r="O64" i="190" s="1"/>
  <c r="E64" i="165"/>
  <c r="E64" i="190" s="1"/>
  <c r="H58" i="165"/>
  <c r="H58" i="190" s="1"/>
  <c r="F58" i="165"/>
  <c r="F58" i="190" s="1"/>
  <c r="J66" i="167"/>
  <c r="G72" i="165"/>
  <c r="G72" i="190" s="1"/>
  <c r="F72" i="165"/>
  <c r="F72" i="190" s="1"/>
  <c r="O72" i="165"/>
  <c r="O72" i="190" s="1"/>
  <c r="M43" i="165" l="1"/>
  <c r="M43" i="190" s="1"/>
  <c r="M42" i="190" s="1"/>
  <c r="F43" i="165"/>
  <c r="F43" i="190" s="1"/>
  <c r="F42" i="190" s="1"/>
  <c r="P66" i="165"/>
  <c r="P66" i="190" s="1"/>
  <c r="G59" i="167"/>
  <c r="H60" i="167"/>
  <c r="E65" i="165"/>
  <c r="E65" i="190" s="1"/>
  <c r="J64" i="165"/>
  <c r="J64" i="190" s="1"/>
  <c r="I61" i="167"/>
  <c r="G58" i="165"/>
  <c r="G58" i="190" s="1"/>
  <c r="E72" i="165"/>
  <c r="E72" i="190" s="1"/>
  <c r="J72" i="165"/>
  <c r="J72" i="190" s="1"/>
  <c r="H61" i="167"/>
  <c r="J49" i="165"/>
  <c r="J49" i="190" s="1"/>
  <c r="I50" i="167"/>
  <c r="G50" i="167" s="1"/>
  <c r="J65" i="165"/>
  <c r="J65" i="190" s="1"/>
  <c r="P50" i="165"/>
  <c r="P50" i="190" s="1"/>
  <c r="O351" i="165"/>
  <c r="O351" i="190" s="1"/>
  <c r="E351" i="165"/>
  <c r="E351" i="190" s="1"/>
  <c r="I261" i="167"/>
  <c r="H328" i="165"/>
  <c r="H328" i="190" s="1"/>
  <c r="H327" i="190" s="1"/>
  <c r="H326" i="190" s="1"/>
  <c r="O330" i="165"/>
  <c r="O330" i="190" s="1"/>
  <c r="E330" i="165"/>
  <c r="E330" i="190" s="1"/>
  <c r="F302" i="165"/>
  <c r="F302" i="190" s="1"/>
  <c r="F301" i="190" s="1"/>
  <c r="F300" i="190" s="1"/>
  <c r="O304" i="165"/>
  <c r="O304" i="190" s="1"/>
  <c r="E304" i="165"/>
  <c r="E304" i="190" s="1"/>
  <c r="F294" i="165"/>
  <c r="F294" i="190" s="1"/>
  <c r="F293" i="190" s="1"/>
  <c r="F292" i="190" s="1"/>
  <c r="O296" i="165"/>
  <c r="O296" i="190" s="1"/>
  <c r="E296" i="165"/>
  <c r="E296" i="190" s="1"/>
  <c r="F271" i="165"/>
  <c r="O274" i="165"/>
  <c r="O274" i="190" s="1"/>
  <c r="E274" i="165"/>
  <c r="E274" i="190" s="1"/>
  <c r="F243" i="165"/>
  <c r="F243" i="190" s="1"/>
  <c r="O245" i="165"/>
  <c r="O245" i="190" s="1"/>
  <c r="E245" i="165"/>
  <c r="E245" i="190" s="1"/>
  <c r="O116" i="165"/>
  <c r="O116" i="190" s="1"/>
  <c r="E116" i="165"/>
  <c r="E116" i="190" s="1"/>
  <c r="M41" i="190" l="1"/>
  <c r="M359" i="190"/>
  <c r="F41" i="190"/>
  <c r="M42" i="165"/>
  <c r="F42" i="165"/>
  <c r="G43" i="165"/>
  <c r="G43" i="190" s="1"/>
  <c r="G42" i="190" s="1"/>
  <c r="G41" i="190" s="1"/>
  <c r="P65" i="165"/>
  <c r="P65" i="190" s="1"/>
  <c r="R42" i="165"/>
  <c r="P64" i="165"/>
  <c r="P64" i="190" s="1"/>
  <c r="P72" i="165"/>
  <c r="P72" i="190" s="1"/>
  <c r="H232" i="167"/>
  <c r="H212" i="167"/>
  <c r="J296" i="165"/>
  <c r="J296" i="190" s="1"/>
  <c r="H189" i="167"/>
  <c r="G189" i="167" s="1"/>
  <c r="J274" i="165"/>
  <c r="J274" i="190" s="1"/>
  <c r="F293" i="165"/>
  <c r="H251" i="167"/>
  <c r="G251" i="167" s="1"/>
  <c r="F349" i="165"/>
  <c r="F349" i="190" s="1"/>
  <c r="P49" i="165"/>
  <c r="P49" i="190" s="1"/>
  <c r="I66" i="167"/>
  <c r="G61" i="167"/>
  <c r="J245" i="165"/>
  <c r="J245" i="190" s="1"/>
  <c r="J330" i="165"/>
  <c r="J330" i="190" s="1"/>
  <c r="H227" i="167"/>
  <c r="H225" i="167" s="1"/>
  <c r="J304" i="165"/>
  <c r="J304" i="190" s="1"/>
  <c r="F328" i="165"/>
  <c r="F328" i="190" s="1"/>
  <c r="F327" i="190" s="1"/>
  <c r="F326" i="190" s="1"/>
  <c r="H264" i="167"/>
  <c r="J116" i="165"/>
  <c r="J116" i="190" s="1"/>
  <c r="H327" i="165"/>
  <c r="J351" i="165"/>
  <c r="J351" i="190" s="1"/>
  <c r="H66" i="167"/>
  <c r="I60" i="167"/>
  <c r="G60" i="167" s="1"/>
  <c r="F301" i="165"/>
  <c r="H104" i="167"/>
  <c r="J261" i="167"/>
  <c r="G42" i="165" l="1"/>
  <c r="P304" i="165"/>
  <c r="P304" i="190" s="1"/>
  <c r="G227" i="167"/>
  <c r="P330" i="165"/>
  <c r="P330" i="190" s="1"/>
  <c r="P351" i="165"/>
  <c r="P351" i="190" s="1"/>
  <c r="P274" i="165"/>
  <c r="P274" i="190" s="1"/>
  <c r="P116" i="165"/>
  <c r="P116" i="190" s="1"/>
  <c r="G232" i="167"/>
  <c r="G66" i="167"/>
  <c r="G212" i="167"/>
  <c r="G264" i="167"/>
  <c r="H262" i="167"/>
  <c r="H261" i="167" s="1"/>
  <c r="P296" i="165"/>
  <c r="P296" i="190" s="1"/>
  <c r="P245" i="165"/>
  <c r="P245" i="190" s="1"/>
  <c r="I104" i="167"/>
  <c r="G104" i="167" s="1"/>
  <c r="F327" i="165"/>
  <c r="F224" i="165"/>
  <c r="F224" i="190" s="1"/>
  <c r="F223" i="190" s="1"/>
  <c r="F222" i="190" s="1"/>
  <c r="O226" i="165"/>
  <c r="O226" i="190" s="1"/>
  <c r="E226" i="165"/>
  <c r="E226" i="190" s="1"/>
  <c r="G262" i="167" l="1"/>
  <c r="G261" i="167" s="1"/>
  <c r="H173" i="167"/>
  <c r="G173" i="167" s="1"/>
  <c r="J226" i="165"/>
  <c r="J226" i="190" s="1"/>
  <c r="F223" i="165"/>
  <c r="P226" i="165" l="1"/>
  <c r="P226" i="190" s="1"/>
  <c r="O21" i="165"/>
  <c r="O21" i="190" s="1"/>
  <c r="E21" i="165"/>
  <c r="E21" i="190" s="1"/>
  <c r="J21" i="165" l="1"/>
  <c r="J21" i="190" s="1"/>
  <c r="H20" i="167"/>
  <c r="G20" i="167" s="1"/>
  <c r="P21" i="165" l="1"/>
  <c r="P21" i="190" s="1"/>
  <c r="F247" i="165" l="1"/>
  <c r="F247" i="190" s="1"/>
  <c r="F242" i="190" s="1"/>
  <c r="F241" i="190" s="1"/>
  <c r="K109" i="165"/>
  <c r="K109" i="190" s="1"/>
  <c r="K105" i="165" l="1"/>
  <c r="K105" i="190" s="1"/>
  <c r="K89" i="190" s="1"/>
  <c r="F242" i="165"/>
  <c r="J181" i="167"/>
  <c r="K88" i="190" l="1"/>
  <c r="K89" i="165"/>
  <c r="R89" i="165" s="1"/>
  <c r="F40" i="172"/>
  <c r="F37" i="172" s="1"/>
  <c r="E40" i="172"/>
  <c r="E37" i="172" l="1"/>
  <c r="E31" i="172" s="1"/>
  <c r="F31" i="172"/>
  <c r="K228" i="165" l="1"/>
  <c r="K228" i="190" s="1"/>
  <c r="K227" i="165" l="1"/>
  <c r="K227" i="190" s="1"/>
  <c r="K223" i="190" s="1"/>
  <c r="K222" i="190" s="1"/>
  <c r="J167" i="167"/>
  <c r="K223" i="165" l="1"/>
  <c r="R223" i="165" s="1"/>
  <c r="K18" i="165" l="1"/>
  <c r="K18" i="190" s="1"/>
  <c r="K17" i="190" s="1"/>
  <c r="K16" i="190" l="1"/>
  <c r="K17" i="165"/>
  <c r="R17" i="165" s="1"/>
  <c r="O218" i="165"/>
  <c r="O218" i="190" s="1"/>
  <c r="E218" i="165"/>
  <c r="E218" i="190" s="1"/>
  <c r="F203" i="165"/>
  <c r="F203" i="190" s="1"/>
  <c r="H203" i="165" l="1"/>
  <c r="H203" i="190" s="1"/>
  <c r="H167" i="167"/>
  <c r="E217" i="165"/>
  <c r="E217" i="190" s="1"/>
  <c r="J218" i="165"/>
  <c r="J218" i="190" s="1"/>
  <c r="O217" i="165"/>
  <c r="O217" i="190" s="1"/>
  <c r="E213" i="165" l="1"/>
  <c r="E213" i="190" s="1"/>
  <c r="O213" i="165"/>
  <c r="O213" i="190" s="1"/>
  <c r="P218" i="165"/>
  <c r="P218" i="190" s="1"/>
  <c r="H197" i="165"/>
  <c r="H197" i="190" s="1"/>
  <c r="I167" i="167"/>
  <c r="G167" i="167" s="1"/>
  <c r="J217" i="165"/>
  <c r="J217" i="190" s="1"/>
  <c r="J213" i="165" l="1"/>
  <c r="J213" i="190" s="1"/>
  <c r="P217" i="165"/>
  <c r="P217" i="190" s="1"/>
  <c r="P20" i="107"/>
  <c r="I17" i="107"/>
  <c r="P213" i="165" l="1"/>
  <c r="P213" i="190" s="1"/>
  <c r="I13" i="107"/>
  <c r="I12" i="107" s="1"/>
  <c r="I20" i="107" s="1"/>
  <c r="I16" i="107"/>
  <c r="I15" i="107" s="1"/>
  <c r="I14" i="107" s="1"/>
  <c r="D82" i="170"/>
  <c r="D77" i="170"/>
  <c r="D73" i="170"/>
  <c r="D70" i="170"/>
  <c r="F321" i="165" l="1"/>
  <c r="F321" i="190" s="1"/>
  <c r="H349" i="165" l="1"/>
  <c r="H349" i="190" s="1"/>
  <c r="H348" i="190" s="1"/>
  <c r="H347" i="190" s="1"/>
  <c r="K321" i="165"/>
  <c r="K321" i="190" s="1"/>
  <c r="M243" i="167"/>
  <c r="F318" i="165"/>
  <c r="F318" i="190" s="1"/>
  <c r="J260" i="167"/>
  <c r="J259" i="167"/>
  <c r="F315" i="165" l="1"/>
  <c r="F315" i="190" s="1"/>
  <c r="F314" i="190" s="1"/>
  <c r="F313" i="190" s="1"/>
  <c r="H340" i="165"/>
  <c r="H340" i="190" s="1"/>
  <c r="H339" i="190" s="1"/>
  <c r="H338" i="190" s="1"/>
  <c r="K318" i="165"/>
  <c r="K318" i="190" s="1"/>
  <c r="H348" i="165"/>
  <c r="J257" i="167"/>
  <c r="J255" i="167"/>
  <c r="J254" i="167"/>
  <c r="J253" i="167"/>
  <c r="J252" i="167"/>
  <c r="H255" i="167"/>
  <c r="G250" i="167"/>
  <c r="O335" i="165"/>
  <c r="O335" i="190" s="1"/>
  <c r="O334" i="165"/>
  <c r="O334" i="190" s="1"/>
  <c r="K315" i="165" l="1"/>
  <c r="K315" i="190" s="1"/>
  <c r="K314" i="190" s="1"/>
  <c r="K313" i="190" s="1"/>
  <c r="H302" i="165"/>
  <c r="H302" i="190" s="1"/>
  <c r="H301" i="190" s="1"/>
  <c r="H300" i="190" s="1"/>
  <c r="H339" i="165"/>
  <c r="F314" i="165"/>
  <c r="O333" i="165"/>
  <c r="O333" i="190" s="1"/>
  <c r="J249" i="167"/>
  <c r="J225" i="167"/>
  <c r="I225" i="167"/>
  <c r="J209" i="167"/>
  <c r="J207" i="167"/>
  <c r="J208" i="167"/>
  <c r="J205" i="167"/>
  <c r="H205" i="167"/>
  <c r="J203" i="167"/>
  <c r="J201" i="167"/>
  <c r="J199" i="167"/>
  <c r="J198" i="167"/>
  <c r="J193" i="167"/>
  <c r="J192" i="167"/>
  <c r="J191" i="167"/>
  <c r="J190" i="167"/>
  <c r="O269" i="165"/>
  <c r="J269" i="165" s="1"/>
  <c r="O267" i="165"/>
  <c r="O267" i="190" s="1"/>
  <c r="O268" i="165"/>
  <c r="O268" i="190" s="1"/>
  <c r="J184" i="167"/>
  <c r="J180" i="167"/>
  <c r="J177" i="167"/>
  <c r="J176" i="167"/>
  <c r="J175" i="167"/>
  <c r="H224" i="165"/>
  <c r="H224" i="190" s="1"/>
  <c r="H223" i="190" s="1"/>
  <c r="H222" i="190" s="1"/>
  <c r="H272" i="165" l="1"/>
  <c r="H272" i="190" s="1"/>
  <c r="H271" i="190" s="1"/>
  <c r="H270" i="190" s="1"/>
  <c r="H243" i="165"/>
  <c r="H243" i="190" s="1"/>
  <c r="H294" i="165"/>
  <c r="H294" i="190" s="1"/>
  <c r="H293" i="190" s="1"/>
  <c r="H292" i="190" s="1"/>
  <c r="H301" i="165"/>
  <c r="H223" i="165"/>
  <c r="K314" i="165"/>
  <c r="R314" i="165" s="1"/>
  <c r="J267" i="165"/>
  <c r="J267" i="190" s="1"/>
  <c r="O266" i="165"/>
  <c r="O266" i="190" s="1"/>
  <c r="I209" i="167"/>
  <c r="J171" i="167"/>
  <c r="J187" i="167"/>
  <c r="J186" i="167" s="1"/>
  <c r="M186" i="167" s="1"/>
  <c r="J155" i="167"/>
  <c r="N195" i="165"/>
  <c r="N195" i="190" s="1"/>
  <c r="L194" i="165"/>
  <c r="L194" i="190" s="1"/>
  <c r="K209" i="165"/>
  <c r="K209" i="190" s="1"/>
  <c r="R205" i="165" l="1"/>
  <c r="R209" i="165"/>
  <c r="I207" i="167"/>
  <c r="L191" i="165"/>
  <c r="O265" i="165"/>
  <c r="O265" i="190" s="1"/>
  <c r="H293" i="165"/>
  <c r="N194" i="165"/>
  <c r="N194" i="190" s="1"/>
  <c r="N203" i="165"/>
  <c r="N203" i="190" s="1"/>
  <c r="L203" i="165"/>
  <c r="L203" i="190" s="1"/>
  <c r="H271" i="165"/>
  <c r="K203" i="165"/>
  <c r="K203" i="190" s="1"/>
  <c r="K206" i="165"/>
  <c r="K206" i="190" s="1"/>
  <c r="L191" i="190" l="1"/>
  <c r="R195" i="165"/>
  <c r="L197" i="165"/>
  <c r="L197" i="190" s="1"/>
  <c r="N191" i="165"/>
  <c r="N197" i="165"/>
  <c r="N197" i="190" s="1"/>
  <c r="K194" i="165"/>
  <c r="K194" i="190" s="1"/>
  <c r="O195" i="165"/>
  <c r="O195" i="190" s="1"/>
  <c r="K197" i="165"/>
  <c r="K197" i="190" s="1"/>
  <c r="J154" i="167"/>
  <c r="P13" i="107"/>
  <c r="P12" i="107" s="1"/>
  <c r="J160" i="167"/>
  <c r="I160" i="167"/>
  <c r="H160" i="167"/>
  <c r="F192" i="165"/>
  <c r="F192" i="190" s="1"/>
  <c r="E358" i="165"/>
  <c r="E358" i="190" s="1"/>
  <c r="I169" i="165"/>
  <c r="J150" i="167"/>
  <c r="O179" i="165"/>
  <c r="O179" i="190" s="1"/>
  <c r="L179" i="165"/>
  <c r="L179" i="190" s="1"/>
  <c r="L172" i="165"/>
  <c r="L172" i="190" s="1"/>
  <c r="O172" i="165"/>
  <c r="O172" i="190" s="1"/>
  <c r="N172" i="165"/>
  <c r="N172" i="190" s="1"/>
  <c r="L177" i="165"/>
  <c r="L177" i="190" s="1"/>
  <c r="N177" i="165"/>
  <c r="N177" i="190" s="1"/>
  <c r="L176" i="165"/>
  <c r="L176" i="190" s="1"/>
  <c r="N176" i="165"/>
  <c r="N176" i="190" s="1"/>
  <c r="L175" i="165"/>
  <c r="L175" i="190" s="1"/>
  <c r="N175" i="165"/>
  <c r="N175" i="190" s="1"/>
  <c r="N191" i="190" l="1"/>
  <c r="N190" i="190" s="1"/>
  <c r="N189" i="190" s="1"/>
  <c r="N190" i="165"/>
  <c r="L190" i="165"/>
  <c r="L190" i="190"/>
  <c r="N171" i="165"/>
  <c r="N171" i="190" s="1"/>
  <c r="N170" i="190" s="1"/>
  <c r="N169" i="190" s="1"/>
  <c r="H192" i="165"/>
  <c r="H192" i="190" s="1"/>
  <c r="O171" i="165"/>
  <c r="O171" i="190" s="1"/>
  <c r="F198" i="165"/>
  <c r="F198" i="190" s="1"/>
  <c r="K191" i="165"/>
  <c r="L171" i="165"/>
  <c r="L171" i="190" s="1"/>
  <c r="F201" i="165"/>
  <c r="F201" i="190" s="1"/>
  <c r="L178" i="165"/>
  <c r="L178" i="190" s="1"/>
  <c r="E82" i="170"/>
  <c r="F206" i="165"/>
  <c r="F206" i="190" s="1"/>
  <c r="E357" i="165"/>
  <c r="E357" i="190" s="1"/>
  <c r="H194" i="165"/>
  <c r="H194" i="190" s="1"/>
  <c r="N173" i="165"/>
  <c r="N173" i="190" s="1"/>
  <c r="F194" i="165"/>
  <c r="F194" i="190" s="1"/>
  <c r="O188" i="165"/>
  <c r="O188" i="190" s="1"/>
  <c r="E188" i="165"/>
  <c r="L189" i="190" l="1"/>
  <c r="E188" i="190"/>
  <c r="E77" i="170"/>
  <c r="L170" i="190"/>
  <c r="K191" i="190"/>
  <c r="K190" i="190" s="1"/>
  <c r="K190" i="165"/>
  <c r="R190" i="165" s="1"/>
  <c r="F197" i="165"/>
  <c r="L173" i="165"/>
  <c r="L173" i="190" s="1"/>
  <c r="H178" i="165"/>
  <c r="H178" i="190" s="1"/>
  <c r="F191" i="165"/>
  <c r="F191" i="190" s="1"/>
  <c r="H191" i="165"/>
  <c r="E356" i="165"/>
  <c r="N170" i="165"/>
  <c r="F178" i="165"/>
  <c r="F178" i="190" s="1"/>
  <c r="E187" i="165"/>
  <c r="E187" i="190" s="1"/>
  <c r="J188" i="165"/>
  <c r="J188" i="190" s="1"/>
  <c r="O187" i="165"/>
  <c r="O187" i="190" s="1"/>
  <c r="H150" i="167"/>
  <c r="J140" i="167"/>
  <c r="J138" i="167"/>
  <c r="J137" i="167" s="1"/>
  <c r="I138" i="167"/>
  <c r="H138" i="167"/>
  <c r="J135" i="167"/>
  <c r="E356" i="190" l="1"/>
  <c r="L169" i="190"/>
  <c r="F190" i="190"/>
  <c r="F189" i="190" s="1"/>
  <c r="H191" i="190"/>
  <c r="H190" i="190" s="1"/>
  <c r="H189" i="190" s="1"/>
  <c r="H190" i="165"/>
  <c r="K189" i="190"/>
  <c r="F190" i="165"/>
  <c r="F197" i="190"/>
  <c r="L170" i="165"/>
  <c r="E186" i="165"/>
  <c r="E186" i="190" s="1"/>
  <c r="P188" i="165"/>
  <c r="P188" i="190" s="1"/>
  <c r="O186" i="165"/>
  <c r="O186" i="190" s="1"/>
  <c r="I150" i="167"/>
  <c r="G150" i="167" s="1"/>
  <c r="J187" i="165"/>
  <c r="J187" i="190" s="1"/>
  <c r="K173" i="165"/>
  <c r="K173" i="190" s="1"/>
  <c r="K170" i="190" s="1"/>
  <c r="K169" i="190" s="1"/>
  <c r="O177" i="165"/>
  <c r="O177" i="190" s="1"/>
  <c r="F173" i="165"/>
  <c r="F173" i="190" s="1"/>
  <c r="G206" i="167"/>
  <c r="G204" i="167"/>
  <c r="G202" i="167"/>
  <c r="G200" i="167"/>
  <c r="G196" i="167"/>
  <c r="G188" i="167"/>
  <c r="G178" i="167"/>
  <c r="G174" i="167"/>
  <c r="G172" i="167"/>
  <c r="J170" i="167"/>
  <c r="K170" i="165" l="1"/>
  <c r="R170" i="165" s="1"/>
  <c r="J186" i="165"/>
  <c r="J186" i="190" s="1"/>
  <c r="H171" i="165"/>
  <c r="H171" i="190" s="1"/>
  <c r="H170" i="190" s="1"/>
  <c r="H169" i="190" s="1"/>
  <c r="F171" i="165"/>
  <c r="F171" i="190" s="1"/>
  <c r="F170" i="190" s="1"/>
  <c r="F169" i="190" s="1"/>
  <c r="H173" i="165"/>
  <c r="H173" i="190" s="1"/>
  <c r="G171" i="165"/>
  <c r="G171" i="190" s="1"/>
  <c r="G170" i="190" s="1"/>
  <c r="G169" i="190" s="1"/>
  <c r="P187" i="165"/>
  <c r="P187" i="190" s="1"/>
  <c r="O20" i="165"/>
  <c r="O20" i="190" s="1"/>
  <c r="E20" i="165"/>
  <c r="E20" i="190" s="1"/>
  <c r="J20" i="165" l="1"/>
  <c r="J20" i="190" s="1"/>
  <c r="G170" i="165"/>
  <c r="F170" i="165"/>
  <c r="P186" i="165"/>
  <c r="P186" i="190" s="1"/>
  <c r="H170" i="165"/>
  <c r="N129" i="165"/>
  <c r="N129" i="190" s="1"/>
  <c r="L129" i="165"/>
  <c r="L129" i="190" s="1"/>
  <c r="N155" i="165"/>
  <c r="N155" i="190" s="1"/>
  <c r="L155" i="165"/>
  <c r="L155" i="190" s="1"/>
  <c r="J122" i="167"/>
  <c r="P20" i="165" l="1"/>
  <c r="P20" i="190" s="1"/>
  <c r="L154" i="165"/>
  <c r="L154" i="190" s="1"/>
  <c r="L128" i="165"/>
  <c r="L128" i="190" s="1"/>
  <c r="N154" i="165"/>
  <c r="N154" i="190" s="1"/>
  <c r="N128" i="165"/>
  <c r="N128" i="190" s="1"/>
  <c r="J131" i="167"/>
  <c r="J128" i="167"/>
  <c r="J125" i="167"/>
  <c r="H127" i="167"/>
  <c r="H126" i="167"/>
  <c r="J124" i="167"/>
  <c r="I124" i="167"/>
  <c r="H124" i="167"/>
  <c r="J121" i="167"/>
  <c r="J119" i="167"/>
  <c r="H120" i="167"/>
  <c r="J117" i="167"/>
  <c r="J115" i="167"/>
  <c r="J114" i="167"/>
  <c r="J110" i="167"/>
  <c r="J109" i="167"/>
  <c r="J108" i="167"/>
  <c r="J107" i="167"/>
  <c r="J106" i="167"/>
  <c r="L118" i="165" l="1"/>
  <c r="L118" i="190" s="1"/>
  <c r="L113" i="190" s="1"/>
  <c r="N118" i="165"/>
  <c r="N118" i="190" s="1"/>
  <c r="N113" i="190" s="1"/>
  <c r="N112" i="190" s="1"/>
  <c r="G130" i="165"/>
  <c r="G130" i="190" s="1"/>
  <c r="J98" i="167"/>
  <c r="I98" i="167"/>
  <c r="J82" i="167"/>
  <c r="J80" i="167"/>
  <c r="J76" i="167"/>
  <c r="L112" i="190" l="1"/>
  <c r="N113" i="165"/>
  <c r="L113" i="165"/>
  <c r="H128" i="165"/>
  <c r="H128" i="190" s="1"/>
  <c r="G154" i="165"/>
  <c r="G154" i="190" s="1"/>
  <c r="H114" i="165"/>
  <c r="H114" i="190" s="1"/>
  <c r="H154" i="165"/>
  <c r="H154" i="190" s="1"/>
  <c r="G128" i="165"/>
  <c r="G128" i="190" s="1"/>
  <c r="J123" i="167"/>
  <c r="K154" i="165"/>
  <c r="K154" i="190" s="1"/>
  <c r="G103" i="165"/>
  <c r="G103" i="190" s="1"/>
  <c r="F103" i="165"/>
  <c r="F103" i="190" s="1"/>
  <c r="K118" i="165" l="1"/>
  <c r="K118" i="190" s="1"/>
  <c r="K113" i="190" s="1"/>
  <c r="G118" i="165"/>
  <c r="G118" i="190" s="1"/>
  <c r="G113" i="190" s="1"/>
  <c r="G112" i="190" s="1"/>
  <c r="H118" i="165"/>
  <c r="H118" i="190" s="1"/>
  <c r="H113" i="190" s="1"/>
  <c r="H112" i="190" s="1"/>
  <c r="H102" i="165"/>
  <c r="H102" i="190" s="1"/>
  <c r="G102" i="165"/>
  <c r="G102" i="190" s="1"/>
  <c r="F102" i="165"/>
  <c r="F102" i="190" s="1"/>
  <c r="H91" i="165"/>
  <c r="H91" i="190" s="1"/>
  <c r="K112" i="190" l="1"/>
  <c r="K113" i="165"/>
  <c r="R113" i="165" s="1"/>
  <c r="G113" i="165"/>
  <c r="F92" i="165"/>
  <c r="F92" i="190" s="1"/>
  <c r="F90" i="165"/>
  <c r="F90" i="190" s="1"/>
  <c r="F89" i="190" s="1"/>
  <c r="F88" i="190" s="1"/>
  <c r="G90" i="165"/>
  <c r="G90" i="190" s="1"/>
  <c r="G89" i="190" s="1"/>
  <c r="G88" i="190" s="1"/>
  <c r="H90" i="165"/>
  <c r="H90" i="190" s="1"/>
  <c r="H89" i="190" s="1"/>
  <c r="H88" i="190" s="1"/>
  <c r="G92" i="165"/>
  <c r="G92" i="190" s="1"/>
  <c r="H92" i="165"/>
  <c r="H92" i="190" s="1"/>
  <c r="H113" i="165"/>
  <c r="K277" i="165"/>
  <c r="K277" i="190" s="1"/>
  <c r="F89" i="165" l="1"/>
  <c r="K276" i="165"/>
  <c r="K276" i="190" s="1"/>
  <c r="K271" i="190" s="1"/>
  <c r="H89" i="165"/>
  <c r="G89" i="165"/>
  <c r="F17" i="165"/>
  <c r="L59" i="165"/>
  <c r="L59" i="190" s="1"/>
  <c r="L55" i="165"/>
  <c r="L55" i="190" s="1"/>
  <c r="L54" i="165"/>
  <c r="L54" i="190" s="1"/>
  <c r="K270" i="190" l="1"/>
  <c r="K359" i="190"/>
  <c r="N55" i="165"/>
  <c r="N55" i="190" s="1"/>
  <c r="L58" i="165"/>
  <c r="L58" i="190" s="1"/>
  <c r="O55" i="165"/>
  <c r="O55" i="190" s="1"/>
  <c r="N58" i="165"/>
  <c r="N58" i="190" s="1"/>
  <c r="K271" i="165"/>
  <c r="R271" i="165" s="1"/>
  <c r="L47" i="165"/>
  <c r="L47" i="190" s="1"/>
  <c r="N47" i="165"/>
  <c r="N47" i="190" s="1"/>
  <c r="N45" i="165" l="1"/>
  <c r="N45" i="190" s="1"/>
  <c r="L45" i="165"/>
  <c r="L45" i="190" s="1"/>
  <c r="I46" i="167"/>
  <c r="H46" i="167"/>
  <c r="L43" i="165" l="1"/>
  <c r="L43" i="190" s="1"/>
  <c r="L42" i="190" s="1"/>
  <c r="N43" i="165"/>
  <c r="N43" i="190" s="1"/>
  <c r="N42" i="190" s="1"/>
  <c r="J42" i="167"/>
  <c r="G43" i="167"/>
  <c r="N41" i="190" l="1"/>
  <c r="N359" i="190"/>
  <c r="L41" i="190"/>
  <c r="L359" i="190"/>
  <c r="L42" i="165"/>
  <c r="N42" i="165"/>
  <c r="M42" i="167"/>
  <c r="J52" i="167" l="1"/>
  <c r="O54" i="165"/>
  <c r="O54" i="190" s="1"/>
  <c r="H55" i="165"/>
  <c r="H55" i="190" s="1"/>
  <c r="H61" i="165" l="1"/>
  <c r="H61" i="190" s="1"/>
  <c r="J31" i="167"/>
  <c r="M31" i="167" s="1"/>
  <c r="O39" i="165"/>
  <c r="O39" i="190" s="1"/>
  <c r="E39" i="165"/>
  <c r="E39" i="190" s="1"/>
  <c r="J25" i="167"/>
  <c r="M25" i="167" s="1"/>
  <c r="H43" i="165" l="1"/>
  <c r="H43" i="190" s="1"/>
  <c r="H42" i="190" s="1"/>
  <c r="H41" i="190" s="1"/>
  <c r="J39" i="165"/>
  <c r="J39" i="190" s="1"/>
  <c r="E73" i="170"/>
  <c r="H31" i="167"/>
  <c r="P39" i="165" l="1"/>
  <c r="P39" i="190" s="1"/>
  <c r="H42" i="165"/>
  <c r="I31" i="167"/>
  <c r="L31" i="167" s="1"/>
  <c r="K31" i="167"/>
  <c r="G31" i="167" l="1"/>
  <c r="G19" i="167"/>
  <c r="G18" i="165"/>
  <c r="G18" i="190" s="1"/>
  <c r="G17" i="190" s="1"/>
  <c r="G16" i="190" l="1"/>
  <c r="H18" i="165"/>
  <c r="H18" i="190" s="1"/>
  <c r="H17" i="190" s="1"/>
  <c r="G17" i="165"/>
  <c r="H266" i="165"/>
  <c r="H266" i="190" s="1"/>
  <c r="G266" i="165"/>
  <c r="G266" i="190" s="1"/>
  <c r="H16" i="190" l="1"/>
  <c r="H265" i="165"/>
  <c r="H265" i="190" s="1"/>
  <c r="H242" i="190" s="1"/>
  <c r="H241" i="190" s="1"/>
  <c r="G265" i="165"/>
  <c r="G265" i="190" s="1"/>
  <c r="G242" i="190" s="1"/>
  <c r="H17" i="165"/>
  <c r="O167" i="165"/>
  <c r="O167" i="190" s="1"/>
  <c r="E167" i="165"/>
  <c r="E167" i="190" s="1"/>
  <c r="O159" i="165"/>
  <c r="O159" i="190" s="1"/>
  <c r="E159" i="165"/>
  <c r="E159" i="190" s="1"/>
  <c r="O156" i="165"/>
  <c r="O156" i="190" s="1"/>
  <c r="E156" i="165"/>
  <c r="E156" i="190" s="1"/>
  <c r="O155" i="165"/>
  <c r="O155" i="190" s="1"/>
  <c r="O139" i="165"/>
  <c r="O139" i="190" s="1"/>
  <c r="E139" i="165"/>
  <c r="E139" i="190" s="1"/>
  <c r="O138" i="165"/>
  <c r="O138" i="190" s="1"/>
  <c r="O136" i="165"/>
  <c r="O136" i="190" s="1"/>
  <c r="E136" i="165"/>
  <c r="E136" i="190" s="1"/>
  <c r="O135" i="165"/>
  <c r="O135" i="190" s="1"/>
  <c r="E135" i="165"/>
  <c r="E135" i="190" s="1"/>
  <c r="O133" i="165"/>
  <c r="O133" i="190" s="1"/>
  <c r="E133" i="165"/>
  <c r="E133" i="190" s="1"/>
  <c r="O130" i="165"/>
  <c r="O130" i="190" s="1"/>
  <c r="E130" i="165"/>
  <c r="E130" i="190" s="1"/>
  <c r="O129" i="165"/>
  <c r="O129" i="190" s="1"/>
  <c r="E129" i="165"/>
  <c r="E129" i="190" s="1"/>
  <c r="O127" i="165"/>
  <c r="O127" i="190" s="1"/>
  <c r="E127" i="165"/>
  <c r="E127" i="190" s="1"/>
  <c r="O125" i="165"/>
  <c r="O125" i="190" s="1"/>
  <c r="E125" i="165"/>
  <c r="E125" i="190" s="1"/>
  <c r="O124" i="165"/>
  <c r="O124" i="190" s="1"/>
  <c r="E124" i="165"/>
  <c r="E124" i="190" s="1"/>
  <c r="O123" i="165"/>
  <c r="O123" i="190" s="1"/>
  <c r="E123" i="165"/>
  <c r="E123" i="190" s="1"/>
  <c r="O122" i="165"/>
  <c r="O122" i="190" s="1"/>
  <c r="E122" i="165"/>
  <c r="E122" i="190" s="1"/>
  <c r="O121" i="165"/>
  <c r="O121" i="190" s="1"/>
  <c r="E121" i="165"/>
  <c r="E121" i="190" s="1"/>
  <c r="O120" i="165"/>
  <c r="O120" i="190" s="1"/>
  <c r="O115" i="165"/>
  <c r="O115" i="190" s="1"/>
  <c r="E115" i="165"/>
  <c r="E115" i="190" s="1"/>
  <c r="G241" i="190" l="1"/>
  <c r="G359" i="190"/>
  <c r="H359" i="190"/>
  <c r="O158" i="165"/>
  <c r="O158" i="190" s="1"/>
  <c r="E158" i="165"/>
  <c r="E158" i="190" s="1"/>
  <c r="E128" i="165"/>
  <c r="E128" i="190" s="1"/>
  <c r="J133" i="165"/>
  <c r="J133" i="190" s="1"/>
  <c r="J136" i="165"/>
  <c r="J136" i="190" s="1"/>
  <c r="J121" i="165"/>
  <c r="J121" i="190" s="1"/>
  <c r="H108" i="167"/>
  <c r="H110" i="167"/>
  <c r="H113" i="167"/>
  <c r="H115" i="167"/>
  <c r="H118" i="167"/>
  <c r="H242" i="165"/>
  <c r="J124" i="165"/>
  <c r="J124" i="190" s="1"/>
  <c r="J130" i="165"/>
  <c r="J130" i="190" s="1"/>
  <c r="J135" i="165"/>
  <c r="J135" i="190" s="1"/>
  <c r="H125" i="167"/>
  <c r="O114" i="165"/>
  <c r="O114" i="190" s="1"/>
  <c r="J123" i="165"/>
  <c r="J123" i="190" s="1"/>
  <c r="J125" i="165"/>
  <c r="J125" i="190" s="1"/>
  <c r="J122" i="165"/>
  <c r="J122" i="190" s="1"/>
  <c r="J127" i="165"/>
  <c r="J127" i="190" s="1"/>
  <c r="E114" i="165"/>
  <c r="E114" i="190" s="1"/>
  <c r="H109" i="167"/>
  <c r="H111" i="167"/>
  <c r="H117" i="167"/>
  <c r="H119" i="167"/>
  <c r="J156" i="165"/>
  <c r="J156" i="190" s="1"/>
  <c r="G242" i="165"/>
  <c r="E120" i="165"/>
  <c r="E120" i="190" s="1"/>
  <c r="F119" i="165"/>
  <c r="F119" i="190" s="1"/>
  <c r="E138" i="165"/>
  <c r="E138" i="190" s="1"/>
  <c r="F137" i="165"/>
  <c r="F137" i="190" s="1"/>
  <c r="E155" i="165"/>
  <c r="E155" i="190" s="1"/>
  <c r="F154" i="165"/>
  <c r="F154" i="190" s="1"/>
  <c r="J115" i="165"/>
  <c r="J115" i="190" s="1"/>
  <c r="H131" i="167"/>
  <c r="E166" i="165"/>
  <c r="E166" i="190" s="1"/>
  <c r="J167" i="165"/>
  <c r="J167" i="190" s="1"/>
  <c r="O166" i="165"/>
  <c r="O166" i="190" s="1"/>
  <c r="H128" i="167"/>
  <c r="J159" i="165"/>
  <c r="J159" i="190" s="1"/>
  <c r="J155" i="165"/>
  <c r="J155" i="190" s="1"/>
  <c r="O154" i="165"/>
  <c r="O154" i="190" s="1"/>
  <c r="H122" i="167"/>
  <c r="J139" i="165"/>
  <c r="J139" i="190" s="1"/>
  <c r="J138" i="165"/>
  <c r="J138" i="190" s="1"/>
  <c r="O137" i="165"/>
  <c r="O137" i="190" s="1"/>
  <c r="H114" i="167"/>
  <c r="J129" i="165"/>
  <c r="J129" i="190" s="1"/>
  <c r="O128" i="165"/>
  <c r="O128" i="190" s="1"/>
  <c r="J120" i="165"/>
  <c r="J120" i="190" s="1"/>
  <c r="O119" i="165"/>
  <c r="O119" i="190" s="1"/>
  <c r="H107" i="167"/>
  <c r="P124" i="165"/>
  <c r="P124" i="190" s="1"/>
  <c r="P136" i="165"/>
  <c r="P136" i="190" s="1"/>
  <c r="J158" i="165" l="1"/>
  <c r="J158" i="190" s="1"/>
  <c r="P139" i="165"/>
  <c r="P139" i="190" s="1"/>
  <c r="F118" i="165"/>
  <c r="F118" i="190" s="1"/>
  <c r="F113" i="190" s="1"/>
  <c r="O118" i="165"/>
  <c r="O118" i="190" s="1"/>
  <c r="P133" i="165"/>
  <c r="P133" i="190" s="1"/>
  <c r="P123" i="165"/>
  <c r="P123" i="190" s="1"/>
  <c r="P121" i="165"/>
  <c r="P121" i="190" s="1"/>
  <c r="P130" i="165"/>
  <c r="P130" i="190" s="1"/>
  <c r="P122" i="165"/>
  <c r="P122" i="190" s="1"/>
  <c r="P135" i="165"/>
  <c r="P135" i="190" s="1"/>
  <c r="P125" i="165"/>
  <c r="P125" i="190" s="1"/>
  <c r="H123" i="167"/>
  <c r="P127" i="165"/>
  <c r="P127" i="190" s="1"/>
  <c r="P156" i="165"/>
  <c r="P156" i="190" s="1"/>
  <c r="P129" i="165"/>
  <c r="P129" i="190" s="1"/>
  <c r="O157" i="165"/>
  <c r="O157" i="190" s="1"/>
  <c r="O165" i="165"/>
  <c r="O165" i="190" s="1"/>
  <c r="J114" i="165"/>
  <c r="J114" i="190" s="1"/>
  <c r="E137" i="165"/>
  <c r="E137" i="190" s="1"/>
  <c r="I108" i="167"/>
  <c r="I109" i="167"/>
  <c r="I115" i="167"/>
  <c r="I107" i="167"/>
  <c r="I119" i="167"/>
  <c r="P159" i="165"/>
  <c r="P159" i="190" s="1"/>
  <c r="P167" i="165"/>
  <c r="P167" i="190" s="1"/>
  <c r="P120" i="165"/>
  <c r="P120" i="190" s="1"/>
  <c r="E157" i="165"/>
  <c r="E157" i="190" s="1"/>
  <c r="E165" i="165"/>
  <c r="E165" i="190" s="1"/>
  <c r="E154" i="165"/>
  <c r="E154" i="190" s="1"/>
  <c r="H106" i="167"/>
  <c r="I125" i="167"/>
  <c r="I113" i="167"/>
  <c r="I111" i="167"/>
  <c r="I118" i="167"/>
  <c r="I110" i="167"/>
  <c r="I117" i="167"/>
  <c r="P138" i="165"/>
  <c r="P138" i="190" s="1"/>
  <c r="H121" i="167"/>
  <c r="P115" i="165"/>
  <c r="P115" i="190" s="1"/>
  <c r="P155" i="165"/>
  <c r="P155" i="190" s="1"/>
  <c r="E119" i="165"/>
  <c r="E119" i="190" s="1"/>
  <c r="I131" i="167"/>
  <c r="J166" i="165"/>
  <c r="J166" i="190" s="1"/>
  <c r="I128" i="167"/>
  <c r="I123" i="167"/>
  <c r="J154" i="165"/>
  <c r="J154" i="190" s="1"/>
  <c r="I122" i="167"/>
  <c r="I121" i="167"/>
  <c r="J137" i="165"/>
  <c r="J137" i="190" s="1"/>
  <c r="I114" i="167"/>
  <c r="J128" i="165"/>
  <c r="J128" i="190" s="1"/>
  <c r="I106" i="167"/>
  <c r="J119" i="165"/>
  <c r="J119" i="190" s="1"/>
  <c r="G231" i="167"/>
  <c r="O346" i="165"/>
  <c r="O346" i="190" s="1"/>
  <c r="E346" i="165"/>
  <c r="E346" i="190" s="1"/>
  <c r="J344" i="165"/>
  <c r="J344" i="190" s="1"/>
  <c r="E344" i="165"/>
  <c r="E344" i="190" s="1"/>
  <c r="O341" i="165"/>
  <c r="O341" i="190" s="1"/>
  <c r="E341" i="165"/>
  <c r="E341" i="190" s="1"/>
  <c r="O336" i="165"/>
  <c r="O336" i="190" s="1"/>
  <c r="E336" i="165"/>
  <c r="E336" i="190" s="1"/>
  <c r="J335" i="165"/>
  <c r="J335" i="190" s="1"/>
  <c r="E335" i="165"/>
  <c r="E335" i="190" s="1"/>
  <c r="J334" i="165"/>
  <c r="J334" i="190" s="1"/>
  <c r="E334" i="165"/>
  <c r="E334" i="190" s="1"/>
  <c r="O329" i="165"/>
  <c r="O329" i="190" s="1"/>
  <c r="E329" i="165"/>
  <c r="E329" i="190" s="1"/>
  <c r="O311" i="165"/>
  <c r="O311" i="190" s="1"/>
  <c r="E311" i="165"/>
  <c r="E311" i="190" s="1"/>
  <c r="O305" i="165"/>
  <c r="O305" i="190" s="1"/>
  <c r="F305" i="165"/>
  <c r="F305" i="190" s="1"/>
  <c r="O303" i="165"/>
  <c r="O303" i="190" s="1"/>
  <c r="E303" i="165"/>
  <c r="E303" i="190" s="1"/>
  <c r="O295" i="165"/>
  <c r="O295" i="190" s="1"/>
  <c r="E295" i="165"/>
  <c r="E295" i="190" s="1"/>
  <c r="E269" i="165"/>
  <c r="J268" i="165"/>
  <c r="J268" i="190" s="1"/>
  <c r="E268" i="165"/>
  <c r="E268" i="190" s="1"/>
  <c r="E267" i="165"/>
  <c r="E267" i="190" s="1"/>
  <c r="O261" i="165"/>
  <c r="O261" i="190" s="1"/>
  <c r="E261" i="165"/>
  <c r="E261" i="190" s="1"/>
  <c r="O260" i="165"/>
  <c r="O260" i="190" s="1"/>
  <c r="E260" i="165"/>
  <c r="E260" i="190" s="1"/>
  <c r="E258" i="165"/>
  <c r="E258" i="190" s="1"/>
  <c r="O255" i="165"/>
  <c r="O255" i="190" s="1"/>
  <c r="E255" i="165"/>
  <c r="E255" i="190" s="1"/>
  <c r="O252" i="165"/>
  <c r="O252" i="190" s="1"/>
  <c r="E252" i="165"/>
  <c r="E252" i="190" s="1"/>
  <c r="O251" i="165"/>
  <c r="O251" i="190" s="1"/>
  <c r="E251" i="165"/>
  <c r="E251" i="190" s="1"/>
  <c r="O250" i="165"/>
  <c r="O250" i="190" s="1"/>
  <c r="E250" i="165"/>
  <c r="E250" i="190" s="1"/>
  <c r="O249" i="165"/>
  <c r="O249" i="190" s="1"/>
  <c r="E249" i="165"/>
  <c r="E249" i="190" s="1"/>
  <c r="O246" i="165"/>
  <c r="O246" i="190" s="1"/>
  <c r="E246" i="165"/>
  <c r="E246" i="190" s="1"/>
  <c r="O244" i="165"/>
  <c r="O244" i="190" s="1"/>
  <c r="E244" i="165"/>
  <c r="E244" i="190" s="1"/>
  <c r="M241" i="165"/>
  <c r="L241" i="165"/>
  <c r="K241" i="165"/>
  <c r="I241" i="165"/>
  <c r="H241" i="165"/>
  <c r="G241" i="165"/>
  <c r="F241" i="165"/>
  <c r="N241" i="165"/>
  <c r="O239" i="165"/>
  <c r="O239" i="190" s="1"/>
  <c r="E239" i="165"/>
  <c r="E239" i="190" s="1"/>
  <c r="O236" i="165"/>
  <c r="O236" i="190" s="1"/>
  <c r="E236" i="165"/>
  <c r="E236" i="190" s="1"/>
  <c r="O233" i="165"/>
  <c r="O233" i="190" s="1"/>
  <c r="E233" i="165"/>
  <c r="E233" i="190" s="1"/>
  <c r="O231" i="165"/>
  <c r="O231" i="190" s="1"/>
  <c r="E231" i="165"/>
  <c r="E231" i="190" s="1"/>
  <c r="O230" i="165"/>
  <c r="O230" i="190" s="1"/>
  <c r="E230" i="165"/>
  <c r="E230" i="190" s="1"/>
  <c r="O229" i="165"/>
  <c r="O229" i="190" s="1"/>
  <c r="E229" i="165"/>
  <c r="O225" i="165"/>
  <c r="O225" i="190" s="1"/>
  <c r="E225" i="165"/>
  <c r="E225" i="190" s="1"/>
  <c r="M222" i="165"/>
  <c r="L222" i="165"/>
  <c r="K222" i="165"/>
  <c r="M170" i="167" s="1"/>
  <c r="H222" i="165"/>
  <c r="F222" i="165"/>
  <c r="N222" i="165"/>
  <c r="I222" i="165"/>
  <c r="G222" i="165"/>
  <c r="E229" i="190" l="1"/>
  <c r="H175" i="167"/>
  <c r="F112" i="190"/>
  <c r="P158" i="165"/>
  <c r="P158" i="190" s="1"/>
  <c r="J157" i="165"/>
  <c r="J157" i="190" s="1"/>
  <c r="E118" i="165"/>
  <c r="E118" i="190" s="1"/>
  <c r="J118" i="165"/>
  <c r="J118" i="190" s="1"/>
  <c r="P119" i="165"/>
  <c r="P119" i="190" s="1"/>
  <c r="Q335" i="165"/>
  <c r="H234" i="167"/>
  <c r="H230" i="167" s="1"/>
  <c r="P166" i="165"/>
  <c r="P166" i="190" s="1"/>
  <c r="E257" i="165"/>
  <c r="E257" i="190" s="1"/>
  <c r="P128" i="165"/>
  <c r="P128" i="190" s="1"/>
  <c r="E164" i="165"/>
  <c r="E164" i="190" s="1"/>
  <c r="J231" i="165"/>
  <c r="J231" i="190" s="1"/>
  <c r="E224" i="165"/>
  <c r="E224" i="190" s="1"/>
  <c r="H176" i="167"/>
  <c r="H180" i="167"/>
  <c r="H190" i="167"/>
  <c r="H192" i="167"/>
  <c r="H195" i="167"/>
  <c r="J261" i="165"/>
  <c r="J261" i="190" s="1"/>
  <c r="Q334" i="165"/>
  <c r="J165" i="165"/>
  <c r="J165" i="190" s="1"/>
  <c r="P114" i="165"/>
  <c r="P114" i="190" s="1"/>
  <c r="O224" i="165"/>
  <c r="O224" i="190" s="1"/>
  <c r="J230" i="165"/>
  <c r="J230" i="190" s="1"/>
  <c r="J233" i="165"/>
  <c r="J233" i="190" s="1"/>
  <c r="J246" i="165"/>
  <c r="J246" i="190" s="1"/>
  <c r="J250" i="165"/>
  <c r="J250" i="190" s="1"/>
  <c r="J252" i="165"/>
  <c r="J252" i="190" s="1"/>
  <c r="E294" i="165"/>
  <c r="E294" i="190" s="1"/>
  <c r="E293" i="190" s="1"/>
  <c r="E305" i="165"/>
  <c r="E305" i="190" s="1"/>
  <c r="E328" i="165"/>
  <c r="E328" i="190" s="1"/>
  <c r="H253" i="167"/>
  <c r="J337" i="165"/>
  <c r="J337" i="190" s="1"/>
  <c r="O161" i="165"/>
  <c r="O161" i="190" s="1"/>
  <c r="O113" i="190" s="1"/>
  <c r="H193" i="167"/>
  <c r="O294" i="165"/>
  <c r="O294" i="190" s="1"/>
  <c r="O293" i="190" s="1"/>
  <c r="J305" i="165"/>
  <c r="J305" i="190" s="1"/>
  <c r="O328" i="165"/>
  <c r="O328" i="190" s="1"/>
  <c r="E340" i="165"/>
  <c r="E340" i="190" s="1"/>
  <c r="P137" i="165"/>
  <c r="P137" i="190" s="1"/>
  <c r="H177" i="167"/>
  <c r="J251" i="165"/>
  <c r="J251" i="190" s="1"/>
  <c r="H203" i="167"/>
  <c r="H254" i="167"/>
  <c r="P154" i="165"/>
  <c r="P154" i="190" s="1"/>
  <c r="F113" i="165"/>
  <c r="E302" i="165"/>
  <c r="E302" i="190" s="1"/>
  <c r="I253" i="167"/>
  <c r="E243" i="165"/>
  <c r="E243" i="190" s="1"/>
  <c r="J263" i="165"/>
  <c r="J263" i="190" s="1"/>
  <c r="O262" i="165"/>
  <c r="O262" i="190" s="1"/>
  <c r="J303" i="165"/>
  <c r="J303" i="190" s="1"/>
  <c r="O302" i="165"/>
  <c r="O302" i="190" s="1"/>
  <c r="J311" i="165"/>
  <c r="J311" i="190" s="1"/>
  <c r="O310" i="165"/>
  <c r="O310" i="190" s="1"/>
  <c r="J336" i="165"/>
  <c r="J336" i="190" s="1"/>
  <c r="O332" i="165"/>
  <c r="O332" i="190" s="1"/>
  <c r="H259" i="167"/>
  <c r="E343" i="165"/>
  <c r="E343" i="190" s="1"/>
  <c r="J255" i="165"/>
  <c r="J255" i="190" s="1"/>
  <c r="O254" i="165"/>
  <c r="O254" i="190" s="1"/>
  <c r="I259" i="167"/>
  <c r="J343" i="165"/>
  <c r="J343" i="190" s="1"/>
  <c r="H260" i="167"/>
  <c r="E345" i="165"/>
  <c r="E345" i="190" s="1"/>
  <c r="J239" i="165"/>
  <c r="J239" i="190" s="1"/>
  <c r="O238" i="165"/>
  <c r="O238" i="190" s="1"/>
  <c r="J258" i="165"/>
  <c r="J258" i="190" s="1"/>
  <c r="I208" i="167"/>
  <c r="J266" i="165"/>
  <c r="J266" i="190" s="1"/>
  <c r="E310" i="165"/>
  <c r="E310" i="190" s="1"/>
  <c r="J341" i="165"/>
  <c r="J341" i="190" s="1"/>
  <c r="O340" i="165"/>
  <c r="O340" i="190" s="1"/>
  <c r="J346" i="165"/>
  <c r="J346" i="190" s="1"/>
  <c r="O345" i="165"/>
  <c r="O345" i="190" s="1"/>
  <c r="I252" i="167"/>
  <c r="J333" i="165"/>
  <c r="J333" i="190" s="1"/>
  <c r="H252" i="167"/>
  <c r="E333" i="165"/>
  <c r="E333" i="190" s="1"/>
  <c r="H208" i="167"/>
  <c r="E266" i="165"/>
  <c r="E266" i="190" s="1"/>
  <c r="H201" i="167"/>
  <c r="E259" i="165"/>
  <c r="E259" i="190" s="1"/>
  <c r="J260" i="165"/>
  <c r="J260" i="190" s="1"/>
  <c r="H199" i="167"/>
  <c r="H198" i="167"/>
  <c r="E254" i="165"/>
  <c r="E254" i="190" s="1"/>
  <c r="O243" i="165"/>
  <c r="O243" i="190" s="1"/>
  <c r="J249" i="165"/>
  <c r="J249" i="190" s="1"/>
  <c r="O248" i="165"/>
  <c r="O248" i="190" s="1"/>
  <c r="H191" i="167"/>
  <c r="E248" i="165"/>
  <c r="E248" i="190" s="1"/>
  <c r="J236" i="165"/>
  <c r="J236" i="190" s="1"/>
  <c r="H184" i="167"/>
  <c r="E238" i="165"/>
  <c r="E238" i="190" s="1"/>
  <c r="H181" i="167"/>
  <c r="J229" i="165"/>
  <c r="J229" i="190" s="1"/>
  <c r="O228" i="165"/>
  <c r="O228" i="190" s="1"/>
  <c r="E228" i="165"/>
  <c r="E228" i="190" s="1"/>
  <c r="J295" i="165"/>
  <c r="J295" i="190" s="1"/>
  <c r="J329" i="165"/>
  <c r="J329" i="190" s="1"/>
  <c r="J225" i="165"/>
  <c r="J225" i="190" s="1"/>
  <c r="H209" i="167"/>
  <c r="G209" i="167" s="1"/>
  <c r="P269" i="165"/>
  <c r="J244" i="165"/>
  <c r="J244" i="190" s="1"/>
  <c r="H207" i="167"/>
  <c r="G207" i="167" s="1"/>
  <c r="P267" i="165"/>
  <c r="P267" i="190" s="1"/>
  <c r="P334" i="165"/>
  <c r="P334" i="190" s="1"/>
  <c r="P268" i="165"/>
  <c r="P268" i="190" s="1"/>
  <c r="P335" i="165"/>
  <c r="P335" i="190" s="1"/>
  <c r="P344" i="165"/>
  <c r="P344" i="190" s="1"/>
  <c r="O112" i="190" l="1"/>
  <c r="J113" i="190"/>
  <c r="J112" i="190" s="1"/>
  <c r="E292" i="190"/>
  <c r="O292" i="190"/>
  <c r="J293" i="190"/>
  <c r="J292" i="190" s="1"/>
  <c r="P165" i="165"/>
  <c r="P165" i="190" s="1"/>
  <c r="E307" i="165"/>
  <c r="E307" i="190" s="1"/>
  <c r="O307" i="165"/>
  <c r="O307" i="190" s="1"/>
  <c r="P118" i="165"/>
  <c r="P118" i="190" s="1"/>
  <c r="P251" i="165"/>
  <c r="P251" i="190" s="1"/>
  <c r="P250" i="165"/>
  <c r="P250" i="190" s="1"/>
  <c r="F34" i="108"/>
  <c r="I234" i="167"/>
  <c r="P246" i="165"/>
  <c r="P246" i="190" s="1"/>
  <c r="P231" i="165"/>
  <c r="P231" i="190" s="1"/>
  <c r="Q337" i="165"/>
  <c r="G208" i="167"/>
  <c r="G29" i="153"/>
  <c r="J257" i="165"/>
  <c r="J257" i="190" s="1"/>
  <c r="E256" i="165"/>
  <c r="E256" i="190" s="1"/>
  <c r="P337" i="165"/>
  <c r="P337" i="190" s="1"/>
  <c r="P164" i="165"/>
  <c r="P164" i="190" s="1"/>
  <c r="E163" i="165"/>
  <c r="E163" i="190" s="1"/>
  <c r="H130" i="167"/>
  <c r="G130" i="167" s="1"/>
  <c r="P261" i="165"/>
  <c r="P261" i="190" s="1"/>
  <c r="P233" i="165"/>
  <c r="P233" i="190" s="1"/>
  <c r="P252" i="165"/>
  <c r="P252" i="190" s="1"/>
  <c r="P230" i="165"/>
  <c r="P230" i="190" s="1"/>
  <c r="I255" i="167"/>
  <c r="G255" i="167" s="1"/>
  <c r="P305" i="165"/>
  <c r="P305" i="190" s="1"/>
  <c r="H249" i="167"/>
  <c r="G253" i="167"/>
  <c r="O227" i="165"/>
  <c r="O227" i="190" s="1"/>
  <c r="O247" i="165"/>
  <c r="O247" i="190" s="1"/>
  <c r="P255" i="165"/>
  <c r="P255" i="190" s="1"/>
  <c r="J302" i="165"/>
  <c r="J302" i="190" s="1"/>
  <c r="O293" i="165"/>
  <c r="P343" i="165"/>
  <c r="P343" i="190" s="1"/>
  <c r="J294" i="165"/>
  <c r="J294" i="190" s="1"/>
  <c r="P229" i="165"/>
  <c r="P229" i="190" s="1"/>
  <c r="P249" i="165"/>
  <c r="P249" i="190" s="1"/>
  <c r="E265" i="165"/>
  <c r="E265" i="190" s="1"/>
  <c r="J265" i="165"/>
  <c r="J265" i="190" s="1"/>
  <c r="O235" i="165"/>
  <c r="O235" i="190" s="1"/>
  <c r="I195" i="167"/>
  <c r="G195" i="167" s="1"/>
  <c r="I190" i="167"/>
  <c r="G190" i="167" s="1"/>
  <c r="I176" i="167"/>
  <c r="G176" i="167" s="1"/>
  <c r="P157" i="165"/>
  <c r="P157" i="190" s="1"/>
  <c r="E247" i="165"/>
  <c r="E247" i="190" s="1"/>
  <c r="P260" i="165"/>
  <c r="P260" i="190" s="1"/>
  <c r="J340" i="165"/>
  <c r="J340" i="190" s="1"/>
  <c r="J238" i="165"/>
  <c r="J238" i="190" s="1"/>
  <c r="I193" i="167"/>
  <c r="G193" i="167" s="1"/>
  <c r="O113" i="165"/>
  <c r="E332" i="165"/>
  <c r="E332" i="190" s="1"/>
  <c r="O342" i="165"/>
  <c r="O342" i="190" s="1"/>
  <c r="O339" i="190" s="1"/>
  <c r="O331" i="165"/>
  <c r="O331" i="190" s="1"/>
  <c r="O327" i="190" s="1"/>
  <c r="E293" i="165"/>
  <c r="I192" i="167"/>
  <c r="G192" i="167" s="1"/>
  <c r="I180" i="167"/>
  <c r="G180" i="167" s="1"/>
  <c r="J161" i="165"/>
  <c r="J161" i="190" s="1"/>
  <c r="I203" i="167"/>
  <c r="G203" i="167" s="1"/>
  <c r="I177" i="167"/>
  <c r="G177" i="167" s="1"/>
  <c r="I199" i="167"/>
  <c r="G199" i="167" s="1"/>
  <c r="O259" i="165"/>
  <c r="O259" i="190" s="1"/>
  <c r="J262" i="165"/>
  <c r="J262" i="190" s="1"/>
  <c r="P236" i="165"/>
  <c r="P236" i="190" s="1"/>
  <c r="E235" i="165"/>
  <c r="E235" i="190" s="1"/>
  <c r="H257" i="167"/>
  <c r="I254" i="167"/>
  <c r="G254" i="167" s="1"/>
  <c r="Q336" i="165"/>
  <c r="I205" i="167"/>
  <c r="G205" i="167" s="1"/>
  <c r="P341" i="165"/>
  <c r="P341" i="190" s="1"/>
  <c r="I184" i="167"/>
  <c r="G184" i="167" s="1"/>
  <c r="G259" i="167"/>
  <c r="P239" i="165"/>
  <c r="P239" i="190" s="1"/>
  <c r="P303" i="165"/>
  <c r="P303" i="190" s="1"/>
  <c r="P258" i="165"/>
  <c r="P258" i="190" s="1"/>
  <c r="G252" i="167"/>
  <c r="P295" i="165"/>
  <c r="P295" i="190" s="1"/>
  <c r="I260" i="167"/>
  <c r="G260" i="167" s="1"/>
  <c r="J345" i="165"/>
  <c r="J345" i="190" s="1"/>
  <c r="J310" i="165"/>
  <c r="J310" i="190" s="1"/>
  <c r="P311" i="165"/>
  <c r="P311" i="190" s="1"/>
  <c r="J332" i="165"/>
  <c r="J332" i="190" s="1"/>
  <c r="I198" i="167"/>
  <c r="G198" i="167" s="1"/>
  <c r="J254" i="165"/>
  <c r="J254" i="190" s="1"/>
  <c r="P346" i="165"/>
  <c r="P346" i="190" s="1"/>
  <c r="P336" i="165"/>
  <c r="P336" i="190" s="1"/>
  <c r="P263" i="165"/>
  <c r="P263" i="190" s="1"/>
  <c r="E342" i="165"/>
  <c r="E342" i="190" s="1"/>
  <c r="E339" i="190" s="1"/>
  <c r="P333" i="165"/>
  <c r="P333" i="190" s="1"/>
  <c r="P329" i="165"/>
  <c r="P329" i="190" s="1"/>
  <c r="J328" i="165"/>
  <c r="J328" i="190" s="1"/>
  <c r="P266" i="165"/>
  <c r="P266" i="190" s="1"/>
  <c r="I201" i="167"/>
  <c r="G201" i="167" s="1"/>
  <c r="H171" i="167"/>
  <c r="H170" i="167" s="1"/>
  <c r="I191" i="167"/>
  <c r="G191" i="167" s="1"/>
  <c r="J248" i="165"/>
  <c r="J248" i="190" s="1"/>
  <c r="P244" i="165"/>
  <c r="P244" i="190" s="1"/>
  <c r="J243" i="165"/>
  <c r="J243" i="190" s="1"/>
  <c r="I181" i="167"/>
  <c r="G181" i="167" s="1"/>
  <c r="E227" i="165"/>
  <c r="E227" i="190" s="1"/>
  <c r="I175" i="167"/>
  <c r="J228" i="165"/>
  <c r="J228" i="190" s="1"/>
  <c r="P225" i="165"/>
  <c r="P225" i="190" s="1"/>
  <c r="J224" i="165"/>
  <c r="J224" i="190" s="1"/>
  <c r="H187" i="167"/>
  <c r="H186" i="167" s="1"/>
  <c r="O338" i="190" l="1"/>
  <c r="J339" i="190"/>
  <c r="J338" i="190" s="1"/>
  <c r="E338" i="190"/>
  <c r="P339" i="190"/>
  <c r="P338" i="190" s="1"/>
  <c r="O326" i="190"/>
  <c r="J327" i="190"/>
  <c r="J326" i="190" s="1"/>
  <c r="E242" i="190"/>
  <c r="P293" i="190"/>
  <c r="P292" i="190" s="1"/>
  <c r="J307" i="165"/>
  <c r="J307" i="190" s="1"/>
  <c r="E306" i="165"/>
  <c r="E306" i="190" s="1"/>
  <c r="E301" i="190" s="1"/>
  <c r="E162" i="165"/>
  <c r="E162" i="190" s="1"/>
  <c r="G234" i="167"/>
  <c r="G230" i="167" s="1"/>
  <c r="I230" i="167"/>
  <c r="P163" i="165"/>
  <c r="P163" i="190" s="1"/>
  <c r="J259" i="165"/>
  <c r="J259" i="190" s="1"/>
  <c r="J235" i="165"/>
  <c r="J235" i="190" s="1"/>
  <c r="E253" i="165"/>
  <c r="E253" i="190" s="1"/>
  <c r="P248" i="165"/>
  <c r="P248" i="190" s="1"/>
  <c r="H101" i="167"/>
  <c r="P257" i="165"/>
  <c r="P257" i="190" s="1"/>
  <c r="J256" i="165"/>
  <c r="J256" i="190" s="1"/>
  <c r="O253" i="165"/>
  <c r="O253" i="190" s="1"/>
  <c r="O242" i="190" s="1"/>
  <c r="P228" i="165"/>
  <c r="P228" i="190" s="1"/>
  <c r="O234" i="165"/>
  <c r="O234" i="190" s="1"/>
  <c r="O223" i="190" s="1"/>
  <c r="I249" i="167"/>
  <c r="O339" i="165"/>
  <c r="J331" i="165"/>
  <c r="J331" i="190" s="1"/>
  <c r="O306" i="165"/>
  <c r="O306" i="190" s="1"/>
  <c r="O301" i="190" s="1"/>
  <c r="P265" i="165"/>
  <c r="P265" i="190" s="1"/>
  <c r="P345" i="165"/>
  <c r="P345" i="190" s="1"/>
  <c r="J342" i="165"/>
  <c r="J342" i="190" s="1"/>
  <c r="E331" i="165"/>
  <c r="E331" i="190" s="1"/>
  <c r="E327" i="190" s="1"/>
  <c r="P224" i="165"/>
  <c r="P224" i="190" s="1"/>
  <c r="P243" i="165"/>
  <c r="P243" i="190" s="1"/>
  <c r="E339" i="165"/>
  <c r="J227" i="165"/>
  <c r="J227" i="190" s="1"/>
  <c r="J247" i="165"/>
  <c r="J247" i="190" s="1"/>
  <c r="P310" i="165"/>
  <c r="P310" i="190" s="1"/>
  <c r="P340" i="165"/>
  <c r="P340" i="190" s="1"/>
  <c r="E234" i="165"/>
  <c r="E234" i="190" s="1"/>
  <c r="E223" i="190" s="1"/>
  <c r="P328" i="165"/>
  <c r="P328" i="190" s="1"/>
  <c r="P294" i="165"/>
  <c r="P294" i="190" s="1"/>
  <c r="P238" i="165"/>
  <c r="P238" i="190" s="1"/>
  <c r="E161" i="165"/>
  <c r="E161" i="190" s="1"/>
  <c r="E113" i="190" s="1"/>
  <c r="O327" i="165"/>
  <c r="J327" i="165" s="1"/>
  <c r="P254" i="165"/>
  <c r="P254" i="190" s="1"/>
  <c r="P302" i="165"/>
  <c r="P302" i="190" s="1"/>
  <c r="P262" i="165"/>
  <c r="P262" i="190" s="1"/>
  <c r="I257" i="167"/>
  <c r="G257" i="167"/>
  <c r="G249" i="167"/>
  <c r="P332" i="165"/>
  <c r="P332" i="190" s="1"/>
  <c r="G187" i="167"/>
  <c r="I187" i="167"/>
  <c r="I186" i="167" s="1"/>
  <c r="G186" i="167" s="1"/>
  <c r="I171" i="167"/>
  <c r="I170" i="167" s="1"/>
  <c r="G175" i="167"/>
  <c r="G171" i="167" s="1"/>
  <c r="G170" i="167" s="1"/>
  <c r="O287" i="165"/>
  <c r="O287" i="190" s="1"/>
  <c r="E287" i="165"/>
  <c r="E287" i="190" s="1"/>
  <c r="O286" i="165"/>
  <c r="O286" i="190" s="1"/>
  <c r="E286" i="165"/>
  <c r="E286" i="190" s="1"/>
  <c r="O285" i="165"/>
  <c r="O285" i="190" s="1"/>
  <c r="E285" i="165"/>
  <c r="E285" i="190" s="1"/>
  <c r="O284" i="165"/>
  <c r="O284" i="190" s="1"/>
  <c r="E284" i="165"/>
  <c r="E284" i="190" s="1"/>
  <c r="E283" i="165"/>
  <c r="E283" i="190" s="1"/>
  <c r="O278" i="165"/>
  <c r="E278" i="165"/>
  <c r="E278" i="190" s="1"/>
  <c r="O273" i="165"/>
  <c r="O273" i="190" s="1"/>
  <c r="E273" i="165"/>
  <c r="E273" i="190" s="1"/>
  <c r="N270" i="165"/>
  <c r="M270" i="165"/>
  <c r="I270" i="165"/>
  <c r="H270" i="165"/>
  <c r="G270" i="165"/>
  <c r="F270" i="165"/>
  <c r="O222" i="190" l="1"/>
  <c r="J223" i="190"/>
  <c r="J222" i="190" s="1"/>
  <c r="O241" i="190"/>
  <c r="J242" i="190"/>
  <c r="J241" i="190" s="1"/>
  <c r="E241" i="190"/>
  <c r="P242" i="190"/>
  <c r="P241" i="190" s="1"/>
  <c r="E112" i="190"/>
  <c r="P113" i="190"/>
  <c r="P112" i="190" s="1"/>
  <c r="E326" i="190"/>
  <c r="P327" i="190"/>
  <c r="P326" i="190" s="1"/>
  <c r="J278" i="165"/>
  <c r="J278" i="190" s="1"/>
  <c r="O278" i="190"/>
  <c r="E222" i="190"/>
  <c r="P223" i="190"/>
  <c r="P222" i="190" s="1"/>
  <c r="O300" i="190"/>
  <c r="J301" i="190"/>
  <c r="P301" i="190" s="1"/>
  <c r="E300" i="190"/>
  <c r="P307" i="165"/>
  <c r="P307" i="190" s="1"/>
  <c r="E301" i="165"/>
  <c r="K230" i="167" s="1"/>
  <c r="E113" i="165"/>
  <c r="P247" i="165"/>
  <c r="P247" i="190" s="1"/>
  <c r="J234" i="165"/>
  <c r="J234" i="190" s="1"/>
  <c r="J253" i="165"/>
  <c r="J253" i="190" s="1"/>
  <c r="P162" i="165"/>
  <c r="E242" i="165"/>
  <c r="P227" i="165"/>
  <c r="P227" i="190" s="1"/>
  <c r="O242" i="165"/>
  <c r="J242" i="165" s="1"/>
  <c r="J241" i="165" s="1"/>
  <c r="P256" i="165"/>
  <c r="P256" i="190" s="1"/>
  <c r="E223" i="165"/>
  <c r="E222" i="165" s="1"/>
  <c r="K170" i="167" s="1"/>
  <c r="O223" i="165"/>
  <c r="P235" i="165"/>
  <c r="P235" i="190" s="1"/>
  <c r="E272" i="165"/>
  <c r="E272" i="190" s="1"/>
  <c r="J285" i="165"/>
  <c r="J287" i="165"/>
  <c r="J287" i="190" s="1"/>
  <c r="E327" i="165"/>
  <c r="P342" i="165"/>
  <c r="P342" i="190" s="1"/>
  <c r="H219" i="167"/>
  <c r="O272" i="165"/>
  <c r="O272" i="190" s="1"/>
  <c r="E277" i="165"/>
  <c r="E277" i="190" s="1"/>
  <c r="J284" i="165"/>
  <c r="J284" i="190" s="1"/>
  <c r="J286" i="165"/>
  <c r="J286" i="190" s="1"/>
  <c r="P331" i="165"/>
  <c r="P331" i="190" s="1"/>
  <c r="J306" i="165"/>
  <c r="J306" i="190" s="1"/>
  <c r="O301" i="165"/>
  <c r="P259" i="165"/>
  <c r="P259" i="190" s="1"/>
  <c r="O277" i="165"/>
  <c r="O277" i="190" s="1"/>
  <c r="J273" i="165"/>
  <c r="J273" i="190" s="1"/>
  <c r="E282" i="165"/>
  <c r="E282" i="190" s="1"/>
  <c r="L270" i="165"/>
  <c r="O283" i="165"/>
  <c r="O283" i="190" s="1"/>
  <c r="K270" i="165"/>
  <c r="P285" i="165" l="1"/>
  <c r="P285" i="190" s="1"/>
  <c r="J285" i="190"/>
  <c r="P161" i="165"/>
  <c r="P161" i="190" s="1"/>
  <c r="P162" i="190"/>
  <c r="P300" i="190"/>
  <c r="J300" i="190"/>
  <c r="P286" i="165"/>
  <c r="P286" i="190" s="1"/>
  <c r="O241" i="165"/>
  <c r="P242" i="165"/>
  <c r="Q242" i="165" s="1"/>
  <c r="L186" i="167"/>
  <c r="E241" i="165"/>
  <c r="K186" i="167"/>
  <c r="P284" i="165"/>
  <c r="P284" i="190" s="1"/>
  <c r="O222" i="165"/>
  <c r="J223" i="165"/>
  <c r="P234" i="165"/>
  <c r="P234" i="190" s="1"/>
  <c r="P287" i="165"/>
  <c r="P287" i="190" s="1"/>
  <c r="J272" i="165"/>
  <c r="J272" i="190" s="1"/>
  <c r="O276" i="165"/>
  <c r="O276" i="190" s="1"/>
  <c r="I219" i="167"/>
  <c r="E276" i="165"/>
  <c r="E276" i="190" s="1"/>
  <c r="P306" i="165"/>
  <c r="P306" i="190" s="1"/>
  <c r="J277" i="165"/>
  <c r="J277" i="190" s="1"/>
  <c r="E280" i="165"/>
  <c r="E280" i="190" s="1"/>
  <c r="P253" i="165"/>
  <c r="P253" i="190" s="1"/>
  <c r="P278" i="165"/>
  <c r="P278" i="190" s="1"/>
  <c r="P273" i="165"/>
  <c r="P273" i="190" s="1"/>
  <c r="O282" i="165"/>
  <c r="O282" i="190" s="1"/>
  <c r="J283" i="165"/>
  <c r="J283" i="190" s="1"/>
  <c r="P241" i="165" l="1"/>
  <c r="E279" i="165"/>
  <c r="E279" i="190" s="1"/>
  <c r="E271" i="190" s="1"/>
  <c r="J222" i="165"/>
  <c r="L170" i="167" s="1"/>
  <c r="P223" i="165"/>
  <c r="P272" i="165"/>
  <c r="P272" i="190" s="1"/>
  <c r="P277" i="165"/>
  <c r="P277" i="190" s="1"/>
  <c r="J276" i="165"/>
  <c r="J276" i="190" s="1"/>
  <c r="O280" i="165"/>
  <c r="O280" i="190" s="1"/>
  <c r="P283" i="165"/>
  <c r="P283" i="190" s="1"/>
  <c r="J282" i="165"/>
  <c r="J282" i="190" s="1"/>
  <c r="E270" i="190" l="1"/>
  <c r="E271" i="165"/>
  <c r="E270" i="165" s="1"/>
  <c r="O279" i="165"/>
  <c r="O279" i="190" s="1"/>
  <c r="O271" i="190" s="1"/>
  <c r="Q223" i="165"/>
  <c r="P222" i="165"/>
  <c r="P282" i="165"/>
  <c r="P282" i="190" s="1"/>
  <c r="P276" i="165"/>
  <c r="P276" i="190" s="1"/>
  <c r="J280" i="165"/>
  <c r="J280" i="190" s="1"/>
  <c r="O270" i="190" l="1"/>
  <c r="J271" i="190"/>
  <c r="J279" i="165"/>
  <c r="J279" i="190" s="1"/>
  <c r="P280" i="165"/>
  <c r="P280" i="190" s="1"/>
  <c r="O271" i="165"/>
  <c r="J168" i="167"/>
  <c r="H168" i="167"/>
  <c r="J270" i="190" l="1"/>
  <c r="P271" i="190"/>
  <c r="P270" i="190" s="1"/>
  <c r="P279" i="165"/>
  <c r="P279" i="190" s="1"/>
  <c r="O270" i="165"/>
  <c r="J271" i="165"/>
  <c r="P271" i="165" l="1"/>
  <c r="Q271" i="165" s="1"/>
  <c r="J270" i="165"/>
  <c r="G244" i="167"/>
  <c r="G243" i="167"/>
  <c r="M242" i="167"/>
  <c r="G241" i="167"/>
  <c r="M240" i="167"/>
  <c r="G240" i="167"/>
  <c r="J224" i="167"/>
  <c r="M224" i="167" s="1"/>
  <c r="J165" i="167"/>
  <c r="J164" i="167"/>
  <c r="J163" i="167"/>
  <c r="J162" i="167"/>
  <c r="J161" i="167"/>
  <c r="J158" i="167"/>
  <c r="J157" i="167"/>
  <c r="J156" i="167"/>
  <c r="J153" i="167"/>
  <c r="G147" i="167"/>
  <c r="G146" i="167"/>
  <c r="J145" i="167"/>
  <c r="G144" i="167"/>
  <c r="J143" i="167"/>
  <c r="J141" i="167"/>
  <c r="G142" i="167"/>
  <c r="J136" i="167"/>
  <c r="G127" i="167"/>
  <c r="G126" i="167"/>
  <c r="G124" i="167"/>
  <c r="G120" i="167"/>
  <c r="J99" i="167"/>
  <c r="H99" i="167"/>
  <c r="G98" i="167"/>
  <c r="J93" i="167"/>
  <c r="J91" i="167"/>
  <c r="J89" i="167"/>
  <c r="J87" i="167"/>
  <c r="G86" i="167"/>
  <c r="J84" i="167"/>
  <c r="J78" i="167"/>
  <c r="J70" i="167"/>
  <c r="J41" i="167" s="1"/>
  <c r="G48" i="167"/>
  <c r="G45" i="167"/>
  <c r="G32" i="167"/>
  <c r="J30" i="167"/>
  <c r="M30" i="167" s="1"/>
  <c r="J29" i="167"/>
  <c r="M29" i="167" s="1"/>
  <c r="J26" i="167"/>
  <c r="M26" i="167" s="1"/>
  <c r="G21" i="167"/>
  <c r="E361" i="165"/>
  <c r="O358" i="165"/>
  <c r="O358" i="190" s="1"/>
  <c r="O355" i="165"/>
  <c r="O355" i="190" s="1"/>
  <c r="O350" i="165"/>
  <c r="O350" i="190" s="1"/>
  <c r="G347" i="165"/>
  <c r="E350" i="165"/>
  <c r="E350" i="190" s="1"/>
  <c r="N347" i="165"/>
  <c r="M347" i="165"/>
  <c r="L347" i="165"/>
  <c r="K347" i="165"/>
  <c r="I347" i="165"/>
  <c r="H347" i="165"/>
  <c r="G338" i="165"/>
  <c r="N338" i="165"/>
  <c r="M338" i="165"/>
  <c r="L338" i="165"/>
  <c r="K338" i="165"/>
  <c r="I338" i="165"/>
  <c r="F338" i="165"/>
  <c r="N326" i="165"/>
  <c r="M326" i="165"/>
  <c r="I326" i="165"/>
  <c r="H326" i="165"/>
  <c r="G326" i="165"/>
  <c r="O322" i="165"/>
  <c r="O322" i="190" s="1"/>
  <c r="O320" i="165"/>
  <c r="O320" i="190" s="1"/>
  <c r="O319" i="165"/>
  <c r="O319" i="190" s="1"/>
  <c r="E319" i="165"/>
  <c r="E319" i="190" s="1"/>
  <c r="N313" i="165"/>
  <c r="M313" i="165"/>
  <c r="I313" i="165"/>
  <c r="H313" i="165"/>
  <c r="G313" i="165"/>
  <c r="L313" i="165"/>
  <c r="G300" i="165"/>
  <c r="N300" i="165"/>
  <c r="M300" i="165"/>
  <c r="I300" i="165"/>
  <c r="H300" i="165"/>
  <c r="N292" i="165"/>
  <c r="M292" i="165"/>
  <c r="L292" i="165"/>
  <c r="K292" i="165"/>
  <c r="I292" i="165"/>
  <c r="F292" i="165"/>
  <c r="O212" i="165"/>
  <c r="O212" i="190" s="1"/>
  <c r="O209" i="165"/>
  <c r="O209" i="190" s="1"/>
  <c r="E209" i="165"/>
  <c r="E209" i="190" s="1"/>
  <c r="O208" i="165"/>
  <c r="O208" i="190" s="1"/>
  <c r="E208" i="165"/>
  <c r="E208" i="190" s="1"/>
  <c r="O207" i="165"/>
  <c r="O207" i="190" s="1"/>
  <c r="O205" i="165"/>
  <c r="O205" i="190" s="1"/>
  <c r="J204" i="165"/>
  <c r="J204" i="190" s="1"/>
  <c r="E204" i="165"/>
  <c r="E204" i="190" s="1"/>
  <c r="O202" i="165"/>
  <c r="O202" i="190" s="1"/>
  <c r="E202" i="165"/>
  <c r="E202" i="190" s="1"/>
  <c r="O200" i="165"/>
  <c r="O200" i="190" s="1"/>
  <c r="O199" i="165"/>
  <c r="O199" i="190" s="1"/>
  <c r="E199" i="165"/>
  <c r="E199" i="190" s="1"/>
  <c r="E196" i="165"/>
  <c r="E196" i="190" s="1"/>
  <c r="E195" i="165"/>
  <c r="E195" i="190" s="1"/>
  <c r="O193" i="165"/>
  <c r="O193" i="190" s="1"/>
  <c r="N189" i="165"/>
  <c r="M189" i="165"/>
  <c r="L189" i="165"/>
  <c r="I189" i="165"/>
  <c r="O180" i="165"/>
  <c r="O180" i="190" s="1"/>
  <c r="E180" i="165"/>
  <c r="E180" i="190" s="1"/>
  <c r="E179" i="165"/>
  <c r="E179" i="190" s="1"/>
  <c r="E177" i="165"/>
  <c r="E177" i="190" s="1"/>
  <c r="O176" i="165"/>
  <c r="O176" i="190" s="1"/>
  <c r="E176" i="165"/>
  <c r="E176" i="190" s="1"/>
  <c r="O175" i="165"/>
  <c r="O175" i="190" s="1"/>
  <c r="E175" i="165"/>
  <c r="E175" i="190" s="1"/>
  <c r="O174" i="165"/>
  <c r="O174" i="190" s="1"/>
  <c r="H169" i="165"/>
  <c r="E172" i="165"/>
  <c r="E172" i="190" s="1"/>
  <c r="N169" i="165"/>
  <c r="M169" i="165"/>
  <c r="L169" i="165"/>
  <c r="G169" i="165"/>
  <c r="M112" i="165"/>
  <c r="L112" i="165"/>
  <c r="I112" i="165"/>
  <c r="I99" i="167"/>
  <c r="E110" i="165"/>
  <c r="E110" i="190" s="1"/>
  <c r="O104" i="165"/>
  <c r="O104" i="190" s="1"/>
  <c r="O103" i="165"/>
  <c r="O103" i="190" s="1"/>
  <c r="E103" i="165"/>
  <c r="E103" i="190" s="1"/>
  <c r="O101" i="165"/>
  <c r="O101" i="190" s="1"/>
  <c r="O99" i="165"/>
  <c r="O99" i="190" s="1"/>
  <c r="E97" i="165"/>
  <c r="E97" i="190" s="1"/>
  <c r="O96" i="165"/>
  <c r="O96" i="190" s="1"/>
  <c r="E96" i="165"/>
  <c r="E96" i="190" s="1"/>
  <c r="O95" i="165"/>
  <c r="O95" i="190" s="1"/>
  <c r="J94" i="165"/>
  <c r="J94" i="190" s="1"/>
  <c r="E94" i="165"/>
  <c r="E94" i="190" s="1"/>
  <c r="E93" i="165"/>
  <c r="E93" i="190" s="1"/>
  <c r="O91" i="165"/>
  <c r="O91" i="190" s="1"/>
  <c r="N88" i="165"/>
  <c r="M88" i="165"/>
  <c r="L88" i="165"/>
  <c r="I88" i="165"/>
  <c r="O75" i="165"/>
  <c r="O75" i="190" s="1"/>
  <c r="E75" i="165"/>
  <c r="E75" i="190" s="1"/>
  <c r="O62" i="165"/>
  <c r="O62" i="190" s="1"/>
  <c r="O60" i="165"/>
  <c r="O60" i="190" s="1"/>
  <c r="O59" i="165"/>
  <c r="O59" i="190" s="1"/>
  <c r="E59" i="165"/>
  <c r="E59" i="190" s="1"/>
  <c r="E56" i="165"/>
  <c r="E56" i="190" s="1"/>
  <c r="E54" i="165"/>
  <c r="E54" i="190" s="1"/>
  <c r="O47" i="165"/>
  <c r="O47" i="190" s="1"/>
  <c r="E47" i="165"/>
  <c r="E47" i="190" s="1"/>
  <c r="E46" i="165"/>
  <c r="E46" i="190" s="1"/>
  <c r="E44" i="165"/>
  <c r="E44" i="190" s="1"/>
  <c r="M41" i="165"/>
  <c r="I41" i="165"/>
  <c r="O38" i="165"/>
  <c r="O38" i="190" s="1"/>
  <c r="O35" i="165"/>
  <c r="O35" i="190" s="1"/>
  <c r="E30" i="165"/>
  <c r="E30" i="190" s="1"/>
  <c r="O28" i="165"/>
  <c r="O28" i="190" s="1"/>
  <c r="E28" i="165"/>
  <c r="E28" i="190" s="1"/>
  <c r="O22" i="165"/>
  <c r="O22" i="190" s="1"/>
  <c r="E19" i="165"/>
  <c r="E19" i="190" s="1"/>
  <c r="G16" i="165"/>
  <c r="O74" i="165" l="1"/>
  <c r="O74" i="190" s="1"/>
  <c r="E74" i="165"/>
  <c r="E74" i="190" s="1"/>
  <c r="O45" i="165"/>
  <c r="O45" i="190" s="1"/>
  <c r="E45" i="165"/>
  <c r="E45" i="190" s="1"/>
  <c r="O34" i="165"/>
  <c r="O34" i="190" s="1"/>
  <c r="O37" i="165"/>
  <c r="O37" i="190" s="1"/>
  <c r="O61" i="165"/>
  <c r="O61" i="190" s="1"/>
  <c r="H76" i="167"/>
  <c r="H82" i="167"/>
  <c r="O100" i="165"/>
  <c r="O100" i="190" s="1"/>
  <c r="E109" i="165"/>
  <c r="E109" i="190" s="1"/>
  <c r="H137" i="167"/>
  <c r="O192" i="165"/>
  <c r="O192" i="190" s="1"/>
  <c r="O211" i="165"/>
  <c r="O211" i="190" s="1"/>
  <c r="E349" i="165"/>
  <c r="E349" i="190" s="1"/>
  <c r="O357" i="165"/>
  <c r="O357" i="190" s="1"/>
  <c r="O27" i="165"/>
  <c r="O27" i="190" s="1"/>
  <c r="H55" i="167"/>
  <c r="O321" i="165"/>
  <c r="O321" i="190" s="1"/>
  <c r="P270" i="165"/>
  <c r="E29" i="165"/>
  <c r="E29" i="190" s="1"/>
  <c r="P97" i="165"/>
  <c r="P97" i="190" s="1"/>
  <c r="H140" i="167"/>
  <c r="H155" i="167"/>
  <c r="E201" i="165"/>
  <c r="E201" i="190" s="1"/>
  <c r="O203" i="165"/>
  <c r="O203" i="190" s="1"/>
  <c r="O349" i="165"/>
  <c r="O349" i="190" s="1"/>
  <c r="H42" i="167"/>
  <c r="O90" i="165"/>
  <c r="O90" i="190" s="1"/>
  <c r="O98" i="165"/>
  <c r="O98" i="190" s="1"/>
  <c r="O178" i="165"/>
  <c r="O178" i="190" s="1"/>
  <c r="O201" i="165"/>
  <c r="O201" i="190" s="1"/>
  <c r="O354" i="165"/>
  <c r="O354" i="190" s="1"/>
  <c r="H44" i="167"/>
  <c r="K44" i="167" s="1"/>
  <c r="H52" i="167"/>
  <c r="P30" i="165"/>
  <c r="P30" i="190" s="1"/>
  <c r="O58" i="165"/>
  <c r="O58" i="190" s="1"/>
  <c r="E178" i="165"/>
  <c r="E178" i="190" s="1"/>
  <c r="H135" i="167"/>
  <c r="E171" i="165"/>
  <c r="E171" i="190" s="1"/>
  <c r="O206" i="165"/>
  <c r="O206" i="190" s="1"/>
  <c r="O198" i="165"/>
  <c r="O198" i="190" s="1"/>
  <c r="H154" i="167"/>
  <c r="E194" i="165"/>
  <c r="E194" i="190" s="1"/>
  <c r="O102" i="165"/>
  <c r="O102" i="190" s="1"/>
  <c r="E55" i="165"/>
  <c r="E55" i="190" s="1"/>
  <c r="H53" i="167"/>
  <c r="H47" i="167"/>
  <c r="K47" i="167" s="1"/>
  <c r="H26" i="167"/>
  <c r="K26" i="167" s="1"/>
  <c r="H25" i="167"/>
  <c r="K25" i="167" s="1"/>
  <c r="J134" i="167"/>
  <c r="N16" i="165"/>
  <c r="I16" i="165"/>
  <c r="I359" i="165"/>
  <c r="I371" i="165" s="1"/>
  <c r="M16" i="165"/>
  <c r="M359" i="165"/>
  <c r="K326" i="165"/>
  <c r="K300" i="165"/>
  <c r="F313" i="165"/>
  <c r="G242" i="167"/>
  <c r="G238" i="167" s="1"/>
  <c r="H237" i="167"/>
  <c r="J101" i="165"/>
  <c r="J101" i="190" s="1"/>
  <c r="E104" i="165"/>
  <c r="E104" i="190" s="1"/>
  <c r="I237" i="167"/>
  <c r="K169" i="165"/>
  <c r="E193" i="165"/>
  <c r="E193" i="190" s="1"/>
  <c r="J193" i="165"/>
  <c r="J193" i="190" s="1"/>
  <c r="J35" i="165"/>
  <c r="J35" i="190" s="1"/>
  <c r="J59" i="165"/>
  <c r="J59" i="190" s="1"/>
  <c r="J208" i="165"/>
  <c r="J208" i="190" s="1"/>
  <c r="L41" i="165"/>
  <c r="E95" i="165"/>
  <c r="E95" i="190" s="1"/>
  <c r="J355" i="165"/>
  <c r="J355" i="190" s="1"/>
  <c r="J248" i="167"/>
  <c r="M248" i="167" s="1"/>
  <c r="J202" i="165"/>
  <c r="J202" i="190" s="1"/>
  <c r="J320" i="165"/>
  <c r="J320" i="190" s="1"/>
  <c r="O326" i="165"/>
  <c r="J177" i="165"/>
  <c r="J177" i="190" s="1"/>
  <c r="J176" i="165"/>
  <c r="J176" i="190" s="1"/>
  <c r="J195" i="165"/>
  <c r="J195" i="190" s="1"/>
  <c r="H338" i="165"/>
  <c r="E22" i="165"/>
  <c r="E22" i="190" s="1"/>
  <c r="E25" i="165"/>
  <c r="E25" i="190" s="1"/>
  <c r="J28" i="165"/>
  <c r="J28" i="190" s="1"/>
  <c r="J38" i="165"/>
  <c r="J38" i="190" s="1"/>
  <c r="J47" i="165"/>
  <c r="J47" i="190" s="1"/>
  <c r="J56" i="165"/>
  <c r="J56" i="190" s="1"/>
  <c r="J60" i="165"/>
  <c r="J60" i="190" s="1"/>
  <c r="G88" i="165"/>
  <c r="I78" i="167"/>
  <c r="E99" i="165"/>
  <c r="E99" i="190" s="1"/>
  <c r="N112" i="165"/>
  <c r="J174" i="165"/>
  <c r="J174" i="190" s="1"/>
  <c r="H141" i="167"/>
  <c r="H143" i="167"/>
  <c r="J200" i="165"/>
  <c r="J200" i="190" s="1"/>
  <c r="H163" i="167"/>
  <c r="J209" i="165"/>
  <c r="J209" i="190" s="1"/>
  <c r="H217" i="167"/>
  <c r="H218" i="167"/>
  <c r="E292" i="165"/>
  <c r="H224" i="167"/>
  <c r="K224" i="167" s="1"/>
  <c r="E320" i="165"/>
  <c r="E320" i="190" s="1"/>
  <c r="J322" i="165"/>
  <c r="J322" i="190" s="1"/>
  <c r="J350" i="165"/>
  <c r="J350" i="190" s="1"/>
  <c r="J358" i="165"/>
  <c r="J358" i="190" s="1"/>
  <c r="E38" i="165"/>
  <c r="E38" i="190" s="1"/>
  <c r="J175" i="165"/>
  <c r="J175" i="190" s="1"/>
  <c r="J180" i="165"/>
  <c r="J180" i="190" s="1"/>
  <c r="H214" i="167"/>
  <c r="J319" i="165"/>
  <c r="J319" i="190" s="1"/>
  <c r="N41" i="165"/>
  <c r="J96" i="165"/>
  <c r="J96" i="190" s="1"/>
  <c r="J99" i="165"/>
  <c r="J99" i="190" s="1"/>
  <c r="H91" i="167"/>
  <c r="J104" i="165"/>
  <c r="J104" i="190" s="1"/>
  <c r="J179" i="165"/>
  <c r="J179" i="190" s="1"/>
  <c r="E207" i="165"/>
  <c r="E207" i="190" s="1"/>
  <c r="E212" i="165"/>
  <c r="E212" i="190" s="1"/>
  <c r="G292" i="165"/>
  <c r="L326" i="165"/>
  <c r="O19" i="165"/>
  <c r="O19" i="190" s="1"/>
  <c r="E60" i="165"/>
  <c r="E60" i="190" s="1"/>
  <c r="J75" i="165"/>
  <c r="J75" i="190" s="1"/>
  <c r="J95" i="165"/>
  <c r="J95" i="190" s="1"/>
  <c r="E174" i="165"/>
  <c r="E174" i="190" s="1"/>
  <c r="E200" i="165"/>
  <c r="E200" i="190" s="1"/>
  <c r="J205" i="165"/>
  <c r="J205" i="190" s="1"/>
  <c r="H164" i="167"/>
  <c r="H221" i="167"/>
  <c r="J23" i="167"/>
  <c r="J16" i="167" s="1"/>
  <c r="M15" i="167" s="1"/>
  <c r="J62" i="165"/>
  <c r="J62" i="190" s="1"/>
  <c r="F88" i="165"/>
  <c r="H88" i="165"/>
  <c r="J22" i="165"/>
  <c r="J22" i="190" s="1"/>
  <c r="E62" i="165"/>
  <c r="E62" i="190" s="1"/>
  <c r="H70" i="167"/>
  <c r="E91" i="165"/>
  <c r="E91" i="190" s="1"/>
  <c r="J91" i="165"/>
  <c r="J91" i="190" s="1"/>
  <c r="H84" i="167"/>
  <c r="E101" i="165"/>
  <c r="E101" i="190" s="1"/>
  <c r="J103" i="165"/>
  <c r="J103" i="190" s="1"/>
  <c r="G112" i="165"/>
  <c r="G189" i="165"/>
  <c r="H189" i="165"/>
  <c r="J199" i="165"/>
  <c r="J199" i="190" s="1"/>
  <c r="H158" i="167"/>
  <c r="I159" i="167"/>
  <c r="J207" i="165"/>
  <c r="J207" i="190" s="1"/>
  <c r="J212" i="165"/>
  <c r="J212" i="190" s="1"/>
  <c r="H216" i="167"/>
  <c r="H292" i="165"/>
  <c r="E338" i="165"/>
  <c r="G99" i="167"/>
  <c r="K240" i="167"/>
  <c r="G46" i="167"/>
  <c r="G138" i="167"/>
  <c r="G160" i="167"/>
  <c r="J256" i="167"/>
  <c r="M256" i="167" s="1"/>
  <c r="H78" i="167"/>
  <c r="P94" i="165"/>
  <c r="P94" i="190" s="1"/>
  <c r="F300" i="165"/>
  <c r="J44" i="165"/>
  <c r="J44" i="190" s="1"/>
  <c r="L300" i="165"/>
  <c r="L359" i="165"/>
  <c r="O93" i="165"/>
  <c r="O93" i="190" s="1"/>
  <c r="H112" i="165"/>
  <c r="F112" i="165"/>
  <c r="H156" i="167"/>
  <c r="G17" i="167"/>
  <c r="H16" i="165"/>
  <c r="E205" i="165"/>
  <c r="E205" i="190" s="1"/>
  <c r="F189" i="165"/>
  <c r="K313" i="165"/>
  <c r="E322" i="165"/>
  <c r="E322" i="190" s="1"/>
  <c r="H145" i="167"/>
  <c r="O196" i="165"/>
  <c r="O196" i="190" s="1"/>
  <c r="H159" i="167"/>
  <c r="P204" i="165"/>
  <c r="P204" i="190" s="1"/>
  <c r="J221" i="167"/>
  <c r="F326" i="165"/>
  <c r="J159" i="167"/>
  <c r="J152" i="167" s="1"/>
  <c r="J96" i="167"/>
  <c r="O25" i="165"/>
  <c r="O25" i="190" s="1"/>
  <c r="O110" i="165"/>
  <c r="O110" i="190" s="1"/>
  <c r="J214" i="167"/>
  <c r="O300" i="165"/>
  <c r="E355" i="165"/>
  <c r="E355" i="190" s="1"/>
  <c r="G22" i="167"/>
  <c r="G102" i="167"/>
  <c r="J237" i="167"/>
  <c r="E105" i="165" l="1"/>
  <c r="E105" i="190" s="1"/>
  <c r="J74" i="165"/>
  <c r="J74" i="190" s="1"/>
  <c r="K42" i="167"/>
  <c r="E24" i="165"/>
  <c r="E24" i="190" s="1"/>
  <c r="O24" i="165"/>
  <c r="O24" i="190" s="1"/>
  <c r="E27" i="165"/>
  <c r="E27" i="190" s="1"/>
  <c r="O43" i="165"/>
  <c r="O43" i="190" s="1"/>
  <c r="O42" i="190" s="1"/>
  <c r="H211" i="167"/>
  <c r="K211" i="167" s="1"/>
  <c r="O318" i="165"/>
  <c r="O318" i="190" s="1"/>
  <c r="P29" i="165"/>
  <c r="P29" i="190" s="1"/>
  <c r="K243" i="167"/>
  <c r="J178" i="165"/>
  <c r="J178" i="190" s="1"/>
  <c r="I82" i="167"/>
  <c r="G82" i="167" s="1"/>
  <c r="J349" i="165"/>
  <c r="J349" i="190" s="1"/>
  <c r="J192" i="165"/>
  <c r="J192" i="190" s="1"/>
  <c r="E102" i="165"/>
  <c r="E102" i="190" s="1"/>
  <c r="O352" i="165"/>
  <c r="O352" i="190" s="1"/>
  <c r="O348" i="190" s="1"/>
  <c r="O33" i="165"/>
  <c r="O33" i="190" s="1"/>
  <c r="E354" i="165"/>
  <c r="E354" i="190" s="1"/>
  <c r="J203" i="165"/>
  <c r="J203" i="190" s="1"/>
  <c r="I137" i="167"/>
  <c r="G137" i="167" s="1"/>
  <c r="J321" i="165"/>
  <c r="J321" i="190" s="1"/>
  <c r="L243" i="167"/>
  <c r="I56" i="167"/>
  <c r="L56" i="167" s="1"/>
  <c r="J27" i="165"/>
  <c r="J27" i="190" s="1"/>
  <c r="J354" i="165"/>
  <c r="J354" i="190" s="1"/>
  <c r="I55" i="167"/>
  <c r="G55" i="167" s="1"/>
  <c r="E192" i="165"/>
  <c r="E192" i="190" s="1"/>
  <c r="J100" i="165"/>
  <c r="J100" i="190" s="1"/>
  <c r="O173" i="165"/>
  <c r="O173" i="190" s="1"/>
  <c r="O170" i="190" s="1"/>
  <c r="E198" i="165"/>
  <c r="E198" i="190" s="1"/>
  <c r="E211" i="165"/>
  <c r="E211" i="190" s="1"/>
  <c r="J90" i="165"/>
  <c r="J90" i="190" s="1"/>
  <c r="E98" i="165"/>
  <c r="E98" i="190" s="1"/>
  <c r="I140" i="167"/>
  <c r="G140" i="167" s="1"/>
  <c r="J201" i="165"/>
  <c r="J201" i="190" s="1"/>
  <c r="J34" i="165"/>
  <c r="J34" i="190" s="1"/>
  <c r="O356" i="165"/>
  <c r="O356" i="190" s="1"/>
  <c r="O210" i="165"/>
  <c r="O210" i="190" s="1"/>
  <c r="O36" i="165"/>
  <c r="O36" i="190" s="1"/>
  <c r="E203" i="165"/>
  <c r="E203" i="190" s="1"/>
  <c r="J211" i="165"/>
  <c r="J211" i="190" s="1"/>
  <c r="E90" i="165"/>
  <c r="E90" i="190" s="1"/>
  <c r="O18" i="165"/>
  <c r="O18" i="190" s="1"/>
  <c r="E206" i="165"/>
  <c r="E206" i="190" s="1"/>
  <c r="J98" i="165"/>
  <c r="J98" i="190" s="1"/>
  <c r="J357" i="165"/>
  <c r="J357" i="190" s="1"/>
  <c r="I47" i="167"/>
  <c r="L47" i="167" s="1"/>
  <c r="K21" i="167"/>
  <c r="E100" i="165"/>
  <c r="E100" i="190" s="1"/>
  <c r="I80" i="167"/>
  <c r="O109" i="165"/>
  <c r="O109" i="190" s="1"/>
  <c r="E321" i="165"/>
  <c r="E321" i="190" s="1"/>
  <c r="M23" i="167"/>
  <c r="E37" i="165"/>
  <c r="E37" i="190" s="1"/>
  <c r="J37" i="165"/>
  <c r="J37" i="190" s="1"/>
  <c r="E173" i="165"/>
  <c r="E173" i="190" s="1"/>
  <c r="E170" i="190" s="1"/>
  <c r="E58" i="165"/>
  <c r="E58" i="190" s="1"/>
  <c r="H56" i="167"/>
  <c r="J55" i="165"/>
  <c r="J55" i="190" s="1"/>
  <c r="I53" i="167"/>
  <c r="G53" i="167" s="1"/>
  <c r="O92" i="165"/>
  <c r="O92" i="190" s="1"/>
  <c r="E61" i="165"/>
  <c r="E61" i="190" s="1"/>
  <c r="H58" i="167"/>
  <c r="J61" i="165"/>
  <c r="J61" i="190" s="1"/>
  <c r="I58" i="167"/>
  <c r="J206" i="165"/>
  <c r="J206" i="190" s="1"/>
  <c r="P319" i="165"/>
  <c r="P319" i="190" s="1"/>
  <c r="J318" i="165"/>
  <c r="J318" i="190" s="1"/>
  <c r="O197" i="165"/>
  <c r="O197" i="190" s="1"/>
  <c r="J198" i="165"/>
  <c r="J198" i="190" s="1"/>
  <c r="I154" i="167"/>
  <c r="G154" i="167" s="1"/>
  <c r="O194" i="165"/>
  <c r="O194" i="190" s="1"/>
  <c r="J102" i="165"/>
  <c r="J102" i="190" s="1"/>
  <c r="H80" i="167"/>
  <c r="I42" i="167"/>
  <c r="I26" i="167"/>
  <c r="L26" i="167" s="1"/>
  <c r="I25" i="167"/>
  <c r="L25" i="167" s="1"/>
  <c r="E18" i="165"/>
  <c r="E18" i="190" s="1"/>
  <c r="J58" i="165"/>
  <c r="J58" i="190" s="1"/>
  <c r="E70" i="170"/>
  <c r="K16" i="165"/>
  <c r="K359" i="165"/>
  <c r="Q359" i="165" s="1"/>
  <c r="F41" i="165"/>
  <c r="H41" i="165"/>
  <c r="H359" i="165"/>
  <c r="G41" i="165"/>
  <c r="G359" i="165"/>
  <c r="N359" i="165"/>
  <c r="N371" i="165" s="1"/>
  <c r="M237" i="167"/>
  <c r="J229" i="167"/>
  <c r="M230" i="167"/>
  <c r="P35" i="165"/>
  <c r="P35" i="190" s="1"/>
  <c r="I153" i="167"/>
  <c r="I141" i="167"/>
  <c r="G141" i="167" s="1"/>
  <c r="I89" i="167"/>
  <c r="P208" i="165"/>
  <c r="P208" i="190" s="1"/>
  <c r="G111" i="167"/>
  <c r="P199" i="165"/>
  <c r="P199" i="190" s="1"/>
  <c r="P96" i="165"/>
  <c r="P96" i="190" s="1"/>
  <c r="P47" i="165"/>
  <c r="P47" i="190" s="1"/>
  <c r="H93" i="167"/>
  <c r="I29" i="167"/>
  <c r="L29" i="167" s="1"/>
  <c r="F169" i="165"/>
  <c r="P180" i="165"/>
  <c r="P180" i="190" s="1"/>
  <c r="I158" i="167"/>
  <c r="G158" i="167" s="1"/>
  <c r="P103" i="165"/>
  <c r="P103" i="190" s="1"/>
  <c r="P177" i="165"/>
  <c r="P177" i="190" s="1"/>
  <c r="P200" i="165"/>
  <c r="P200" i="190" s="1"/>
  <c r="P209" i="165"/>
  <c r="P209" i="190" s="1"/>
  <c r="P56" i="165"/>
  <c r="P56" i="190" s="1"/>
  <c r="P176" i="165"/>
  <c r="P176" i="190" s="1"/>
  <c r="J54" i="165"/>
  <c r="J54" i="190" s="1"/>
  <c r="L242" i="167"/>
  <c r="G109" i="167"/>
  <c r="P350" i="165"/>
  <c r="P350" i="190" s="1"/>
  <c r="H29" i="167"/>
  <c r="G237" i="167"/>
  <c r="P99" i="165"/>
  <c r="P99" i="190" s="1"/>
  <c r="P202" i="165"/>
  <c r="P202" i="190" s="1"/>
  <c r="I84" i="167"/>
  <c r="G84" i="167" s="1"/>
  <c r="P358" i="165"/>
  <c r="P358" i="190" s="1"/>
  <c r="P195" i="165"/>
  <c r="P195" i="190" s="1"/>
  <c r="P179" i="165"/>
  <c r="P179" i="190" s="1"/>
  <c r="P22" i="165"/>
  <c r="P22" i="190" s="1"/>
  <c r="J172" i="165"/>
  <c r="J172" i="190" s="1"/>
  <c r="H153" i="167"/>
  <c r="G78" i="167"/>
  <c r="H256" i="167"/>
  <c r="K256" i="167" s="1"/>
  <c r="P193" i="165"/>
  <c r="P193" i="190" s="1"/>
  <c r="P60" i="165"/>
  <c r="P60" i="190" s="1"/>
  <c r="G159" i="167"/>
  <c r="P59" i="165"/>
  <c r="P59" i="190" s="1"/>
  <c r="P101" i="165"/>
  <c r="P101" i="190" s="1"/>
  <c r="H89" i="167"/>
  <c r="P38" i="165"/>
  <c r="P38" i="190" s="1"/>
  <c r="K242" i="167"/>
  <c r="H30" i="167"/>
  <c r="K30" i="167" s="1"/>
  <c r="P28" i="165"/>
  <c r="P28" i="190" s="1"/>
  <c r="P212" i="165"/>
  <c r="P212" i="190" s="1"/>
  <c r="H162" i="167"/>
  <c r="P75" i="165"/>
  <c r="P75" i="190" s="1"/>
  <c r="I163" i="167"/>
  <c r="G163" i="167" s="1"/>
  <c r="P174" i="165"/>
  <c r="P174" i="190" s="1"/>
  <c r="H157" i="167"/>
  <c r="H136" i="167"/>
  <c r="H134" i="167" s="1"/>
  <c r="P320" i="165"/>
  <c r="P320" i="190" s="1"/>
  <c r="I143" i="167"/>
  <c r="G143" i="167" s="1"/>
  <c r="P95" i="165"/>
  <c r="P95" i="190" s="1"/>
  <c r="I70" i="167"/>
  <c r="G70" i="167" s="1"/>
  <c r="P62" i="165"/>
  <c r="P62" i="190" s="1"/>
  <c r="J133" i="167"/>
  <c r="M133" i="167" s="1"/>
  <c r="I91" i="167"/>
  <c r="G91" i="167" s="1"/>
  <c r="P91" i="165"/>
  <c r="P91" i="190" s="1"/>
  <c r="M371" i="165"/>
  <c r="G121" i="167"/>
  <c r="I161" i="167"/>
  <c r="J326" i="165"/>
  <c r="J46" i="165"/>
  <c r="J46" i="190" s="1"/>
  <c r="G122" i="167"/>
  <c r="G115" i="167"/>
  <c r="H23" i="167"/>
  <c r="J25" i="165"/>
  <c r="J25" i="190" s="1"/>
  <c r="G110" i="167"/>
  <c r="I162" i="167"/>
  <c r="I216" i="167"/>
  <c r="G108" i="167"/>
  <c r="I93" i="167"/>
  <c r="I87" i="167"/>
  <c r="G113" i="167"/>
  <c r="H87" i="167"/>
  <c r="H165" i="167"/>
  <c r="J196" i="165"/>
  <c r="J196" i="190" s="1"/>
  <c r="P104" i="165"/>
  <c r="P104" i="190" s="1"/>
  <c r="P207" i="165"/>
  <c r="P207" i="190" s="1"/>
  <c r="J40" i="167"/>
  <c r="P175" i="165"/>
  <c r="P175" i="190" s="1"/>
  <c r="I156" i="167"/>
  <c r="G156" i="167" s="1"/>
  <c r="J19" i="165"/>
  <c r="L240" i="167"/>
  <c r="I145" i="167"/>
  <c r="G145" i="167" s="1"/>
  <c r="I157" i="167"/>
  <c r="I136" i="167"/>
  <c r="J110" i="165"/>
  <c r="J110" i="190" s="1"/>
  <c r="I165" i="167"/>
  <c r="G125" i="167"/>
  <c r="I164" i="167"/>
  <c r="G164" i="167" s="1"/>
  <c r="G119" i="167"/>
  <c r="G114" i="167"/>
  <c r="I30" i="167"/>
  <c r="L30" i="167" s="1"/>
  <c r="G107" i="167"/>
  <c r="H248" i="167"/>
  <c r="K248" i="167" s="1"/>
  <c r="J101" i="167"/>
  <c r="J100" i="167" s="1"/>
  <c r="M100" i="167" s="1"/>
  <c r="K112" i="165"/>
  <c r="K189" i="165"/>
  <c r="J301" i="165"/>
  <c r="J300" i="165" s="1"/>
  <c r="P355" i="165"/>
  <c r="P355" i="190" s="1"/>
  <c r="O292" i="165"/>
  <c r="J293" i="165"/>
  <c r="K41" i="165"/>
  <c r="J75" i="167"/>
  <c r="J151" i="167"/>
  <c r="P322" i="165"/>
  <c r="P322" i="190" s="1"/>
  <c r="J93" i="165"/>
  <c r="J93" i="190" s="1"/>
  <c r="L16" i="165"/>
  <c r="O338" i="165"/>
  <c r="J339" i="165"/>
  <c r="H161" i="167"/>
  <c r="P205" i="165"/>
  <c r="P205" i="190" s="1"/>
  <c r="F16" i="165"/>
  <c r="K88" i="165"/>
  <c r="P44" i="165"/>
  <c r="P44" i="190" s="1"/>
  <c r="E169" i="190" l="1"/>
  <c r="O347" i="190"/>
  <c r="J348" i="190"/>
  <c r="J347" i="190" s="1"/>
  <c r="H152" i="167"/>
  <c r="L17" i="167"/>
  <c r="J19" i="190"/>
  <c r="O169" i="190"/>
  <c r="J170" i="190"/>
  <c r="J169" i="190" s="1"/>
  <c r="O41" i="190"/>
  <c r="J42" i="190"/>
  <c r="O105" i="165"/>
  <c r="O105" i="190" s="1"/>
  <c r="O89" i="190" s="1"/>
  <c r="O42" i="165"/>
  <c r="J42" i="165" s="1"/>
  <c r="H371" i="165"/>
  <c r="H376" i="165"/>
  <c r="O23" i="165"/>
  <c r="O23" i="190" s="1"/>
  <c r="O17" i="190" s="1"/>
  <c r="H41" i="167"/>
  <c r="P74" i="165"/>
  <c r="P74" i="190" s="1"/>
  <c r="J24" i="165"/>
  <c r="J24" i="190" s="1"/>
  <c r="J45" i="165"/>
  <c r="J45" i="190" s="1"/>
  <c r="J315" i="165"/>
  <c r="J315" i="190" s="1"/>
  <c r="E191" i="165"/>
  <c r="E191" i="190" s="1"/>
  <c r="O315" i="165"/>
  <c r="O315" i="190" s="1"/>
  <c r="O314" i="190" s="1"/>
  <c r="E43" i="165"/>
  <c r="E43" i="190" s="1"/>
  <c r="E42" i="190" s="1"/>
  <c r="E41" i="190" s="1"/>
  <c r="K374" i="165"/>
  <c r="P293" i="165"/>
  <c r="Q293" i="165" s="1"/>
  <c r="R293" i="165"/>
  <c r="G47" i="167"/>
  <c r="L328" i="184"/>
  <c r="K371" i="165"/>
  <c r="E23" i="165"/>
  <c r="E23" i="190" s="1"/>
  <c r="J173" i="165"/>
  <c r="J173" i="190" s="1"/>
  <c r="P55" i="165"/>
  <c r="P55" i="190" s="1"/>
  <c r="E197" i="165"/>
  <c r="E92" i="165"/>
  <c r="E92" i="190" s="1"/>
  <c r="E89" i="190" s="1"/>
  <c r="E88" i="190" s="1"/>
  <c r="P203" i="165"/>
  <c r="P203" i="190" s="1"/>
  <c r="I155" i="167"/>
  <c r="G155" i="167" s="1"/>
  <c r="P90" i="165"/>
  <c r="P90" i="190" s="1"/>
  <c r="P211" i="165"/>
  <c r="P211" i="190" s="1"/>
  <c r="P178" i="165"/>
  <c r="P178" i="190" s="1"/>
  <c r="P201" i="165"/>
  <c r="P201" i="190" s="1"/>
  <c r="P349" i="165"/>
  <c r="P349" i="190" s="1"/>
  <c r="P34" i="165"/>
  <c r="P34" i="190" s="1"/>
  <c r="E36" i="165"/>
  <c r="P27" i="165"/>
  <c r="P27" i="190" s="1"/>
  <c r="P98" i="165"/>
  <c r="P98" i="190" s="1"/>
  <c r="J210" i="165"/>
  <c r="J210" i="190" s="1"/>
  <c r="O170" i="165"/>
  <c r="O169" i="165" s="1"/>
  <c r="J352" i="165"/>
  <c r="J352" i="190" s="1"/>
  <c r="O348" i="165"/>
  <c r="J18" i="165"/>
  <c r="J18" i="190" s="1"/>
  <c r="P100" i="165"/>
  <c r="P100" i="190" s="1"/>
  <c r="P192" i="165"/>
  <c r="P192" i="190" s="1"/>
  <c r="P357" i="165"/>
  <c r="P357" i="190" s="1"/>
  <c r="E318" i="165"/>
  <c r="E318" i="190" s="1"/>
  <c r="J33" i="165"/>
  <c r="J33" i="190" s="1"/>
  <c r="P354" i="165"/>
  <c r="P354" i="190" s="1"/>
  <c r="I44" i="167"/>
  <c r="L44" i="167" s="1"/>
  <c r="J36" i="165"/>
  <c r="J356" i="165"/>
  <c r="J356" i="190" s="1"/>
  <c r="E210" i="165"/>
  <c r="E210" i="190" s="1"/>
  <c r="O314" i="165"/>
  <c r="O313" i="165" s="1"/>
  <c r="J109" i="165"/>
  <c r="J109" i="190" s="1"/>
  <c r="H16" i="167"/>
  <c r="K15" i="167" s="1"/>
  <c r="P321" i="165"/>
  <c r="P321" i="190" s="1"/>
  <c r="I52" i="167"/>
  <c r="G52" i="167" s="1"/>
  <c r="E170" i="165"/>
  <c r="E169" i="165" s="1"/>
  <c r="K29" i="167"/>
  <c r="G29" i="167"/>
  <c r="P58" i="165"/>
  <c r="P58" i="190" s="1"/>
  <c r="J197" i="165"/>
  <c r="J197" i="190" s="1"/>
  <c r="P61" i="165"/>
  <c r="P61" i="190" s="1"/>
  <c r="G58" i="167"/>
  <c r="K56" i="167"/>
  <c r="G56" i="167"/>
  <c r="K23" i="167"/>
  <c r="P206" i="165"/>
  <c r="P206" i="190" s="1"/>
  <c r="P198" i="165"/>
  <c r="P198" i="190" s="1"/>
  <c r="O191" i="165"/>
  <c r="J194" i="165"/>
  <c r="J194" i="190" s="1"/>
  <c r="J92" i="165"/>
  <c r="J92" i="190" s="1"/>
  <c r="I135" i="167"/>
  <c r="I134" i="167" s="1"/>
  <c r="J171" i="165"/>
  <c r="J171" i="190" s="1"/>
  <c r="L42" i="167"/>
  <c r="P102" i="165"/>
  <c r="P102" i="190" s="1"/>
  <c r="I76" i="167"/>
  <c r="P37" i="165"/>
  <c r="P37" i="190" s="1"/>
  <c r="G25" i="167"/>
  <c r="J74" i="167"/>
  <c r="M74" i="167" s="1"/>
  <c r="H151" i="167"/>
  <c r="H210" i="167"/>
  <c r="H133" i="167"/>
  <c r="G153" i="167"/>
  <c r="J15" i="167"/>
  <c r="G89" i="167"/>
  <c r="I217" i="167"/>
  <c r="G217" i="167" s="1"/>
  <c r="P54" i="165"/>
  <c r="P54" i="190" s="1"/>
  <c r="G93" i="167"/>
  <c r="I214" i="167"/>
  <c r="P46" i="165"/>
  <c r="P46" i="190" s="1"/>
  <c r="G80" i="167"/>
  <c r="G229" i="167"/>
  <c r="G26" i="167"/>
  <c r="P172" i="165"/>
  <c r="P172" i="190" s="1"/>
  <c r="H75" i="167"/>
  <c r="G117" i="167"/>
  <c r="G30" i="167"/>
  <c r="G87" i="167"/>
  <c r="G118" i="167"/>
  <c r="G136" i="167"/>
  <c r="G162" i="167"/>
  <c r="G157" i="167"/>
  <c r="M40" i="167"/>
  <c r="P19" i="165"/>
  <c r="P19" i="190" s="1"/>
  <c r="G123" i="167"/>
  <c r="G161" i="167"/>
  <c r="G131" i="167"/>
  <c r="G165" i="167"/>
  <c r="I256" i="167"/>
  <c r="L256" i="167" s="1"/>
  <c r="I224" i="167"/>
  <c r="L224" i="167" s="1"/>
  <c r="G226" i="167"/>
  <c r="G225" i="167" s="1"/>
  <c r="P25" i="165"/>
  <c r="P25" i="190" s="1"/>
  <c r="L371" i="165"/>
  <c r="I248" i="167"/>
  <c r="L248" i="167" s="1"/>
  <c r="G256" i="167"/>
  <c r="P196" i="165"/>
  <c r="P196" i="190" s="1"/>
  <c r="J216" i="167"/>
  <c r="G216" i="167"/>
  <c r="I218" i="167"/>
  <c r="G128" i="167"/>
  <c r="L230" i="167"/>
  <c r="I96" i="167"/>
  <c r="G96" i="167" s="1"/>
  <c r="I23" i="167"/>
  <c r="I16" i="167" s="1"/>
  <c r="P110" i="165"/>
  <c r="P110" i="190" s="1"/>
  <c r="I221" i="167"/>
  <c r="G371" i="165"/>
  <c r="G248" i="167"/>
  <c r="P93" i="165"/>
  <c r="P93" i="190" s="1"/>
  <c r="J292" i="165"/>
  <c r="E112" i="165"/>
  <c r="O112" i="165"/>
  <c r="J113" i="165"/>
  <c r="H229" i="167"/>
  <c r="P301" i="165"/>
  <c r="Q301" i="165" s="1"/>
  <c r="E300" i="165"/>
  <c r="G42" i="167"/>
  <c r="E326" i="165"/>
  <c r="P327" i="165"/>
  <c r="Q327" i="165" s="1"/>
  <c r="J338" i="165"/>
  <c r="P339" i="165"/>
  <c r="Q339" i="165" s="1"/>
  <c r="H100" i="167"/>
  <c r="K100" i="167" s="1"/>
  <c r="O16" i="190" l="1"/>
  <c r="J17" i="190"/>
  <c r="J16" i="190" s="1"/>
  <c r="E190" i="165"/>
  <c r="E197" i="190"/>
  <c r="E190" i="190" s="1"/>
  <c r="O191" i="190"/>
  <c r="O190" i="190" s="1"/>
  <c r="O190" i="165"/>
  <c r="O313" i="190"/>
  <c r="J314" i="190"/>
  <c r="J313" i="190" s="1"/>
  <c r="E36" i="190"/>
  <c r="E17" i="190" s="1"/>
  <c r="D92" i="170"/>
  <c r="E92" i="170" s="1"/>
  <c r="P170" i="190"/>
  <c r="P169" i="190" s="1"/>
  <c r="J36" i="190"/>
  <c r="D93" i="170"/>
  <c r="O88" i="190"/>
  <c r="J89" i="190"/>
  <c r="J41" i="190"/>
  <c r="P42" i="190"/>
  <c r="J105" i="165"/>
  <c r="J105" i="190" s="1"/>
  <c r="E42" i="165"/>
  <c r="P42" i="165" s="1"/>
  <c r="Q42" i="165" s="1"/>
  <c r="J112" i="165"/>
  <c r="P113" i="165"/>
  <c r="Q113" i="165" s="1"/>
  <c r="O17" i="165"/>
  <c r="J17" i="165" s="1"/>
  <c r="I41" i="167"/>
  <c r="I40" i="167" s="1"/>
  <c r="L40" i="167" s="1"/>
  <c r="O41" i="165"/>
  <c r="J43" i="165"/>
  <c r="J43" i="190" s="1"/>
  <c r="P45" i="165"/>
  <c r="P45" i="190" s="1"/>
  <c r="E189" i="165"/>
  <c r="P24" i="165"/>
  <c r="P24" i="190" s="1"/>
  <c r="E315" i="165"/>
  <c r="E315" i="190" s="1"/>
  <c r="E314" i="190" s="1"/>
  <c r="P173" i="165"/>
  <c r="P173" i="190" s="1"/>
  <c r="G34" i="108"/>
  <c r="I211" i="167"/>
  <c r="L211" i="167" s="1"/>
  <c r="G44" i="167"/>
  <c r="K133" i="167"/>
  <c r="E17" i="165"/>
  <c r="J170" i="165"/>
  <c r="P170" i="165" s="1"/>
  <c r="Q170" i="165" s="1"/>
  <c r="J314" i="165"/>
  <c r="J313" i="165" s="1"/>
  <c r="L237" i="167" s="1"/>
  <c r="P318" i="165"/>
  <c r="P318" i="190" s="1"/>
  <c r="E89" i="165"/>
  <c r="E88" i="165" s="1"/>
  <c r="P18" i="165"/>
  <c r="P18" i="190" s="1"/>
  <c r="J23" i="165"/>
  <c r="J23" i="190" s="1"/>
  <c r="J191" i="165"/>
  <c r="J191" i="190" s="1"/>
  <c r="P171" i="165"/>
  <c r="P171" i="190" s="1"/>
  <c r="O189" i="165"/>
  <c r="P356" i="165"/>
  <c r="P356" i="190" s="1"/>
  <c r="P194" i="165"/>
  <c r="P194" i="190" s="1"/>
  <c r="P36" i="165"/>
  <c r="P36" i="190" s="1"/>
  <c r="O347" i="165"/>
  <c r="J348" i="165"/>
  <c r="J347" i="165" s="1"/>
  <c r="P33" i="165"/>
  <c r="P33" i="190" s="1"/>
  <c r="P210" i="165"/>
  <c r="P210" i="190" s="1"/>
  <c r="O89" i="165"/>
  <c r="P109" i="165"/>
  <c r="P109" i="190" s="1"/>
  <c r="H40" i="167"/>
  <c r="H265" i="167"/>
  <c r="P197" i="165"/>
  <c r="P197" i="190" s="1"/>
  <c r="G135" i="167"/>
  <c r="P92" i="165"/>
  <c r="P92" i="190" s="1"/>
  <c r="H74" i="167"/>
  <c r="G224" i="167"/>
  <c r="G214" i="167"/>
  <c r="H15" i="167"/>
  <c r="I229" i="167"/>
  <c r="L23" i="167"/>
  <c r="J217" i="167"/>
  <c r="I133" i="167"/>
  <c r="G23" i="167"/>
  <c r="G16" i="167" s="1"/>
  <c r="I101" i="167"/>
  <c r="I100" i="167" s="1"/>
  <c r="L100" i="167" s="1"/>
  <c r="G221" i="167"/>
  <c r="G106" i="167"/>
  <c r="G219" i="167"/>
  <c r="J218" i="167"/>
  <c r="G218" i="167"/>
  <c r="P326" i="165"/>
  <c r="P338" i="165"/>
  <c r="P292" i="165"/>
  <c r="I75" i="167"/>
  <c r="G76" i="167"/>
  <c r="G75" i="167" s="1"/>
  <c r="P300" i="165"/>
  <c r="J41" i="165"/>
  <c r="E189" i="190" l="1"/>
  <c r="E16" i="190"/>
  <c r="P17" i="190"/>
  <c r="P16" i="190" s="1"/>
  <c r="O189" i="190"/>
  <c r="J190" i="190"/>
  <c r="P314" i="190"/>
  <c r="P313" i="190" s="1"/>
  <c r="E313" i="190"/>
  <c r="O359" i="190"/>
  <c r="J88" i="190"/>
  <c r="P89" i="190"/>
  <c r="P88" i="190" s="1"/>
  <c r="P41" i="190"/>
  <c r="P105" i="165"/>
  <c r="P105" i="190" s="1"/>
  <c r="K74" i="167"/>
  <c r="J16" i="165"/>
  <c r="L15" i="167"/>
  <c r="O16" i="165"/>
  <c r="P17" i="165"/>
  <c r="Q17" i="165" s="1"/>
  <c r="P43" i="165"/>
  <c r="P43" i="190" s="1"/>
  <c r="G41" i="167"/>
  <c r="G40" i="167" s="1"/>
  <c r="E314" i="165"/>
  <c r="E313" i="165" s="1"/>
  <c r="K237" i="167" s="1"/>
  <c r="J211" i="167"/>
  <c r="J265" i="167" s="1"/>
  <c r="P315" i="165"/>
  <c r="P315" i="190" s="1"/>
  <c r="K40" i="167"/>
  <c r="S113" i="165"/>
  <c r="J169" i="165"/>
  <c r="L133" i="167"/>
  <c r="O359" i="165"/>
  <c r="E41" i="165"/>
  <c r="G211" i="167"/>
  <c r="J190" i="165"/>
  <c r="P190" i="165" s="1"/>
  <c r="Q190" i="165" s="1"/>
  <c r="E16" i="165"/>
  <c r="P191" i="165"/>
  <c r="P191" i="190" s="1"/>
  <c r="P23" i="165"/>
  <c r="P23" i="190" s="1"/>
  <c r="O88" i="165"/>
  <c r="J89" i="165"/>
  <c r="G134" i="167"/>
  <c r="G133" i="167" s="1"/>
  <c r="I74" i="167"/>
  <c r="G74" i="167"/>
  <c r="G15" i="167"/>
  <c r="I210" i="167"/>
  <c r="G101" i="167"/>
  <c r="G100" i="167" s="1"/>
  <c r="I15" i="167"/>
  <c r="P169" i="165"/>
  <c r="P41" i="165"/>
  <c r="P112" i="165"/>
  <c r="J189" i="190" l="1"/>
  <c r="J359" i="190"/>
  <c r="P190" i="190"/>
  <c r="P16" i="165"/>
  <c r="P314" i="165"/>
  <c r="O371" i="165"/>
  <c r="O374" i="165"/>
  <c r="J189" i="165"/>
  <c r="P189" i="165"/>
  <c r="P89" i="165"/>
  <c r="Q89" i="165" s="1"/>
  <c r="J88" i="165"/>
  <c r="L74" i="167" s="1"/>
  <c r="J359" i="165"/>
  <c r="J371" i="165" s="1"/>
  <c r="G210" i="167"/>
  <c r="M211" i="167"/>
  <c r="J210" i="167"/>
  <c r="P189" i="190" l="1"/>
  <c r="Q314" i="165"/>
  <c r="P313" i="165"/>
  <c r="J374" i="165"/>
  <c r="P88" i="165"/>
  <c r="K176" i="153" l="1"/>
  <c r="I168" i="167" l="1"/>
  <c r="I152" i="167" s="1"/>
  <c r="G168" i="167" l="1"/>
  <c r="I265" i="167"/>
  <c r="G152" i="167" l="1"/>
  <c r="G265" i="167" s="1"/>
  <c r="K265" i="167" s="1"/>
  <c r="I151" i="167"/>
  <c r="G151" i="167"/>
  <c r="M19" i="107" l="1"/>
  <c r="O19" i="107"/>
  <c r="K13" i="107" l="1"/>
  <c r="Q19" i="107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32" i="107"/>
  <c r="G31" i="107"/>
  <c r="G30" i="107"/>
  <c r="G29" i="107"/>
  <c r="G28" i="107"/>
  <c r="G18" i="107"/>
  <c r="G16" i="107" s="1"/>
  <c r="G15" i="107" s="1"/>
  <c r="G14" i="107" s="1"/>
  <c r="G148" i="107"/>
  <c r="F144" i="108"/>
  <c r="K167" i="107"/>
  <c r="J163" i="108"/>
  <c r="K12" i="107" l="1"/>
  <c r="K20" i="107" s="1"/>
  <c r="L13" i="107"/>
  <c r="L12" i="107" s="1"/>
  <c r="L20" i="107" s="1"/>
  <c r="J13" i="107"/>
  <c r="J12" i="107" s="1"/>
  <c r="J20" i="107" s="1"/>
  <c r="G13" i="107"/>
  <c r="G12" i="107" s="1"/>
  <c r="H13" i="107"/>
  <c r="H12" i="107" s="1"/>
  <c r="F13" i="107"/>
  <c r="O17" i="107"/>
  <c r="N17" i="107"/>
  <c r="M17" i="107"/>
  <c r="O20" i="107" l="1"/>
  <c r="O16" i="107"/>
  <c r="O15" i="107" s="1"/>
  <c r="O14" i="107" s="1"/>
  <c r="L151" i="167"/>
  <c r="G20" i="107"/>
  <c r="M151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1" i="167" s="1"/>
  <c r="F20" i="107" l="1"/>
  <c r="D22" i="108"/>
  <c r="E34" i="108" s="1"/>
  <c r="P361" i="165" l="1"/>
  <c r="Q361" i="165" s="1"/>
  <c r="P361" i="190"/>
  <c r="M18" i="107"/>
  <c r="M13" i="107" l="1"/>
  <c r="M12" i="107" s="1"/>
  <c r="M20" i="107" s="1"/>
  <c r="M16" i="107"/>
  <c r="M15" i="107" s="1"/>
  <c r="M14" i="107" s="1"/>
  <c r="Q18" i="107"/>
  <c r="Q16" i="107" s="1"/>
  <c r="Q15" i="107" s="1"/>
  <c r="Q14" i="107" s="1"/>
  <c r="Q13" i="107" l="1"/>
  <c r="Q12" i="107" s="1"/>
  <c r="Q20" i="107"/>
  <c r="D26" i="170"/>
  <c r="D86" i="170" l="1"/>
  <c r="E85" i="170"/>
  <c r="D91" i="170" l="1"/>
  <c r="F91" i="170" s="1"/>
  <c r="E93" i="170"/>
  <c r="F352" i="165"/>
  <c r="F352" i="190" s="1"/>
  <c r="F348" i="190" s="1"/>
  <c r="E353" i="165"/>
  <c r="F347" i="190" l="1"/>
  <c r="F359" i="190"/>
  <c r="E352" i="165"/>
  <c r="E353" i="190"/>
  <c r="P353" i="165"/>
  <c r="P353" i="190" s="1"/>
  <c r="F348" i="165"/>
  <c r="F347" i="165" s="1"/>
  <c r="E348" i="165" l="1"/>
  <c r="E352" i="190"/>
  <c r="E348" i="190" s="1"/>
  <c r="F359" i="165"/>
  <c r="P352" i="165"/>
  <c r="P352" i="190" s="1"/>
  <c r="E347" i="190" l="1"/>
  <c r="P348" i="190"/>
  <c r="E359" i="190"/>
  <c r="P348" i="165"/>
  <c r="E347" i="165"/>
  <c r="E359" i="165"/>
  <c r="F376" i="165"/>
  <c r="F371" i="165"/>
  <c r="F372" i="165" l="1"/>
  <c r="E371" i="165"/>
  <c r="D24" i="172"/>
  <c r="E380" i="165"/>
  <c r="E372" i="165"/>
  <c r="P347" i="190"/>
  <c r="P359" i="190"/>
  <c r="P359" i="165"/>
  <c r="P372" i="165" s="1"/>
  <c r="P347" i="165"/>
  <c r="Q348" i="165"/>
  <c r="D20" i="172" l="1"/>
  <c r="D15" i="172" s="1"/>
  <c r="D29" i="172" s="1"/>
  <c r="D48" i="172"/>
  <c r="D44" i="172" s="1"/>
  <c r="D43" i="172" s="1"/>
  <c r="D49" i="172" s="1"/>
  <c r="E24" i="172"/>
  <c r="C24" i="172"/>
  <c r="C20" i="172" s="1"/>
  <c r="C15" i="172" s="1"/>
  <c r="C29" i="172" s="1"/>
  <c r="P371" i="165"/>
  <c r="R359" i="165"/>
  <c r="D53" i="170"/>
  <c r="E53" i="170" s="1"/>
  <c r="E20" i="172" l="1"/>
  <c r="F24" i="172"/>
  <c r="E48" i="172"/>
  <c r="D61" i="170"/>
  <c r="E44" i="172" l="1"/>
  <c r="E43" i="172" s="1"/>
  <c r="E49" i="172" s="1"/>
  <c r="C48" i="172"/>
  <c r="C44" i="172" s="1"/>
  <c r="C43" i="172" s="1"/>
  <c r="C49" i="172" s="1"/>
  <c r="F20" i="172"/>
  <c r="F15" i="172" s="1"/>
  <c r="F29" i="172" s="1"/>
  <c r="F48" i="172"/>
  <c r="F44" i="172" s="1"/>
  <c r="F43" i="172" s="1"/>
  <c r="F49" i="172" s="1"/>
  <c r="E15" i="172"/>
  <c r="G20" i="172"/>
  <c r="E61" i="170"/>
  <c r="D48" i="170"/>
  <c r="G15" i="172" l="1"/>
  <c r="E29" i="172"/>
  <c r="D29" i="170"/>
  <c r="E29" i="170" s="1"/>
  <c r="D60" i="170"/>
  <c r="D59" i="170" s="1"/>
  <c r="E59" i="170" s="1"/>
  <c r="E60" i="170" l="1"/>
  <c r="E91" i="170" l="1"/>
  <c r="E80" i="170"/>
</calcChain>
</file>

<file path=xl/sharedStrings.xml><?xml version="1.0" encoding="utf-8"?>
<sst xmlns="http://schemas.openxmlformats.org/spreadsheetml/2006/main" count="7353" uniqueCount="1536">
  <si>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</si>
  <si>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</si>
  <si>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</si>
  <si>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</si>
  <si>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</si>
  <si>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</si>
  <si>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</si>
  <si>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</si>
  <si>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</si>
  <si>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</si>
  <si>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</si>
  <si>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</si>
  <si>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</si>
  <si>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</si>
  <si>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</si>
  <si>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</si>
  <si>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</si>
  <si>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</si>
  <si>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</si>
  <si>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</si>
  <si>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</si>
  <si>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</si>
  <si>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</si>
  <si>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</si>
  <si>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</si>
  <si>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</si>
  <si>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</si>
  <si>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</si>
  <si>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</si>
  <si>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</si>
  <si>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</si>
  <si>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</si>
  <si>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</si>
  <si>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</si>
  <si>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</si>
  <si>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</si>
  <si>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</si>
  <si>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</si>
  <si>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</si>
  <si>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</si>
  <si>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</si>
  <si>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</si>
  <si>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</si>
  <si>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</si>
  <si>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</si>
  <si>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</si>
  <si>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</si>
  <si>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</si>
  <si>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</si>
  <si>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</si>
  <si>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</si>
  <si>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</si>
  <si>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</si>
  <si>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</si>
  <si>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</si>
  <si>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</si>
  <si>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</si>
  <si>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</si>
  <si>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</si>
  <si>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</si>
  <si>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</si>
  <si>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</si>
  <si>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</si>
  <si>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</si>
  <si>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</si>
  <si>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</si>
  <si>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</si>
  <si>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</si>
  <si>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</si>
  <si>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</si>
  <si>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</si>
  <si>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</si>
  <si>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</si>
  <si>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</si>
  <si>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</si>
  <si>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</si>
  <si>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</si>
  <si>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</si>
  <si>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</si>
  <si>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</si>
  <si>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</si>
  <si>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</si>
  <si>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</si>
  <si>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</si>
  <si>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</si>
  <si>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</si>
  <si>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</si>
  <si>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</si>
  <si>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</si>
  <si>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</si>
  <si>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</si>
  <si>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</si>
  <si>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</si>
  <si>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</si>
  <si>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</si>
  <si>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</si>
  <si>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</si>
  <si>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</si>
  <si>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</si>
  <si>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</si>
  <si>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</si>
  <si>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</si>
  <si>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</si>
  <si>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</si>
  <si>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</si>
  <si>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</si>
  <si>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</si>
  <si>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</si>
  <si>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</si>
  <si>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</si>
  <si>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</si>
  <si>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</si>
  <si>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</si>
  <si>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</si>
  <si>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</si>
  <si>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</si>
  <si>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</si>
  <si>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</si>
  <si>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</si>
  <si>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</si>
  <si>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</si>
  <si>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</si>
  <si>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</si>
  <si>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</si>
  <si>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</si>
  <si>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</si>
  <si>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</si>
  <si>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</si>
  <si>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</si>
  <si>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</si>
  <si>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</si>
  <si>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</si>
  <si>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</si>
  <si>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</si>
  <si>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</si>
  <si>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</si>
  <si>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</si>
  <si>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</si>
  <si>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</si>
  <si>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</si>
  <si>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</si>
  <si>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</si>
  <si>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</si>
  <si>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</si>
  <si>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</si>
  <si>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</si>
  <si>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</si>
  <si>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</si>
  <si>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</si>
  <si>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</si>
  <si>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</si>
  <si>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</si>
  <si>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</si>
  <si>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</si>
  <si>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</si>
  <si>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</si>
  <si>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</si>
  <si>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</si>
  <si>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</si>
  <si>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</si>
  <si>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</si>
  <si>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</si>
  <si>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</si>
  <si>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</si>
  <si>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</si>
  <si>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</si>
  <si>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</si>
  <si>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</si>
  <si>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</si>
  <si>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</si>
  <si>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</si>
  <si>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</si>
  <si>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</si>
  <si>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</si>
  <si>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</si>
  <si>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</si>
  <si>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</si>
  <si>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</si>
  <si>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</si>
  <si>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</si>
  <si>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</si>
  <si>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</si>
  <si>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</si>
  <si>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</si>
  <si>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</si>
  <si>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</si>
  <si>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</si>
  <si>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</si>
  <si>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</si>
  <si>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</si>
  <si>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</si>
  <si>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</si>
  <si>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</si>
  <si>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</si>
  <si>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</si>
  <si>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</si>
  <si>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</si>
  <si>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</si>
  <si>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</si>
  <si>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</si>
  <si>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</si>
  <si>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</si>
  <si>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</si>
  <si>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</si>
  <si>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</si>
  <si>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</si>
  <si>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</si>
  <si>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</si>
  <si>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</si>
  <si>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</si>
  <si>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</si>
  <si>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</si>
  <si>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</si>
  <si>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</si>
  <si>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</si>
  <si>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</si>
  <si>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</si>
  <si>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</si>
  <si>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</si>
  <si>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</si>
  <si>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</si>
  <si>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</si>
  <si>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</si>
  <si>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</si>
  <si>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</si>
  <si>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</si>
  <si>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</si>
  <si>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</si>
  <si>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</si>
  <si>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</si>
  <si>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</si>
  <si>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</si>
  <si>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</si>
  <si>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</si>
  <si>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</si>
  <si>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</si>
  <si>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</si>
  <si>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</si>
  <si>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</si>
  <si>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</si>
  <si>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</si>
  <si>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</si>
  <si>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</si>
  <si>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</si>
  <si>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</si>
  <si>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</si>
  <si>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</si>
  <si>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</si>
  <si>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</si>
  <si>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</si>
  <si>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</si>
  <si>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</si>
  <si>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</si>
  <si>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</si>
  <si>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</si>
  <si>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</si>
  <si>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</si>
  <si>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</si>
  <si>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</si>
  <si>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</si>
  <si>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</si>
  <si>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</si>
  <si>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</si>
  <si>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</si>
  <si>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</si>
  <si>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</si>
  <si>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</si>
  <si>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</si>
  <si>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</si>
  <si>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</si>
  <si>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</si>
  <si>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</si>
  <si>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</si>
  <si>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</si>
  <si>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</si>
  <si>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</si>
  <si>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</si>
  <si>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</si>
  <si>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</si>
  <si>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</si>
  <si>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</si>
  <si>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</si>
  <si>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</si>
  <si>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</si>
  <si>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</si>
  <si>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</si>
  <si>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</si>
  <si>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</si>
  <si>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</si>
  <si>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</si>
  <si>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</si>
  <si>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</si>
  <si>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</si>
  <si>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</si>
  <si>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</si>
  <si>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</si>
  <si>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</si>
  <si>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</si>
  <si>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</si>
  <si>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</si>
  <si>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</si>
  <si>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</si>
  <si>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</si>
  <si>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</si>
  <si>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</si>
  <si>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</si>
  <si>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</si>
  <si>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</si>
  <si>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</si>
  <si>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</si>
  <si>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</si>
  <si>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</si>
  <si>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</si>
  <si>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</si>
  <si>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</si>
  <si>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</si>
  <si>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</si>
  <si>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</si>
  <si>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</si>
  <si>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</si>
  <si>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</si>
  <si>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</si>
  <si>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</si>
  <si>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</si>
  <si>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</si>
  <si>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</si>
  <si>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</si>
  <si>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</si>
  <si>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2818311</t>
  </si>
  <si>
    <t>8311</t>
  </si>
  <si>
    <t>2818330</t>
  </si>
  <si>
    <t>8330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</si>
  <si>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</si>
  <si>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</si>
  <si>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</si>
  <si>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</si>
  <si>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</si>
  <si>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</si>
  <si>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</si>
  <si>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</si>
  <si>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</si>
  <si>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</si>
  <si>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</si>
  <si>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%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</si>
  <si>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</si>
  <si>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</si>
  <si>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</si>
  <si>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</si>
  <si>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</si>
  <si>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</si>
  <si>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</si>
  <si>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</si>
  <si>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</si>
  <si>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</si>
  <si>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</si>
  <si>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</si>
  <si>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</si>
  <si>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</si>
  <si>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</si>
  <si>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</si>
  <si>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</si>
  <si>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</si>
  <si>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</si>
  <si>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</si>
  <si>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</si>
  <si>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</si>
  <si>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</si>
  <si>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</si>
  <si>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</si>
  <si>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</si>
  <si>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</si>
  <si>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</si>
  <si>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</si>
  <si>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</si>
  <si>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</si>
  <si>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</si>
  <si>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</si>
  <si>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</si>
  <si>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</si>
  <si>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</si>
  <si>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</si>
  <si>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</si>
  <si>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</si>
  <si>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</si>
  <si>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</si>
  <si>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</si>
  <si>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</si>
  <si>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</si>
  <si>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</si>
  <si>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</si>
  <si>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</si>
  <si>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</si>
  <si>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</si>
  <si>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</si>
  <si>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</si>
  <si>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</si>
  <si>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</si>
  <si>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</si>
  <si>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</si>
  <si>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</si>
  <si>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</si>
  <si>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</si>
  <si>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</si>
  <si>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</si>
  <si>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</si>
  <si>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</si>
  <si>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</si>
  <si>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</si>
  <si>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</si>
  <si>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</si>
  <si>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</si>
  <si>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</si>
  <si>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</si>
  <si>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</si>
  <si>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</si>
  <si>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</si>
  <si>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</si>
  <si>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</si>
  <si>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</si>
  <si>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</si>
  <si>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</si>
  <si>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</si>
  <si>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</si>
  <si>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</si>
  <si>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</si>
  <si>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</si>
  <si>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</si>
  <si>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</si>
  <si>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</si>
  <si>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</si>
  <si>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</si>
  <si>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</si>
  <si>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</si>
  <si>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</si>
  <si>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</si>
  <si>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</si>
  <si>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</si>
  <si>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</si>
  <si>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</si>
  <si>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</si>
  <si>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</si>
  <si>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</si>
  <si>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</si>
  <si>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</si>
  <si>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</si>
  <si>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</si>
  <si>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</si>
  <si>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</si>
  <si>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</si>
  <si>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</si>
  <si>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</si>
  <si>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</si>
  <si>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</si>
  <si>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</si>
  <si>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</si>
  <si>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</si>
  <si>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</si>
  <si>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Рішення 27-ї сесії Хмельницької міської ради від 14.12.2018 року №16</t>
  </si>
  <si>
    <t>Рішення 27-ї сесії Хмельницької міської ради від 14.12.2018 року №13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</si>
  <si>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</si>
  <si>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</si>
  <si>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</si>
  <si>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</si>
  <si>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</si>
  <si>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</si>
  <si>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</si>
  <si>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</si>
  <si>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</si>
  <si>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</si>
  <si>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</si>
  <si>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</si>
  <si>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</si>
  <si>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</si>
  <si>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</si>
  <si>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</si>
  <si>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</si>
  <si>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</si>
  <si>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</si>
  <si>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</si>
  <si>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</si>
  <si>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</si>
  <si>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</si>
  <si>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фінансової підтримки комунальної установи Хмельницької міської ради "Агенція розвитку Хмельницького" на 2019-2021 роки  (із змінами і доповненнями)</t>
  </si>
  <si>
    <t>Програма розвитку підприємництва міста Хмельницького на 2019-2021 роки  (із змінами і доповненнями)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</si>
  <si>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</si>
  <si>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</si>
  <si>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</si>
  <si>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</si>
  <si>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</si>
  <si>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</si>
  <si>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</si>
  <si>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</si>
  <si>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</si>
  <si>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</si>
  <si>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</si>
  <si>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</si>
  <si>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</si>
  <si>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</si>
  <si>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 Палацу спорту по вул.Прибузькій, 5/1а у м.Хмельницькому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</si>
  <si>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</si>
  <si>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</si>
  <si>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</si>
  <si>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</si>
  <si>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</si>
  <si>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</si>
  <si>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</si>
  <si>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</si>
  <si>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0512</t>
  </si>
  <si>
    <t>2818312</t>
  </si>
  <si>
    <t>8312</t>
  </si>
  <si>
    <t>Утилізація відходів</t>
  </si>
  <si>
    <t>Інша діяльність у сфері екології та охорони природних ресурсів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</si>
  <si>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</si>
  <si>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</si>
  <si>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</si>
  <si>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</si>
  <si>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</si>
  <si>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</si>
  <si>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</si>
  <si>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</si>
  <si>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</si>
  <si>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</si>
  <si>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</si>
  <si>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</si>
  <si>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</si>
  <si>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</si>
  <si>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</si>
  <si>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</si>
  <si>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</si>
  <si>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</si>
  <si>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</si>
  <si>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2020 - 2021 роки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</si>
  <si>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</si>
  <si>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</si>
  <si>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</si>
  <si>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</si>
  <si>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</si>
  <si>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</si>
  <si>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</si>
  <si>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</si>
  <si>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</si>
  <si>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</si>
  <si>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</si>
  <si>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</si>
  <si>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</si>
  <si>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</si>
  <si>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</si>
  <si>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</si>
  <si>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</si>
  <si>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</si>
  <si>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</si>
  <si>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</si>
  <si>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</si>
  <si>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</si>
  <si>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</si>
  <si>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</si>
  <si>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</si>
  <si>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</si>
  <si>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</si>
  <si>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</si>
  <si>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</si>
  <si>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</si>
  <si>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</si>
  <si>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</si>
  <si>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</si>
  <si>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</si>
  <si>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</si>
  <si>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8320</t>
  </si>
  <si>
    <t>Збереження природно-заповідного фонду</t>
  </si>
  <si>
    <t>2818320</t>
  </si>
  <si>
    <t>0520</t>
  </si>
  <si>
    <t>Біологічна меліорація водойм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</si>
  <si>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</si>
  <si>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</si>
  <si>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</si>
  <si>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</si>
  <si>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</si>
  <si>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</si>
  <si>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Придбання обладнання і предметів довгострокового користування</t>
  </si>
  <si>
    <t>Капітальний ремонт (зовнішнє опорядження та утеплення фасадів, заміна покрівлі) Хмельницького ДНЗ №21 "Ластівка" за адресою: вул. Сковороди, 31, м. Хмельницький</t>
  </si>
  <si>
    <t>Капітальний ремонт огорожі Хмельницького дошкільного навчального закладу №24 "Барвінок" по вул. Купріна, 54/1 в м. Хмельницькому</t>
  </si>
  <si>
    <t>2016 - 2020 роки</t>
  </si>
  <si>
    <t>Внески до статутного капіталу комунального підприємства "Хмельницька міська дитяча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</si>
  <si>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(Придбання обладнання і предметів довгострокового користування)</t>
  </si>
  <si>
    <t>Капітальний ремонт житлового фонду (приміщень)</t>
  </si>
  <si>
    <t>Капітальні трансферти населенню</t>
  </si>
  <si>
    <t>2017 - 2022 роки</t>
  </si>
  <si>
    <t>2018 - 2021 роки</t>
  </si>
  <si>
    <t xml:space="preserve">Капітальний ремонт житлового фонду </t>
  </si>
  <si>
    <t>Капітальні видатки, в т.ч.:</t>
  </si>
  <si>
    <t>капітальний ремонт прибудинкових територій</t>
  </si>
  <si>
    <t>Капітальний ремонт об’єктів благоустрою (мереж зовнішнього освітлення)</t>
  </si>
  <si>
    <t>Капітальний ремонт контейнерних майданчиків із встановленням підземних контейнерів</t>
  </si>
  <si>
    <t>Капітальний ремонт-розчистка русла річки Південний Буг від намулу, відкладів, завалів в межах міста Хмельницький  від вул.Трудової до вул.С.Бандери</t>
  </si>
  <si>
    <t>2019 - 2021 роки</t>
  </si>
  <si>
    <t>Внески до статутного капіталу МКП "Хмельницькводоканал" (Реконструкція ділянки водопроводу по вул. Північна в м.Хмельницький)</t>
  </si>
  <si>
    <t>Реставрація Хмельницького міського будинку культури по вул.Проскурівській, 43 в м. Хмельницькому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</si>
  <si>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</si>
  <si>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Внески до статутного капіталу комунального підприємства "Хмельницька інфекційна лікарня" Хмельницької міської ради (Придбання обладнання і предметів довгострокового користування)</t>
  </si>
  <si>
    <t>капітальний ремонт дитячих та спортивних майданчиків</t>
  </si>
  <si>
    <t>Реалізація громадських проєктів</t>
  </si>
  <si>
    <t>Внески до статутного капіталу ХКП "Спецкомунтранс" (Реконструкція полігону твердих побутових відходів з метою запобігання виникнення надзвичайної екологічної ситуації за адресою м. Хмельницький, вул. Проспект Миру, 7 розробка розділу "Проект  організації будівництва")</t>
  </si>
  <si>
    <t>2015 - 2022 роки</t>
  </si>
  <si>
    <t>Капітальний ремонт, відновлення зовнішньої штукатурки з подальшим оздобленням фасаду на вул. Курчатова, 1 Д, в м. Хмельницькому</t>
  </si>
  <si>
    <t>Капітальний ремонт ліфтів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</si>
  <si>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</si>
  <si>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</si>
  <si>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</si>
  <si>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</si>
  <si>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</si>
  <si>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</si>
  <si>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>Програма поводження з побутовими відходами у м. Хмельницькому - Програма "Розумне довкілля Хмельницький" на 2020р.</t>
  </si>
  <si>
    <t>Рішення 36-ї сесії Хмельницької міської ради від 24.12.2019р (зі змінами)</t>
  </si>
  <si>
    <t>Доходи  бюджету Хмельницької міської територіальної громади  на 2021 рік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</si>
  <si>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</si>
  <si>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</si>
  <si>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</si>
  <si>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</si>
  <si>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</si>
  <si>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на 2021 рік</t>
  </si>
  <si>
    <t>Вільний залишок коштів на 01.01.2021  року: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</si>
  <si>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</si>
  <si>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</si>
  <si>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</si>
  <si>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</si>
  <si>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</si>
  <si>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</si>
  <si>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</si>
  <si>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</si>
  <si>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</si>
  <si>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Код бюджету - 22564000000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</si>
  <si>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</si>
  <si>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Встановлення (поновлення) знаків - аншлагів, межових знаків на території об‘єктів природно-заповідного фонду</t>
  </si>
  <si>
    <t>Розроблення проекту організації території дендрологічного парку місцевого значення "Поділля"</t>
  </si>
  <si>
    <t>Наукові дослідження (лабораторні дослідження води водних об‘єктів)</t>
  </si>
  <si>
    <t>Розроблення програми моніторингу в галузі охорони атмосферного повітря</t>
  </si>
  <si>
    <t>Виготовлення та розміщення інформаційних листівок, екологічної реклами, відеороликів на тему "Розумне поводження з відходами"</t>
  </si>
  <si>
    <t xml:space="preserve">Реконструкція з надбудовою приміщень навчально-виховного комплексу №10 по вул. Водопровідній, 9А в м. Хмельницькому </t>
  </si>
  <si>
    <t>2018 - 2022роки</t>
  </si>
  <si>
    <t>2013 - 2022 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</si>
  <si>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</si>
  <si>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</si>
  <si>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</si>
  <si>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</si>
  <si>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</si>
  <si>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</si>
  <si>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</si>
  <si>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</si>
  <si>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</si>
  <si>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</si>
  <si>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</si>
  <si>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</si>
  <si>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</si>
  <si>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</si>
  <si>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</si>
  <si>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</si>
  <si>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</si>
  <si>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</si>
  <si>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2020-2021 роки</t>
  </si>
  <si>
    <t>Капітальний ремонт прибудинкових територій</t>
  </si>
  <si>
    <t xml:space="preserve">Капітальний ремонт зони відпочинку навколо водойми в мікрорайоні "Озерна" в м.Хмельницький </t>
  </si>
  <si>
    <t>Капітальний ремонт атракціону "Колесо огляду" в парку культури та відпочинку ім. М. Чекмана м.Хмельницький</t>
  </si>
  <si>
    <t>Капітальний ремонт комунальних майданчиків для вигулу собак на території м. Хмельницького (в т.ч. ПКД та експертиза)</t>
  </si>
  <si>
    <t>Реставрація водонапірної бшти на вул. Балбачана, 18/1 в м.Хмельницькому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</si>
  <si>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м.Хмельницького")</t>
  </si>
  <si>
    <t>2019-2021 роки</t>
  </si>
  <si>
    <t>2021 рік</t>
  </si>
  <si>
    <t>Внески до статутного капіталу МКП "Хмельницькводоканал" (Реконструкція каналізаційної мережі від ж.б.№4, 6 по вул.Деповська та ж.б. №63/2 по вул.Курчатова м.Хмельницький)</t>
  </si>
  <si>
    <t>Внески до статутного капіталу МКП "Хмельницькводоканал" (Будівництво зовнішніх мереж водопостачання вул.Ващука, вул.Ігнатенка, вул.Правика, вул.Кібенка, пров.Правика, пров, Ващука, пров. Кібенка житлового масиву"Прометей" в м.Хмельницький)</t>
  </si>
  <si>
    <t>Внески до статутного капіталу МКП "Хмельницькводоканал" (Будівництво вуличних мереж водовідведення по вул Черняховського у м.Хмельницький)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</si>
  <si>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</si>
  <si>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</si>
  <si>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</si>
  <si>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</si>
  <si>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Нове будівництво парку "Молодіжний" по вул. Бандери в м. Хмельницькому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</si>
  <si>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</si>
  <si>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</si>
  <si>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</si>
  <si>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видатків бюджету Хмельницької міської територіальної громади на 2021 рік</t>
  </si>
  <si>
    <t>РОЗПОДІЛ</t>
  </si>
  <si>
    <t>витрат бюджету Хмельницької міської територіальної громади на реалізацію місцевих/регіональних програм у 2021 році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</si>
  <si>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</si>
  <si>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</si>
  <si>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</si>
  <si>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</si>
  <si>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</si>
  <si>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бюджету Хмельницької міської територіальної громади у 2021 році</t>
  </si>
  <si>
    <t>КРЕДИТУВАННЯ</t>
  </si>
  <si>
    <t>ФІНАНСУВАННЯ</t>
  </si>
  <si>
    <t>бюджету Хмельницької міської територіальної громади на 2021 рік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</si>
  <si>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</si>
  <si>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</si>
  <si>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</si>
  <si>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МІЖБЮДЖЕТНІ ТРАНСФЕРТИ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</si>
  <si>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</si>
  <si>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</si>
  <si>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</si>
  <si>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</si>
  <si>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</si>
  <si>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</si>
  <si>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</si>
  <si>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</si>
  <si>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</si>
  <si>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</si>
  <si>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Внески до статутного капіталу комунального підприємства "Хмельницька міська лікарня" Хмельницької міської ради (Капітальний ремонт приміщення другого поверху та центрального входу  відділення амбулаторного гемодіалізу  корпусу №4 комунального підприємства "Хмельницька міська лікарня" Хмельницької міської ради, за адресою: провулок  Проскурівський,1 м.Хмельницький)</t>
  </si>
  <si>
    <t>Внески до статутного капіталу комунального підприємства "Хмельницька міська дитяча лікарня" Хмельницької міської ради (Капітальний ремонт (заміна) двох лікарняних ліфтів в головному корпусі комунального підприємства "Хмельницька міська дитяча лікарня" Хмельницької міської ради за адресою: м.Хмельницький, вул. Степана Разіна,1)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</si>
  <si>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</si>
  <si>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</si>
  <si>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</si>
  <si>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</si>
  <si>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</si>
  <si>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Громадський проєкт «МІКРО": Мобільна Інтерактивна Кімната Розвитку Особистості у бібліотеці» (видатки на капітальний ремонт приміщення бібліотеки-філії №9)</t>
  </si>
  <si>
    <t>Громадський проєкт «Творчий проєкт "ProArt"» (видатки на капітальний ремонт підлоги бібліотеки-філії №12)</t>
  </si>
  <si>
    <t>1019770</t>
  </si>
  <si>
    <t>Програма
підтримки обдарованих дітей м.Хмельницького</t>
  </si>
  <si>
    <t>Капітальний ремонт підліткового клубу "Мустанг" по вул. Старокостянтинівське шосе, 8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</si>
  <si>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</si>
  <si>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</si>
  <si>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</si>
  <si>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Програма 
«Громадські ініціативи» м.Хмельницького на 2021-2025 роки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</si>
  <si>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</si>
  <si>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</si>
  <si>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коштів бюджету розвитку на здійснення заходів на будівництво, реконструкцію і реставрацію, капітальний ремонт об'єктів виробничої, комунікаційної та соціальної інфраструктури за об'єктами у 2021 році</t>
  </si>
  <si>
    <t>Додаток №5</t>
  </si>
  <si>
    <t>Додаток №7</t>
  </si>
  <si>
    <t>Додаток 8</t>
  </si>
  <si>
    <t>Додаток  9</t>
  </si>
  <si>
    <t>1. Показники міжбюджетних трансфертів з інших бюджетів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</si>
  <si>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</si>
  <si>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</si>
  <si>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</si>
  <si>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</si>
  <si>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</si>
  <si>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</si>
  <si>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</si>
  <si>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</si>
  <si>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</si>
  <si>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</si>
  <si>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</si>
  <si>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</si>
  <si>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</si>
  <si>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</si>
  <si>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</si>
  <si>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Виготовлення проєктно-кошторисної документації на реконструкцію спортивного майданчика по вул.Кармелюка в м. Хмельницькому</t>
  </si>
  <si>
    <t>Внески до статутного капіталу комунального підприємства "Хмельницька міська дитяча лікарня" Хмельницької міської ради (Реконструкція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1)</t>
  </si>
  <si>
    <t>2019 - 2023 роки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</si>
  <si>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першого поверху Поліклініки №1 КП "Хмельницький міський лікувально-діагностичний центр" Хмельницької міської ради по вул. Подільська, 54 у м. Хмельницькому)</t>
  </si>
  <si>
    <t>Внески до статутного капіталу комунального підприємства "Хмельницька міська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</si>
  <si>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міська лікарня" Хмельницької міської ради (Капітальний ремонт сантехнічних вузлів першого поверху корпусу №1 комунального підприємства "Хмельницька міська лікарня" за адресою: м.Хмельницький, пров. Проскурівський, 1)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</si>
  <si>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</si>
  <si>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</si>
  <si>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</si>
  <si>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</si>
  <si>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</si>
  <si>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</si>
  <si>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</si>
  <si>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</si>
  <si>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</si>
  <si>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</si>
  <si>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</si>
  <si>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</si>
  <si>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</si>
  <si>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Капітальний ремонт спортивного майданчика біля водойми в мікрорайоні Озерна м.Хмельницький</t>
  </si>
  <si>
    <t>Капітальний ремонт дитячого майданчика в парку мікрорайону Ракове м. Хмельницький</t>
  </si>
  <si>
    <t>Капітальний ремонт дитячого майданчикабіля житлового будинку №12 на вул.Кармелюка в м.Хмельницькому</t>
  </si>
  <si>
    <t>Внески до статутного капіталу МКП "Хмельницькводоканал" (Будівництво вуличних мереж водопостачання, мікрорайон "Лезневе" у м.Хмельницький)</t>
  </si>
  <si>
    <t>Внески до статутного капіталу МКП "Хмельницькводоканал" (Капітальний ремонт вуличних мереж водопроводу центральної частини с.Пирогівці Хмельницької міської територіальної громади)</t>
  </si>
  <si>
    <t>Внески до статутного капіталу МКП "Хмельницькводоканал" (Реконструкція очисних споруд продуктивністю 200 куб.м. /добу ст. Богданівці Хмельницької міської територіальної громади)</t>
  </si>
  <si>
    <t xml:space="preserve">Витрати на виконання Програми підтримки ОСББ Хмельницької міської територіальної громади  на 2020-2023 роки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</si>
  <si>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</si>
  <si>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Внески до статутного капіталу комунального підприємства "Хмельницький міський перинатальний центр" Хмельницької міської ради (Придбання обладнання і предметів довгострокового користування)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</si>
  <si>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</si>
  <si>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</si>
  <si>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</si>
  <si>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</si>
  <si>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</si>
  <si>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</si>
  <si>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</si>
  <si>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</si>
  <si>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</si>
  <si>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</si>
  <si>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</si>
  <si>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</si>
  <si>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</si>
  <si>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</si>
  <si>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</si>
  <si>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</si>
  <si>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</si>
  <si>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</si>
  <si>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</si>
  <si>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</si>
  <si>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</si>
  <si>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</si>
  <si>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</si>
  <si>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</si>
  <si>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</si>
  <si>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</si>
  <si>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</si>
  <si>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</si>
  <si>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</si>
  <si>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</si>
  <si>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</si>
  <si>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</si>
  <si>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</si>
  <si>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</si>
  <si>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</si>
  <si>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</si>
  <si>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</si>
  <si>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</si>
  <si>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</si>
  <si>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</si>
  <si>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</si>
  <si>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</si>
  <si>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</si>
  <si>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</si>
  <si>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</si>
  <si>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</si>
  <si>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</si>
  <si>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</si>
  <si>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</si>
  <si>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</si>
  <si>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</si>
  <si>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</si>
  <si>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</si>
  <si>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</si>
  <si>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</si>
  <si>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</si>
  <si>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</si>
  <si>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</si>
  <si>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</si>
  <si>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</si>
  <si>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</si>
  <si>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</si>
  <si>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</si>
  <si>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</si>
  <si>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</si>
  <si>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</si>
  <si>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</si>
  <si>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</si>
  <si>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</si>
  <si>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</si>
  <si>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</si>
  <si>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</si>
  <si>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</si>
  <si>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</si>
  <si>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</si>
  <si>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</si>
  <si>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</si>
  <si>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</si>
  <si>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</si>
  <si>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</si>
  <si>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</si>
  <si>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</si>
  <si>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</si>
  <si>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</si>
  <si>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</si>
  <si>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</si>
  <si>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</si>
  <si>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</si>
  <si>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</si>
  <si>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</si>
  <si>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</si>
  <si>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</si>
  <si>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</si>
  <si>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</si>
  <si>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</si>
  <si>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</si>
  <si>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</si>
  <si>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</si>
  <si>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</si>
  <si>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</si>
  <si>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</si>
  <si>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</si>
  <si>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</si>
  <si>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</si>
  <si>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</si>
  <si>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</si>
  <si>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</si>
  <si>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</si>
  <si>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</si>
  <si>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</si>
  <si>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</si>
  <si>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</si>
  <si>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</si>
  <si>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</si>
  <si>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</si>
  <si>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</si>
  <si>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</si>
  <si>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</si>
  <si>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</si>
  <si>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</si>
  <si>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</si>
  <si>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</si>
  <si>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</si>
  <si>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</si>
  <si>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</si>
  <si>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</si>
  <si>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</si>
  <si>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</si>
  <si>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</si>
  <si>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</si>
  <si>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</si>
  <si>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</si>
  <si>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</si>
  <si>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</si>
  <si>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</si>
  <si>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</si>
  <si>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</si>
  <si>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</si>
  <si>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</si>
  <si>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</si>
  <si>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</si>
  <si>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</si>
  <si>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</si>
  <si>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</si>
  <si>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</si>
  <si>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</si>
  <si>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</si>
  <si>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</si>
  <si>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</si>
  <si>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</si>
  <si>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</si>
  <si>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</si>
  <si>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</si>
  <si>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</si>
  <si>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</si>
  <si>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</si>
  <si>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</si>
  <si>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</si>
  <si>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</si>
  <si>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</si>
  <si>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</si>
  <si>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</si>
  <si>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</si>
  <si>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</si>
  <si>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</si>
  <si>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</si>
  <si>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</si>
  <si>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</si>
  <si>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</si>
  <si>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</si>
  <si>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</si>
  <si>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</si>
  <si>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</si>
  <si>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</si>
  <si>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</si>
  <si>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</si>
  <si>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</si>
  <si>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</si>
  <si>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</si>
  <si>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</si>
  <si>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</si>
  <si>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</si>
  <si>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</si>
  <si>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</si>
  <si>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</si>
  <si>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</si>
  <si>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</si>
  <si>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</si>
  <si>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</si>
  <si>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</si>
  <si>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</si>
  <si>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</si>
  <si>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</si>
  <si>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</si>
  <si>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</si>
  <si>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</si>
  <si>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</si>
  <si>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</si>
  <si>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</si>
  <si>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</si>
  <si>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</si>
  <si>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</si>
  <si>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</si>
  <si>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</si>
  <si>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</si>
  <si>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</si>
  <si>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</si>
  <si>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</si>
  <si>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</si>
  <si>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</si>
  <si>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</si>
  <si>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</si>
  <si>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</si>
  <si>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</si>
  <si>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</si>
  <si>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</si>
  <si>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</si>
  <si>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</si>
  <si>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</si>
  <si>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</si>
  <si>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</si>
  <si>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</si>
  <si>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</si>
  <si>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</si>
  <si>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</si>
  <si>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</si>
  <si>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2818310</t>
  </si>
  <si>
    <t>8310</t>
  </si>
  <si>
    <t xml:space="preserve"> Запобігання та ліквідація забруднення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</si>
  <si>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</si>
  <si>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</si>
  <si>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</si>
  <si>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</si>
  <si>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</si>
  <si>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</si>
  <si>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</si>
  <si>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</si>
  <si>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</si>
  <si>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</si>
  <si>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</si>
  <si>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</si>
  <si>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</si>
  <si>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</si>
  <si>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</si>
  <si>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</si>
  <si>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</si>
  <si>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</si>
  <si>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</si>
  <si>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</si>
  <si>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Внески до статутного капіталу МКП "Хмельницькводоканал" (Придбання поліетиленових труб )</t>
  </si>
  <si>
    <t>Рішення 2-ї сесії Хмельницької міської ради від 23.12.2020 року №22</t>
  </si>
  <si>
    <t>Програма висвітлення діяльності Хмельницької міської ради та її виконавчих органів на 2021 рік</t>
  </si>
  <si>
    <t>Рішення 2-ї сесії Хмельницької міської ради від 23.12.2020 року №7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</si>
  <si>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</si>
  <si>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</si>
  <si>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</si>
  <si>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</si>
  <si>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</si>
  <si>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</si>
  <si>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</si>
  <si>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</si>
  <si>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</si>
  <si>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</si>
  <si>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</si>
  <si>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</si>
  <si>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Програма соціальної підтримки учасників АТО/ООС, учасників Революції Гідності та членів їх сімей на 2021 - 2025 роки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</si>
  <si>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</si>
  <si>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</si>
  <si>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</si>
  <si>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</si>
  <si>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</si>
  <si>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</si>
  <si>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</si>
  <si>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</si>
  <si>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</si>
  <si>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</si>
  <si>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</si>
  <si>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</si>
  <si>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</si>
  <si>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</si>
  <si>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</si>
  <si>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</si>
  <si>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</si>
  <si>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</si>
  <si>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</si>
  <si>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</si>
  <si>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</si>
  <si>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</si>
  <si>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</si>
  <si>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</si>
  <si>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</si>
  <si>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</si>
  <si>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</si>
  <si>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</si>
  <si>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</si>
  <si>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</si>
  <si>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</si>
  <si>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</si>
  <si>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</si>
  <si>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</si>
  <si>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>Хмельницької міської територіальної громади у 2021 році</t>
  </si>
  <si>
    <t xml:space="preserve">які будуть фінансуватися з Фонду охорони навколишнього природного середовища </t>
  </si>
  <si>
    <t>Підвищення енергоефективності систем водопостачання та водоочищення: Реконструкція каналізаційних насосних станцій №2, 7, 12 у місті Хмельницькому</t>
  </si>
  <si>
    <t>Внески до статутного капіталу КП "Південно-Західні тепломережі" (Реконструкція котельні по вул. Івана Павла ІІ, 1 в м. Хмельницькому з установленням обладнання для очищення газопилового потоку від забруднюючих речовин, що викидається в атмосферне повітря)</t>
  </si>
  <si>
    <t>Внески до статутного капіталу МКП "Хмельницьктеплокомуненерго" (Капітальний ремонт теплової мережі по прс. Миру, 62А, м. Хмельницький)</t>
  </si>
  <si>
    <t>Внески до статутного капіталу МКП "Хмельницьктеплокомуненерго" (Капітальний ремонт когенераційної установки в котельні по вул. Бандери, 32/1, м. Хмельницький)</t>
  </si>
  <si>
    <t>Внески до статутного капіталу ХКП "Спецкомунтранс"(Придбання шприцементу)</t>
  </si>
  <si>
    <t>Внески до статутного капіталу КП "Парки і сквери міста Хмельницького" (Придбання модульної вбиральні)</t>
  </si>
  <si>
    <t>Внески до статутного капіталу ХМКП "Муніципальна дружина" (Придбання квадрокоптера)</t>
  </si>
  <si>
    <t>Внески до статутного капіталу КП по будівництву, ремонту та експлуатації доріг (Придбання навантажувача)</t>
  </si>
  <si>
    <t xml:space="preserve">Виготовлення проєктно-кошторисної документації на  реконструкцію під`їздної дороги від вул. Вінницьке шосе до вул. Вінницьке шосе, 18 (індустріальний парк) </t>
  </si>
  <si>
    <t>Капітальний ремонт дитячого автомістечка в парку культури і відпочинку ім. М. Чекмана в м. Хмельницькому (ПКД, геодезія, експертиза)</t>
  </si>
  <si>
    <t>Капітальний ремонт – встановлення флагштоків на в’їздах в місто</t>
  </si>
  <si>
    <t>Внески до статутного капіталу МКП "Хмельницькводоканал" (Нове будівництво зовнішніх мереж водопостачання вул. Чеботарьова, проїздів Заярний, 2, Заярний, 8, Заярний, 9, Заярний, 10, Заярний, 11 мікрорайону Книжківці в м. Хмельницький)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</si>
  <si>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</si>
  <si>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</si>
  <si>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</si>
  <si>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</si>
  <si>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</si>
  <si>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</si>
  <si>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</si>
  <si>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</si>
  <si>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ХКП "Міськсвітло" (Придбання святкової ілюмінації для "Різдвяного ярмарку")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</si>
  <si>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</si>
  <si>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Виготовлення проєктно-кошторисної документації на капітальний ремонт даху спортивного комплексу по вул. Спортивна, 16, м. Хмельницький</t>
  </si>
  <si>
    <t>ДЮСШ №3</t>
  </si>
  <si>
    <t>Внески до статутного капіталу комунального підприємства "Спортивно-культурний центр "Плоскирів"" (Капітальний ремонт даху будівлі спортивно-культурного центру "Плоскирів" по вул. Курчатова, 90, м. Хмельницький, Хмельницької області (в тому числі виготовлення проєктно-кошторисної документації)</t>
  </si>
  <si>
    <t>2017 - 2021 роки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</si>
  <si>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</si>
  <si>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</si>
  <si>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</si>
  <si>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</si>
  <si>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Реконструкція котельні під спортивні приміщення на території СК "Поділля" ДЮСШ №1 по вул. Проскурівській, 81 в м.Хмельницькому</t>
  </si>
  <si>
    <t xml:space="preserve">Заходи з озеленення </t>
  </si>
  <si>
    <t>Проведення робіт, пов‘язаних з поліпшенням технічного стану та благоустрою поверхневих водойм  - благоустрій струмка в районі будинків 8-10 по вул.Хотовицького</t>
  </si>
  <si>
    <t>Обстеження  та паспортизація гідротехнічних споруд</t>
  </si>
  <si>
    <t>Продовження практики сортування сміття у закладах освіти Хмельницької міської територіальної громади (придбання контейнерів для роздільного збирання  відходів)</t>
  </si>
  <si>
    <t>Проведення    спеціальних    заходів,    спрямованих   на запобігання знищенню чи пошкодженню природних комплексів територій та об'єктів природно-заповідного фонду</t>
  </si>
  <si>
    <t>Заходи  щодо  запобігання  інтродукції  та  поширення 
чужорідних видів рослин, які загрожують природним екосистемам</t>
  </si>
  <si>
    <t>Організація  проведення  оцінки  впливу на довкілля та стратегічної екологічної оцінки</t>
  </si>
  <si>
    <t>Відкриття навчального центру поводження з відходами в  м. Хмельницькому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</si>
  <si>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</si>
  <si>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</si>
  <si>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</si>
  <si>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</si>
  <si>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</si>
  <si>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</si>
  <si>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</si>
  <si>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</si>
  <si>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Вартість по ПКД Уточнити пісдя коригування</t>
  </si>
  <si>
    <t>1017000</t>
  </si>
  <si>
    <t>1017600</t>
  </si>
  <si>
    <t>1017670</t>
  </si>
  <si>
    <t>Внески до статутного капіталу комунального підприємства "Медичний стоматологічний центр" Хмельницької міської ради (Капітальний ремонт вхідного ганку з облаштуванням підйомника для маломобільних груп населення в КП "Медичний стоматологічний центр" по вул.Прибузька, 18 в м. Хмельницькому)</t>
  </si>
  <si>
    <t>Внески до статутного капіталу міського комунального підприємства по утриманню нежитлових приміщень (капітальний ремонт системи пожежної сигналізації, системи керування евакуюванням, системи централізованого пожежного спостерігання, будинку побуту "Південний Буг", за адресою: м. Хмельницький , вул. Кам"янецька,2 )</t>
  </si>
  <si>
    <t>1217670</t>
  </si>
  <si>
    <t>Капітальний ремонт дитячого майданчика в с. Олешин</t>
  </si>
  <si>
    <t>Капітальний ремонт дитячого майданчика в с. Богданівці</t>
  </si>
  <si>
    <t xml:space="preserve">Капітальний ремонт пішохідної зони біля водонапірної вежі на вул. Болбачана, 18/1 в м. Хмельницькому 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</si>
  <si>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 черга))</t>
  </si>
  <si>
    <t>Внески до статутного капіталу МКП "Хмельницькводоканал"  (Нове будівництво вуличних мереж водопостачання житлових будинків по вул. Глушенкова (мікрорайон Ружична) в м. Хиельницький)</t>
  </si>
  <si>
    <t>Внески до статутного капіталу МКП "Хмельницькводоканал" (Придбання насосного агрегату)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</si>
  <si>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</si>
  <si>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</si>
  <si>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</si>
  <si>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</si>
  <si>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Капітальний ремонт, для облаштування архіву, в підвальному приміщенні Центру надання соціальних послуг "Прозорий офіс" за адресою вул. Перемоги, 10Б в м.Хмельницькому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</si>
  <si>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</si>
  <si>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</si>
  <si>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</si>
  <si>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</si>
  <si>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</si>
  <si>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</si>
  <si>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соціальної сфери</t>
    </r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</si>
  <si>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</si>
  <si>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Проєктні і вишукувальні роботи на реконструкцію станції очищення господарсько-побутових стічних вод продуктивністю БІО-3І 30 м3/доб в с.Пирогівці Хмельницького району, Хмельницької області</t>
  </si>
  <si>
    <t>Проєктні і вишукувальні роботи на будівництво станції очищення господарсько-побутових стічних вод продуктивністю БІО-ЗІ 20  м3/доб  ст. Богданівці, Хмельницького району, Хмельницької області</t>
  </si>
  <si>
    <t>Проєктні і вишукувальні роботи на будівництво на станції очищення господарсько-побутових стічних вод продуктивністю БІО-ЗІ 150 м3/доб   ст.Богданівці, Хмельницького району, Хмельницької області</t>
  </si>
  <si>
    <t>Будівництво артезіанської свердловини, водонапірної башти та водогону в с.Малашівці Хмельницького району Хмельницької області (кредиторська заборгованість, яка передається з балансу Шаровечківської сільської ради на баланс управління капітального будівництва Хмельницької міської ради)</t>
  </si>
  <si>
    <t>1517310</t>
  </si>
  <si>
    <t>1510180</t>
  </si>
  <si>
    <t>Нове будівництво діючої теплиці, як навчальної лабораторії та збірно-розбірного макету тепличного господарства "ДНЗ ВПУ №11 м.Хмельницького"</t>
  </si>
  <si>
    <t>1216020</t>
  </si>
  <si>
    <t xml:space="preserve">Капітальний ремонт спортивного майданчика НВК №2 (в тому числі виготовлення проєктно-кошторисної документації) </t>
  </si>
  <si>
    <t xml:space="preserve">Капітальний ремонт сантехнічних мереж приміщення СЗОШ №8 (в тому числі виготовлення проєктно-кошторисної документації) </t>
  </si>
  <si>
    <t>Виготовлення проєктно-кошторисної документації на реконструкцію плоского покриття з улаштуванням шатрового даху над приміщеннями спортивного залу та їдальні Хмельницької середньої загальноосвітньої школи І-ІІІ ступенів №21 за адресою: м.Хмельницький, просп. Миру, 76/5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</si>
  <si>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</si>
  <si>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</si>
  <si>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</si>
  <si>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</si>
  <si>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</si>
  <si>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</si>
  <si>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Капітальний ремонт інженерних систем, улаштування дашків та відмостки в ДНЗ №54 "Пізнайко" по просп. Миру, 51/2 в м.Хмельницькому (в тому числі виготовлення проєктно-кошторисної документації)</t>
  </si>
  <si>
    <t>Внески до статутного капіталу ХКП "Міськсвітло" (Капітальний ремонт мереж зовнішнього освітлення)</t>
  </si>
  <si>
    <t>Внески до статутного капіталу ХКП "Спецкомунтранс" (Нове будівництво самопливного каналізаційного колектора Хмельницького полігону ТПВ  за адресою м.Хмельницький проспект Миру,7)</t>
  </si>
  <si>
    <t xml:space="preserve">Капітальний ремонт стадіону Спеціалізованої загальноосвітньої школи №12 за адресою: вулиця Довженка, буд.6, м. Хмельницький (в тому числі виготовлення проєктно-кошторисної документації) </t>
  </si>
  <si>
    <t>Внески до статутного капіталу ХКП "Спецкомунтранс" (розробка проекту: Нове будівництво самопливного каналізаційного колектора Хмельницького полігону ТПВ  за адресою м. Хмельницький проспект Миру,7)</t>
  </si>
  <si>
    <t>Капітальний ремонт приміщення Хмельницької середньої загальноосвітньої школи №18 І-ІІІ ступенів ім. В.Чорновола по вул. Купріна, 12 в м. Хмельницький</t>
  </si>
  <si>
    <t>Реконструкція будівлі №45/312 (контрольно-технічний пункт), військового містечка №45 військової частини А0661</t>
  </si>
  <si>
    <t>Рішення 42-ї сесії Хмельницької міської ради від 17.06.2020 року №8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</si>
  <si>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</si>
  <si>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</si>
  <si>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</si>
  <si>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</si>
  <si>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(Реконструкція кабінету №9 під санвузол для МГН Поліклініки №2 КП "Хмельницький міський лікувально-діагностичний центр" Хмельницької міської ради по проспекту Миру, 61 в м.Хмельницькому)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</si>
  <si>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</si>
  <si>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>Виготовлення проєктно-кошторисної документації на капітальний ремонт системи освітлення футбольного поля на території  СК "Поділля" ДЮСШ №1 по вул. Проскурівській, 81 в м.Хмельницькому</t>
  </si>
  <si>
    <t>Внески до статутного капіталу КП "Елеватор" (придбання лічильників)</t>
  </si>
  <si>
    <t>Внески до статутного капіталу МКП "Хмельницькводоканал" (Реконструкція ділянки самопливного каналізаійного колектора по вул. Заводська в м.Хмельницький)</t>
  </si>
  <si>
    <t>Внески до статутного капіталу МКП "Хмельницькводоканал" (Реконструкція сомопливної каналізаційної мережі через вул. Шевченка до КНС-1 в м.Хмельницький)</t>
  </si>
  <si>
    <t>Внески до статутного капіталу МКП "Хмельницькводоканал" (Будівництво вуличного водопроводу по вул. Достоєвського від вул. Київська до прв.Достоєвського в м. Хмельницький)</t>
  </si>
  <si>
    <t>Внески до статутного капіталу МКП "Хмельницьктеплокомуненерго" (Реконструкція теплової мережі по вул.Зарічанській, 24, м. Хмельницький)</t>
  </si>
  <si>
    <t>Внески до статутного капіталу МКП "Хмельницьктеплокомуненерго" (Реконструкція теплової мережі по вул.Перемоги, 12, м Хмельницький)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</si>
  <si>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</si>
  <si>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Нове будівництво закладу загальної середньої освіти на вул. Січових стрільців, 8-А в м. Хмельницькому, в тому числі виготовлення проєктно-кошторисної документації</t>
  </si>
  <si>
    <t xml:space="preserve"> Нове будівництво вулиці від вулиці Степана Бандери до вулиці Західно-Окружної в м. Хмельницькому,  в тому числі виготовлення проєктно-кошторисної документації </t>
  </si>
  <si>
    <t>Нове будівництво зовнішніх  мереж газопостачання індустріального парку  "Хмельницький" по вул. Вінницьке шосе, 18 в м. Хмельницькому,  в тому числі виготовлення проєктно-кошторисної документації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</si>
  <si>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</si>
  <si>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 xml:space="preserve"> Нове будівництво зовнішніх мереж  водовідведення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</si>
  <si>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>2017 - 2025 роки</t>
  </si>
  <si>
    <t>2020 - 2025 роки</t>
  </si>
  <si>
    <t>2015 - 2025 роки</t>
  </si>
  <si>
    <t>В. ДІДЕНКО</t>
  </si>
  <si>
    <t>Внески до статутного капіталу ХКП "Спецкомунтранс" (Розробка техніко-економічного обґрунтування з поділом на черги реконструкції полігону твердих побутових відходів з метою запобігання виникнення надзвичайної екологічної ситуації за адресою м. Хмельницький, вул. Проспект Миру, 7)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</si>
  <si>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</si>
  <si>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</si>
  <si>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</si>
  <si>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(Капітальний ремонт сходової частини кінотеатру ім.Т.Г.Шевченка (в тому числі виготовлення проектно-кошторисної документації))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</si>
  <si>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</si>
  <si>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</si>
  <si>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</si>
  <si>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</si>
  <si>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</si>
  <si>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</si>
  <si>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</si>
  <si>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</si>
  <si>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</si>
  <si>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</si>
  <si>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</si>
  <si>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</si>
  <si>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</si>
  <si>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</si>
  <si>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</si>
  <si>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Програма шефської допомоги військовим частинам Збройних Сил України, Національної гвардії України, які розташовані на території м. Хмельницького на 2020 – 2021 роки (із змінами)</t>
  </si>
  <si>
    <t>Рішення 5-ї сесії Хмельницької міської ради від 21.04.2021 року №57</t>
  </si>
  <si>
    <t xml:space="preserve">Програма зайнятості населення Хмельницької міської територіальної громади на 2021-2023 роки </t>
  </si>
  <si>
    <t>Рішення 5-ї сесії Хмельницької міської ради від 21.04.2021 року №55</t>
  </si>
  <si>
    <t>Програма охорони довкілля Хмельницької міської територіальної громади на 2021-2025 роки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</si>
  <si>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</si>
  <si>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</si>
  <si>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</si>
  <si>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</si>
  <si>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</si>
  <si>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</si>
  <si>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</si>
  <si>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</si>
  <si>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Будівництво навчально-виховного комплексу на вул. Залізняка, 32 в м.Хмельницькому (коригування)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</si>
  <si>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</si>
  <si>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</si>
  <si>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Будівництво внутрішньоквартального проїзду між земельними ділянками по вул.Старокостянтинівське шосе, 2/1 "З" в м.Хмельницькому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</si>
  <si>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вул.Кам'янецькій, 38 в м. Хмельницькому</t>
  </si>
  <si>
    <t>Будівництво каналізаційних мереж в мікрорайоні "Озерна" в м.Хмельницькому (в тому числі коригування проєктно-кошторисної документації)</t>
  </si>
  <si>
    <t>Реконструкція мереж водопроводу та каналізації в мікрорайоні "Лезнево" м.Хмельницький  (коригування)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</si>
  <si>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 (коригування)</t>
  </si>
  <si>
    <t>2016 - 2022 роки</t>
  </si>
  <si>
    <t>Будівництво вулиці Мельникова (від вул.Зарічанської до вул. Трудової) в м.Хмельницькому (коригування)</t>
  </si>
  <si>
    <t>до рішення №</t>
  </si>
  <si>
    <t>від                   2021</t>
  </si>
  <si>
    <t xml:space="preserve">до рішення  №       від                    2021 року </t>
  </si>
  <si>
    <t>Додаток 4
до рішення  №    від               2021 року</t>
  </si>
  <si>
    <t>до рішення №    від            2021 року</t>
  </si>
  <si>
    <t xml:space="preserve">Додаток 6
до рішення №         від               2021 року
</t>
  </si>
  <si>
    <t xml:space="preserve">до рішення  №      від            2021 року </t>
  </si>
  <si>
    <t xml:space="preserve">до рішення №  </t>
  </si>
  <si>
    <t xml:space="preserve"> від          .2021</t>
  </si>
  <si>
    <t xml:space="preserve">до рішення №      </t>
  </si>
  <si>
    <t>від                 2021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</si>
  <si>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</si>
  <si>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</si>
  <si>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</si>
  <si>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Нове будівництво вулиці Лісогринівецької (від вул. Степана Бандери до Старокостянтинівського шосе) в м.Хмельницькому,  в тому числі виготовлення проєктно-кошторисної документації </t>
  </si>
  <si>
    <t>+</t>
  </si>
  <si>
    <t xml:space="preserve">Капітальний ремонт спортивного майданчика на території Хмельницької середньої загальноосвітньої школи І-ІІІ ступенів №22 імені Олега Ольжича, за адресою: вул Зарічанська, 20/1, в м. Хмельницькому (в тому числі виготовлення проєктно-кошторисної документації) </t>
  </si>
  <si>
    <t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</t>
  </si>
  <si>
    <t>Капітальний ремонт прилеглої території Хмельницької дитячої школи мистецтв "Райдуга" по вул. Курчатова, 9 в м.Хмельницькому (коригування)</t>
  </si>
  <si>
    <t>Капітальний ремонт огорожі Хмельницького навчально-виховного комплексу №31 "Дошкільний навчальний заклад - загальноосвітній навчальний заклад І ступеня" по вул. М.Мазура, 17 в м. Хмельницькому</t>
  </si>
  <si>
    <t xml:space="preserve">Капітальний ремонт спортивного майданчика на території Пироговецького ліцею Хмельницької районної ради Хмельницької області, за адресою вул.Центральна, 29 в с. Пирогівці Хмельницького району Хмельницької області (в тому числі виготовлення проєктно-кошторисної документації) 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</si>
  <si>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корпус №1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</si>
  <si>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корпус №2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</si>
  <si>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№13 імені М.К.Чекмана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</si>
  <si>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</si>
  <si>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</si>
  <si>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</si>
  <si>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</si>
  <si>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</si>
  <si>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</si>
  <si>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</si>
  <si>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</si>
  <si>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</si>
  <si>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Секретар міської ради</t>
  </si>
  <si>
    <t>Субвенція з державного бюджету місцевим бюджетам на розвиток спортивної інфраструктури</t>
  </si>
  <si>
    <t>41035700</t>
  </si>
  <si>
    <t xml:space="preserve">Капітальний ремонт спортивного залу Хмельницької спеціалізованої загальоосвітньої школи №19 І-ІІІ ступенів імені академіка Михайла Павловського по вул. Кам'янецькій, 164 в м. Хмельницькому (в тому числі виготовлення проєктно-кошторисної документації) </t>
  </si>
  <si>
    <t xml:space="preserve"> Реконструкція з добудовою приміщень Хмельницького ліцею №17 під спортивну залу на вул. Героїв Майдану, 5 в м.Хмельницькому (коригування)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</si>
  <si>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</si>
  <si>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</si>
  <si>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</si>
  <si>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</si>
  <si>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</si>
  <si>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</si>
  <si>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</si>
  <si>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</si>
  <si>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</si>
  <si>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</si>
  <si>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</si>
  <si>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</si>
  <si>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</si>
  <si>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 xml:space="preserve">Внески до статутного капіталу комунального підприємства "Хмельницька інфекційна лікарня" Хмельницької міської ради (Монтаж системи киснепостачання корпусу №1 КП«Хмельницька інфекційна лікарня» за адресою: м. Хмельницький, вул. Сковороди,17) (в тому числі виготовлення проектно-кошторисної документації) 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</si>
  <si>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</si>
  <si>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</si>
  <si>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</si>
  <si>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</si>
  <si>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</si>
  <si>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Поліклініки №4 КП "Хмельницький міський лікувально-діагностичний центр" Хмельницької міської ради на вул. Молодіжна, 9 у м. Хмельницькому)</t>
  </si>
  <si>
    <t>2011 - 2025 роки</t>
  </si>
  <si>
    <t xml:space="preserve">Капітальний ремонт - електропостачання 269 житлових будинків ГО «Хмельницький кооператив співвласників земельних ділянок - Мрія» в м. Хмельницькому, мікрорайон «Дубово» Хмельницького району Хмельницької області (І та ІІ черга) </t>
  </si>
  <si>
    <t>Внески до статутного капіталу КП по будівництву, ремонту та експлуатації доріг (Придбання відвалів снігоочисних поворотних)</t>
  </si>
  <si>
    <t>Внески до статутного капіталу КП по будівництву, ремонту та експлуатації доріг (Придбання відвалів снігоочисних поворотних типу ФПВ)</t>
  </si>
  <si>
    <t>Внески до статутного капіталу МКП "Хмельницькводоканал"  (Нове будівництво зовнішніх мереж водопостачання вулиць Старосадова,Яблунева, Пшенична, Ланок, Багалія, Колективна мікрорайону Книжківці в м. Хиельницький)</t>
  </si>
  <si>
    <t>Внески до статутного капіталу ХКП "Спецкомунтранс" (Придбання накидного кільця)</t>
  </si>
  <si>
    <t>2021 - 2022 роки</t>
  </si>
  <si>
    <t>Внески до статутного капіталу ХКП "Спецкомунтранс"("Капітальний ремонт частини нежитлового приміщення за адресою м.Хмельницький, вул. Марка Кропивницького, 6А")</t>
  </si>
  <si>
    <t xml:space="preserve"> Реконструкція парку-пам'ятки садово-паркового мистецтва місцевого значення "Парк ім. М.Чекмана. Ділянка колеса огляду. 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</si>
  <si>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</si>
  <si>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</si>
  <si>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</si>
  <si>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</si>
  <si>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</si>
  <si>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</si>
  <si>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</si>
  <si>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</si>
  <si>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</si>
  <si>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</si>
  <si>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</si>
  <si>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</si>
  <si>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</si>
  <si>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</si>
  <si>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</si>
  <si>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</si>
  <si>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</si>
  <si>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Реконструкція існуючих газових мереж з заміною ВОГ теплогенераторної учбового корпусу Шаровечківської ЗОШ І-ІІІ ст. Хмельницької міської ради по вул.Шкільна,10 в с.Шаровечка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</si>
  <si>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вул.Трублаїні,25 в с.Черепівка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</si>
  <si>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Олешинської гімназії Хмельницької міської ради по вул.Шкільна,17а в с.Олешин Хмельницької області (в тому числі виготовлення проєктно-кошторисної документації)</t>
  </si>
  <si>
    <t>Нове будівництво мережі каналізації Хмельницької спеціалізованої загальноосвітньої школи №19 І-ІІІ ступенів імені академіка Михайла Павловського по вул. Кам'янецькій, 164 м. Хмельницький (коригування)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</si>
  <si>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</si>
  <si>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</si>
  <si>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</si>
  <si>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(в тому числі виготовлення проєктно-кошторисної документації)</t>
  </si>
  <si>
    <t>Реконструкція системи газопостачання "Технічне переоснащення існуючих газових мереж з зміною ВОГ теплогенераторної ДЮСШ №1 по вул. Спортивній,17 в м. Хмельницькому"</t>
  </si>
  <si>
    <t>Виготовлення проєктно-кошторисної документації на об'єкт: Реконструкція системи освітлення футбольного поля на території  СК "Поділля" ДЮСШ №1 по вул. Проскурівській, 81 в м.Хмельницькому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</si>
  <si>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</si>
  <si>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</si>
  <si>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</si>
  <si>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</si>
  <si>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</si>
  <si>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</si>
  <si>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</si>
  <si>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</si>
  <si>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</si>
  <si>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Заміна газового котла без зміни потужності по вул. Житецького, 22 в м.Хмельницькому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</si>
  <si>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</si>
  <si>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</si>
  <si>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</si>
  <si>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</si>
  <si>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</si>
  <si>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Реконструкція існуючих газових мереж з заміною ВОГ теплогенераторної Водичківської гімназії Хмельницької міської ради по вул.Подільська,9 в селі Водички Хмельницької області (в тому числі виготовлення проєктно-кошторисної документації)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</si>
  <si>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</si>
  <si>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</si>
  <si>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</si>
  <si>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</si>
  <si>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</si>
  <si>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</si>
  <si>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Внески до статутного капіталу ХКП "Спецкомунтранс" (Нове будівництво нежитлового приміщення за адресою: вул. Заводська, 165 в м.Хмельницькому)</t>
  </si>
  <si>
    <t>Коригування проєктно-кошторисної документації на "Будівництво автодорожнього тунелю під залізничними коліями на перегоні Хмельницький - Гречани ПК 12256+71.00 в м. Хмельницькому"</t>
  </si>
  <si>
    <t xml:space="preserve">Внески до статутного капіталу комунального підприємства "Хмельницька інфекційна лікарня" Хмельницької міської ради (Капітальний ремонт (з заміною дверей) тераси корпусу №3 Хмельницької міської інфекційної лікарні по вул. Сковороди, 17)  (в тому числі виготовлення проектно-кошторисної документації) 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</si>
  <si>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приміщень інфекційного відділення поліклініки №4 на вул. Молодіжній, 9 у м.Хмельницькому)</t>
  </si>
  <si>
    <t>Капітальний ремонт приміщення для облаштування в ньому притулку для осіб, постраждалих від домашнього насильства за адресою: вул.Заводська,4-А, с.Богданівці Хмельницького району Хмельницької області</t>
  </si>
  <si>
    <t xml:space="preserve"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суспільно-побутовий блок, блок теоритичних занять та корпус майстерень ВПУ №4 м. Хмельницького, що знаходиться за адресою: 29016, Хмельницька обл., місто Хмельницький, вулиця Інститутська, будинок, 10 (в тому числі виготовлення проєктно-кошторисної документації) 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</si>
  <si>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</si>
  <si>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</si>
  <si>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</si>
  <si>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</si>
  <si>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</si>
  <si>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</si>
  <si>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</si>
  <si>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</si>
  <si>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</si>
  <si>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</si>
  <si>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</si>
  <si>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</si>
  <si>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</si>
  <si>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</si>
  <si>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</si>
  <si>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до рішення №   від  2021 року</t>
  </si>
  <si>
    <t xml:space="preserve">Акцизний податок з реалізації суб'єктами господарювання роздрібної торгівлі підакцизних товарів 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</si>
  <si>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</si>
  <si>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</si>
  <si>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</si>
  <si>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</si>
  <si>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</si>
  <si>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</si>
  <si>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</si>
  <si>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</si>
  <si>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</si>
  <si>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</si>
  <si>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</si>
  <si>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</si>
  <si>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</si>
  <si>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</si>
  <si>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</si>
  <si>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</si>
  <si>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</si>
  <si>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</si>
  <si>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</si>
  <si>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</si>
  <si>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</si>
  <si>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Придбання медичного обладнання, а саме: мобільний апарат КТГ для контролю за внутрішньоутробним станом плоду 
(13 штук) для комунального підприємства “Хмельницький міський перинатальний центр” Хмельницької міської ради
29000, Хмельницька область, місто Хмельницький, вулиця Хотовицького, 6</t>
  </si>
  <si>
    <t>Придбання медичного обладнання, а саме: портативна ультразвукова система для комунального підприємства “Хмельницька міська лікарня” Хмельницької міської ради
29000, Хмельницька область, місто Хмельницький, провулок Проскурівський, будинок 1</t>
  </si>
  <si>
    <t>Придбання медичного обладнання, а саме: спектральний оптико-когерентний томограф з функцією фундус-камери для комунального підприємства “Хмельницький міський лікувально-діагностичний центр” Хмельницької міської ради 29013, Хмельницька область, місто Хмельницький, 
вул. Подільська, 54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</si>
  <si>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</si>
  <si>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</si>
  <si>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</si>
  <si>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</si>
  <si>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</si>
  <si>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</si>
  <si>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</si>
  <si>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</si>
  <si>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</si>
  <si>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</si>
  <si>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</si>
  <si>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</si>
  <si>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</si>
  <si>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</si>
  <si>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</si>
  <si>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</si>
  <si>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</si>
  <si>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</si>
  <si>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</si>
  <si>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</si>
  <si>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</si>
  <si>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</si>
  <si>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</si>
  <si>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</si>
  <si>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</si>
  <si>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</si>
  <si>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</si>
  <si>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</si>
  <si>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</si>
  <si>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</si>
  <si>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</si>
  <si>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</si>
  <si>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</si>
  <si>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</si>
  <si>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</si>
  <si>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</si>
  <si>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</si>
  <si>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</si>
  <si>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</si>
  <si>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</si>
  <si>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</si>
  <si>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Капітальний ремонт існуючого приміщення Хмельницького НВК № 4 по вул. Перемоги, 9 під спортивну залу для початкових класів та шкільний буфет (в тому числі виготовлення проєктно-кошторисної документації)</t>
  </si>
  <si>
    <t xml:space="preserve"> Капітальний ремонт зелених насаджень (омолодження дерев та знешкодження омели)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</si>
  <si>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</si>
  <si>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</si>
  <si>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Будівництво спортивного майданчика з штучним покриттям по пров. Володимирському, 12 в м.Хмельницькому</t>
  </si>
  <si>
    <t>2019 - 2020 роки</t>
  </si>
  <si>
    <t xml:space="preserve"> ЗОШ №6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</si>
  <si>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</si>
  <si>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</si>
  <si>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</si>
  <si>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</si>
  <si>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</si>
  <si>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споруд, установ та закладів фізичної культури і спорту</t>
    </r>
  </si>
  <si>
    <t>Виготовлення проєктно-кошторисної документації на будівництво спортивного комплексу Хмельницького спортивного ліцею за адресою: м.Хмельницький, вул. Чорновола, 180</t>
  </si>
  <si>
    <t>0617600</t>
  </si>
  <si>
    <t>0617640</t>
  </si>
  <si>
    <t>2020 - 2021 рік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</si>
  <si>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</si>
  <si>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</si>
  <si>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</si>
  <si>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</si>
  <si>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</si>
  <si>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</si>
  <si>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Будівництво на кладовищі надгробків на могилах загиблих учасників АТО/ООС</t>
  </si>
  <si>
    <t>1117300</t>
  </si>
  <si>
    <t>1117320</t>
  </si>
  <si>
    <t>1117325</t>
  </si>
  <si>
    <t xml:space="preserve">Виготовлення проєктно-кошторисної документації на реконструкцію спортивних об’єктів на території Хмельницької дитячо-юнацької спортивної школи №4 по вул. Паркова, 4 у м. Хмельницький 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</si>
  <si>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</si>
  <si>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</si>
  <si>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Нове будівництво зовнішніх мереж водопостачання в с. Копистин Хмельницького району Хмельницької області</t>
  </si>
  <si>
    <t>Реконструкція скидного колектора та розчистка річки Плоскої з метою здійснення заходів щодо відновлення і підтримання сприятливого гідрологічного режиму та санітарного стану річки в м. Хмельницький</t>
  </si>
  <si>
    <t>Внески до статутного капіталу ХКП "Спецкомунтранс" (Придбання насоса каналізаційного)</t>
  </si>
  <si>
    <t>Внески до статутного капіталу ХКП "Спецкомунтранс" (Придбання системи відеоспостереження)</t>
  </si>
  <si>
    <t>Внески до статутного капіталу ХКП "Спецкомунтранс" (Розробка техніко-економічного обґрунтування будівництва комплексу переробки твердих побутових відходів (коригування))</t>
  </si>
  <si>
    <t>Внески до статутного капіталу ХКП "Міськсвітло" (Придбання мікроавтобуса)</t>
  </si>
  <si>
    <t>Внески до статутного капіталу МКП "Хмельницькводоканал" (Будівництво зовнішніх мереж водопостачання житлових будинків №24,24/3,24/4,24/6, по вул.Пилипчука, в м.Хмельницький)</t>
  </si>
  <si>
    <t>500,0 тис. грн - за рахунок ЦФ</t>
  </si>
  <si>
    <t>Внески до статутного капіталу ХКП "Спецкомунтранс"(Придбання змінного зовнішнього металевого пандуса)</t>
  </si>
  <si>
    <t>Внески до статутного капіталу ХКП "Спецкомунтранс"(Придбання насоса занурювального)</t>
  </si>
  <si>
    <t>Внески до статутного капіталу ХКП "Спецкомунтранс"(Придбання гусеничного сходового підйомника)</t>
  </si>
  <si>
    <t>Реставрація будівлі дитячої музичної школи № 1 ім. Миколи Мозгового по вул.Проскурівській,  18 в м.Хмельницькому</t>
  </si>
  <si>
    <t>Інші субвенції з місцевого бюджету (на нове будівництво зовнішніх мереж водопостачання в с. Копистин)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</si>
  <si>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 (коригування))</t>
  </si>
  <si>
    <t>Капітальний ремонт Майдану Незалежності (в т.ч. фонтанів) в м.Хмельницькому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</si>
  <si>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</si>
  <si>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</si>
  <si>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існуючих газових мереж з заміною ВОГ теплогенераторної ЗОШ І-ІІІ ст. по вул.Шкільна, 10 в с.Шаровечка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</si>
  <si>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бібліотеки Шаровечківської ЗОШ І-ІІІ ст. Хмельницької міської ради по вул.Шкільна, 10 в с.Шаровечка Хмельницької області (в тому числі виготовлення проєктно-кошторисної документації)</t>
  </si>
  <si>
    <t xml:space="preserve">Капітальний ремонт сантехнічних мереж приміщення ЗОШ №14 в м.Хмельницькому (в тому числі виготовлення проєктно-кошторисної документації) </t>
  </si>
  <si>
    <t>Капітальний ремонт з теплоізоляцією цокольної частини фасаду Хмельницької середньої загальноосвітньої школи І-ІІІ ступенів №14, що за адресою: Хмельницька область, м. Хмеььницький, вул. Спортивна, 17 (в тому числі виготовлення проєктно-кошторисної документації)</t>
  </si>
  <si>
    <t>Вартість по ПКД - 143 975</t>
  </si>
  <si>
    <t>Реконструкція кабінетів приміщення майстерень "Хмельницького центру професійно-технічної освіти сфери послуг" по вул. Панаса Мирного, 5 м.Хмельницького (коригування)</t>
  </si>
  <si>
    <t xml:space="preserve">Капітальний ремонт сантехнічних мереж приміщення Хмельницького навчально-виховного об'єднання №28 за адресою: м.Хмельницький, вулиця Панаса Мирного, 27/1 (в тому числі виготовлення проєктно-кошторисної документації) </t>
  </si>
  <si>
    <t xml:space="preserve">Капітальний ремонт санвузлів Хмельницького Колегіуму імені Володимира Козубняка по вул. Грушевського, 72 в м.Хмельницькому (в тому числі виготовлення проєктно-кошторисної документації) 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</si>
  <si>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Спеціалізована загальноосвітня школа І-ІІІ ступенів № 29 м.Хмельницького, що знаходиться за адресою: Хмельницька область, м.Хмельницький, вул. Вокзальна, 16 (в тому числі виготовлення проєктно-кошторисної документації)</t>
  </si>
  <si>
    <t xml:space="preserve">Капітальний ремонт ігрового майданчика Хмельницької спеціальної загальноосвітньої школи №32 по вул. Гагаріна, 31 у м.Хмельницькому (в тому числі виготовлення проєктно-кошторисної документації) </t>
  </si>
  <si>
    <t>Капітальний ремонт підвальних приміщень з влаштуванням дренажної системи ДНЗ №6 "Колобок" по вул. Львівське шосе, 43/2 в м. Хмельницькому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</si>
  <si>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об"єкті: Хмельницький дошкільний навчальний заклад №18  "Зірочка", що знаходиться за адресою: м. Хмельницький, вул. Кам"янецька, буд. 65/1 (в тому числі виготовлення проєктно-кошторисної документації)</t>
  </si>
  <si>
    <t>Капітальний ремонт огорожі Хмельницького дошкільного навчального закладу №35 "Чебурашка" по вул. Курчатова, 9 в м. Хмельницький (в тому числі виготовлення проектно-кошторисної документації)</t>
  </si>
  <si>
    <t>Капітальний ремонт огорожі Хмельницького дошкільного навчального закладу №55 "Сонечко" по пров. Козацькому, 47/2 в м.Хмельницькому  (в тому числі виготовлення проєктно-кошторисної документації)</t>
  </si>
  <si>
    <t xml:space="preserve">Капітальний ремонт сантехнічних мереж приміщень спеціалізованої загальноосвітньої школи І-ІІІ ступенів №7 міста Хмельницького, за адресою: м.Хмельницький, вул. Заводська, 33 (в тому числі виготовлення проєктно-кошторисної документації) </t>
  </si>
  <si>
    <t>Капітальний ремонт даху Давидковецької загальноосвітньої школи I-III ступенів Хмельницької міської ради Хмельницької області за адресою: с.Давидківці, вул. Гавришка, 70 (в тому числі виготовлення проєктно-кошторисної документації)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</si>
  <si>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</si>
  <si>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 xml:space="preserve"> Виготовлення проєктно-кошторисної документації на капітальний ремонт приміщення НВК №10 м.Хмельницького (приміщення тиру) з адресою: м.Хмельницький, вул. Водопровідна, 9а</t>
  </si>
  <si>
    <t>Вартість по ПКД - 2 526 698,00 грн</t>
  </si>
  <si>
    <t>Виготовлення проєктно-кошторисної документації на реконструкцію стадіону Хмельницької середньої загальноосвітньої школи №18 І-ІІІ ступенів ім.В.Чорновола по вул. Купріна, 12 в  м.Хмельницькому</t>
  </si>
  <si>
    <t>Вартість по ПКД - 4 179 432,00 грн</t>
  </si>
  <si>
    <t xml:space="preserve">Реконструкція плоского покриття з улаштуванням шатрового даху над приміщенням спортивного та актового залу Хмельницької спеціалізованої загальноосвітньої школи №19 І-ІІІ ступенів імені академіка Михайла Павловського по вул.Кам'янецькій, 164 в м.Хмельницькому  (в тому числі виготовлення проєктно-кошторисної документації) </t>
  </si>
  <si>
    <t>Капітальний ремонт системи пожежної сигналізації, системи керування евакуюванням, системою централізованого пожежного спостерігання на об'єкті: навчальні корпуси №1, №2 та майстерні Державного навчального закладу  "Хмельницький центр професійно-технічної освіти сфери послуг" за адресою: м.Хмельницький, вул. Панаса Мирного, 5</t>
  </si>
  <si>
    <t>Реконструкція спортивного майданчика під мультифункціональний  майданчик для занять ігровими видами спорту на території навчально-виховного об'єднання №5 міста Хмельницького імені Сергія Єфремова за адресою вул. Володимирська, 51 в м. Хмельницькому</t>
  </si>
  <si>
    <t>Капітальний ремонт даху з впровадженням заходів по енергозбереженню в Хмельницькому дошкільному навчальному закладі № 25 "Калинонька", що за адресою: Хмельницька область, м.Хмельницький, пров. 2-й Кам’янецький 17 (в тому числі виготовлення проєктно-кошторисної документації)</t>
  </si>
  <si>
    <t>Капітальний ремонт з впровадженням заходів по енергозбереженню в Хмельницькому закладі дошкільної освіти №55 "Сонечко", що за адресою: пров. Козацький 47/2, м.Хмельницький (в тому числі виготовлення проєктно-кошторисної документації)</t>
  </si>
  <si>
    <t>Придбання медичного обладнання, а саме: мобільний апарат КТГ для контролю за внутрішньоутробним станом плоду (5 штук) для комунального некомерційного підприємства “Хмельницький міський перинатальний центр” Хмельницької міської ради 29000, Хмельницька обл., місто Хмельницький, вулиця Хотовицького 6</t>
  </si>
  <si>
    <t>Придбання медичного обладнання, а саме: спектральний оптико-когерентний томограф з функцією фундус-камери для комунального некомерційного підприємства “Хмельницький міський лікувально-діагностичний центр” Хмельницької міської ради 29013, Хмельницька обл., місто Хмельницький, вул. Подільська, 54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</si>
  <si>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</si>
  <si>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</si>
  <si>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 xml:space="preserve">Капітальний ремонт санвузла першого поверху будівлі Навчально-виховного комплексу №2 м.Хмельницький за адресою: Хмельницька область, м.Хмельницький, вул. І.Франка, 57 (в тому числі виготовлення проєктно-кошторисної документації) </t>
  </si>
  <si>
    <t xml:space="preserve">Капітальний ремонт системи водопостачання Хмельницької спеціалізованої загальноосвітньої школи №19 І-ІІІ ст. ім. академіка М.Павловського, за адресою: м.Хмельницький вул. Кам'янецька, 164 (в тому числі виготовлення проектно-кошторисної документації) </t>
  </si>
  <si>
    <t xml:space="preserve">Капітальний ремонт спортивного залу Хмельницької спеціалізованої загальноосвітньої школи №19 І-ІІІ ступенів імені академіка Михайла Павловського по вул. Кам'янецькій, 164 в м.Хмельницькому (в тому числі виготовлення проєктно-кошторисної документації) </t>
  </si>
  <si>
    <t>1119000</t>
  </si>
  <si>
    <t>1119700</t>
  </si>
  <si>
    <t>1119770</t>
  </si>
  <si>
    <t>РІЗНИЦЯ</t>
  </si>
  <si>
    <t>РІЗНИЦЯ доходів  бюджету Хмельницької міської територіальної громади  на 2021 рік</t>
  </si>
  <si>
    <t>Вартість по ПКД -399270,00 грн</t>
  </si>
  <si>
    <t>Вартість по ПКД -614852,00 грн</t>
  </si>
  <si>
    <t>Вартість по ПКД - 214760,00 грн</t>
  </si>
  <si>
    <t xml:space="preserve">Виготовлення проєктно-кошторисної документації на каптальний ремонт водовідвідної системи, сходів та приямків ХЗДО № 32 "Росинка" по вул. Зарічанській, 12/1 в м.Хмельницькому </t>
  </si>
  <si>
    <t>Капітальний ремонт утеплення фасаду та сходового майданчика перед Палацом творчості дітей та юнацтва по вул. Свободи, 2/1 в м. Хмельницькому (коригування)</t>
  </si>
  <si>
    <t xml:space="preserve">Ю. САБІЙ </t>
  </si>
  <si>
    <t xml:space="preserve">Керуючий справами </t>
  </si>
  <si>
    <t>до рішення №   від           2021</t>
  </si>
  <si>
    <t>Ю. САБІЙ</t>
  </si>
  <si>
    <t>Керуючий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</si>
</sst>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,##0.00000"/>
    <numFmt numFmtId="167" formatCode="#,##0.0000"/>
    <numFmt numFmtId="168" formatCode="_-* #,##0.00_₴_-;\-* #,##0.00_₴_-;_-* &quot;-&quot;??_₴_-;_-@_-"/>
    <numFmt numFmtId="169" formatCode="_-* #,##0.00_₴_-;\-* #,##0.00_₴_-;_-* \-??_₴_-;_-@_-"/>
  </numFmts>
  <fonts count="180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sz val="48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b/>
      <i/>
      <sz val="37"/>
      <color rgb="FFFF0000"/>
      <name val="Arial Cyr"/>
      <charset val="204"/>
    </font>
    <font>
      <sz val="28"/>
      <color rgb="FFFF0000"/>
      <name val="Arial Cyr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i/>
      <sz val="37"/>
      <name val="Arial Cyr"/>
      <charset val="204"/>
    </font>
    <font>
      <b/>
      <sz val="72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10"/>
      <color rgb="FFFF0000"/>
      <name val="Arial Cyr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4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2.5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sz val="36"/>
      <color rgb="FF66FF99"/>
      <name val="Times New Roman Cyr"/>
      <family val="1"/>
      <charset val="204"/>
    </font>
    <font>
      <b/>
      <sz val="28"/>
      <name val="Arial Cyr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rgb="FFFFFFCC"/>
        </stop>
      </gradientFill>
    </fill>
    <fill>
      <gradientFill degree="90">
        <stop position="0">
          <color theme="0"/>
        </stop>
        <stop position="1">
          <color rgb="FFCFAFE7"/>
        </stop>
      </gradientFill>
    </fill>
    <fill>
      <patternFill patternType="solid">
        <fgColor rgb="FF66FF99"/>
        <bgColor indexed="64"/>
      </pattern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theme="9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270">
        <stop position="0">
          <color theme="0"/>
        </stop>
        <stop position="1">
          <color theme="7" tint="0.80001220740379042"/>
        </stop>
      </gradient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rgb="FFA86ED4"/>
        <bgColor indexed="64"/>
      </patternFill>
    </fill>
    <fill>
      <patternFill patternType="solid">
        <fgColor theme="0"/>
        <bgColor auto="1"/>
      </patternFill>
    </fill>
    <fill>
      <patternFill patternType="solid">
        <fgColor indexed="65"/>
        <bgColor theme="7" tint="0.79998168889431442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9" fillId="0" borderId="0"/>
    <xf numFmtId="0" fontId="32" fillId="0" borderId="0"/>
    <xf numFmtId="0" fontId="9" fillId="0" borderId="0"/>
    <xf numFmtId="0" fontId="49" fillId="0" borderId="0"/>
    <xf numFmtId="0" fontId="9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7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9" fillId="0" borderId="0"/>
    <xf numFmtId="0" fontId="11" fillId="0" borderId="0"/>
    <xf numFmtId="0" fontId="57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22" borderId="0" applyNumberFormat="0" applyBorder="0" applyAlignment="0" applyProtection="0"/>
    <xf numFmtId="0" fontId="22" fillId="2" borderId="1" applyNumberFormat="0" applyAlignment="0" applyProtection="0"/>
    <xf numFmtId="0" fontId="70" fillId="23" borderId="13" applyNumberFormat="0" applyAlignment="0" applyProtection="0"/>
    <xf numFmtId="0" fontId="71" fillId="23" borderId="1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3" fillId="4" borderId="0" applyNumberFormat="0" applyBorder="0" applyAlignment="0" applyProtection="0"/>
    <xf numFmtId="0" fontId="74" fillId="8" borderId="0" applyNumberFormat="0" applyBorder="0" applyAlignment="0" applyProtection="0"/>
    <xf numFmtId="0" fontId="75" fillId="0" borderId="0" applyNumberFormat="0" applyFill="0" applyBorder="0" applyAlignment="0" applyProtection="0"/>
    <xf numFmtId="0" fontId="68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4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4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8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174" fillId="0" borderId="0" applyNumberFormat="0" applyFill="0" applyBorder="0" applyAlignment="0" applyProtection="0"/>
    <xf numFmtId="0" fontId="47" fillId="0" borderId="0"/>
    <xf numFmtId="0" fontId="68" fillId="0" borderId="0"/>
    <xf numFmtId="0" fontId="94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84" fillId="0" borderId="0"/>
    <xf numFmtId="0" fontId="57" fillId="0" borderId="0"/>
    <xf numFmtId="0" fontId="84" fillId="0" borderId="0"/>
    <xf numFmtId="0" fontId="11" fillId="0" borderId="0"/>
    <xf numFmtId="0" fontId="15" fillId="0" borderId="0"/>
    <xf numFmtId="0" fontId="57" fillId="0" borderId="0"/>
    <xf numFmtId="0" fontId="68" fillId="0" borderId="0"/>
    <xf numFmtId="0" fontId="68" fillId="0" borderId="0"/>
    <xf numFmtId="0" fontId="15" fillId="0" borderId="0"/>
    <xf numFmtId="0" fontId="15" fillId="0" borderId="0"/>
    <xf numFmtId="0" fontId="68" fillId="0" borderId="0"/>
    <xf numFmtId="0" fontId="9" fillId="0" borderId="0"/>
    <xf numFmtId="0" fontId="1" fillId="0" borderId="0"/>
    <xf numFmtId="0" fontId="1" fillId="0" borderId="0"/>
    <xf numFmtId="0" fontId="84" fillId="0" borderId="0"/>
    <xf numFmtId="0" fontId="173" fillId="0" borderId="0"/>
    <xf numFmtId="168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4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73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184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15" fillId="0" borderId="0" xfId="35" applyFont="1"/>
    <xf numFmtId="0" fontId="11" fillId="0" borderId="0" xfId="35"/>
    <xf numFmtId="4" fontId="53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1" fillId="0" borderId="0" xfId="39" applyAlignment="1">
      <alignment vertical="center" wrapText="1"/>
    </xf>
    <xf numFmtId="0" fontId="34" fillId="0" borderId="0" xfId="39" applyFont="1" applyAlignment="1">
      <alignment wrapText="1"/>
    </xf>
    <xf numFmtId="0" fontId="35" fillId="0" borderId="0" xfId="39" applyFont="1" applyAlignment="1">
      <alignment wrapText="1"/>
    </xf>
    <xf numFmtId="0" fontId="55" fillId="0" borderId="0" xfId="39" applyFont="1" applyAlignment="1">
      <alignment wrapText="1"/>
    </xf>
    <xf numFmtId="0" fontId="11" fillId="0" borderId="0" xfId="39" applyAlignment="1">
      <alignment wrapText="1"/>
    </xf>
    <xf numFmtId="0" fontId="16" fillId="0" borderId="0" xfId="39" applyFont="1"/>
    <xf numFmtId="0" fontId="21" fillId="0" borderId="0" xfId="0" applyFont="1"/>
    <xf numFmtId="0" fontId="59" fillId="0" borderId="0" xfId="35" applyFont="1"/>
    <xf numFmtId="0" fontId="17" fillId="0" borderId="0" xfId="35" applyFont="1" applyAlignment="1">
      <alignment horizontal="center" vertical="center" wrapText="1"/>
    </xf>
    <xf numFmtId="0" fontId="20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/>
    </xf>
    <xf numFmtId="0" fontId="59" fillId="0" borderId="0" xfId="35" applyFont="1" applyAlignment="1">
      <alignment horizontal="center"/>
    </xf>
    <xf numFmtId="0" fontId="20" fillId="0" borderId="0" xfId="35" applyFont="1" applyAlignment="1">
      <alignment horizontal="right"/>
    </xf>
    <xf numFmtId="0" fontId="59" fillId="0" borderId="11" xfId="35" applyFont="1" applyBorder="1"/>
    <xf numFmtId="0" fontId="59" fillId="0" borderId="12" xfId="35" applyFont="1" applyBorder="1"/>
    <xf numFmtId="0" fontId="55" fillId="0" borderId="0" xfId="35" applyFont="1"/>
    <xf numFmtId="0" fontId="60" fillId="0" borderId="0" xfId="35" applyFont="1"/>
    <xf numFmtId="0" fontId="57" fillId="0" borderId="0" xfId="36">
      <alignment vertical="top"/>
    </xf>
    <xf numFmtId="0" fontId="16" fillId="0" borderId="0" xfId="36" applyFont="1" applyAlignment="1">
      <alignment horizontal="center" vertical="top"/>
    </xf>
    <xf numFmtId="2" fontId="57" fillId="0" borderId="0" xfId="36" applyNumberFormat="1" applyAlignment="1">
      <alignment horizontal="center" vertical="top"/>
    </xf>
    <xf numFmtId="0" fontId="63" fillId="0" borderId="0" xfId="36" applyFont="1" applyAlignment="1">
      <alignment horizontal="center" vertical="top" wrapText="1"/>
    </xf>
    <xf numFmtId="2" fontId="63" fillId="0" borderId="0" xfId="36" applyNumberFormat="1" applyFont="1" applyAlignment="1">
      <alignment horizontal="center" vertical="top" wrapText="1"/>
    </xf>
    <xf numFmtId="165" fontId="15" fillId="0" borderId="0" xfId="36" applyNumberFormat="1" applyFont="1" applyAlignment="1">
      <alignment horizontal="center" vertical="top"/>
    </xf>
    <xf numFmtId="0" fontId="65" fillId="0" borderId="0" xfId="38" applyFont="1" applyAlignment="1" applyProtection="1">
      <alignment horizontal="left" vertical="center" wrapText="1"/>
      <protection locked="0"/>
    </xf>
    <xf numFmtId="0" fontId="63" fillId="0" borderId="0" xfId="36" applyFont="1" applyAlignment="1">
      <alignment horizontal="left" vertical="top" wrapText="1"/>
    </xf>
    <xf numFmtId="4" fontId="77" fillId="0" borderId="0" xfId="0" applyNumberFormat="1" applyFont="1" applyAlignment="1">
      <alignment vertical="center"/>
    </xf>
    <xf numFmtId="0" fontId="51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81" fillId="0" borderId="0" xfId="0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85" fillId="0" borderId="0" xfId="0" applyNumberFormat="1" applyFont="1" applyAlignment="1">
      <alignment vertical="center"/>
    </xf>
    <xf numFmtId="4" fontId="14" fillId="0" borderId="0" xfId="0" applyNumberFormat="1" applyFont="1"/>
    <xf numFmtId="0" fontId="86" fillId="0" borderId="0" xfId="35" applyFont="1"/>
    <xf numFmtId="4" fontId="42" fillId="0" borderId="0" xfId="0" applyNumberFormat="1" applyFont="1" applyAlignment="1">
      <alignment horizontal="left" vertical="center"/>
    </xf>
    <xf numFmtId="0" fontId="48" fillId="0" borderId="0" xfId="39" applyFont="1" applyAlignment="1">
      <alignment wrapText="1"/>
    </xf>
    <xf numFmtId="0" fontId="87" fillId="0" borderId="0" xfId="0" applyFont="1"/>
    <xf numFmtId="0" fontId="44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8" fillId="0" borderId="0" xfId="0" applyFont="1" applyAlignment="1">
      <alignment vertical="center"/>
    </xf>
    <xf numFmtId="4" fontId="89" fillId="0" borderId="0" xfId="0" applyNumberFormat="1" applyFont="1" applyAlignment="1">
      <alignment vertical="center"/>
    </xf>
    <xf numFmtId="4" fontId="90" fillId="0" borderId="0" xfId="0" applyNumberFormat="1" applyFont="1" applyAlignment="1">
      <alignment vertical="center"/>
    </xf>
    <xf numFmtId="0" fontId="90" fillId="0" borderId="0" xfId="0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9" fillId="0" borderId="0" xfId="0" applyFont="1" applyAlignment="1">
      <alignment vertical="center"/>
    </xf>
    <xf numFmtId="0" fontId="50" fillId="0" borderId="0" xfId="35" applyFont="1"/>
    <xf numFmtId="0" fontId="82" fillId="0" borderId="0" xfId="0" applyFont="1" applyAlignment="1">
      <alignment horizontal="center" vertical="center"/>
    </xf>
    <xf numFmtId="4" fontId="82" fillId="0" borderId="0" xfId="0" applyNumberFormat="1" applyFont="1" applyAlignment="1">
      <alignment horizontal="center" vertical="center"/>
    </xf>
    <xf numFmtId="4" fontId="82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40" fillId="0" borderId="0" xfId="0" applyFont="1" applyAlignment="1">
      <alignment horizontal="right"/>
    </xf>
    <xf numFmtId="0" fontId="85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3" fillId="0" borderId="0" xfId="0" applyFont="1"/>
    <xf numFmtId="0" fontId="93" fillId="0" borderId="0" xfId="36" applyFont="1">
      <alignment vertical="top"/>
    </xf>
    <xf numFmtId="0" fontId="93" fillId="0" borderId="0" xfId="35" applyFont="1"/>
    <xf numFmtId="0" fontId="44" fillId="0" borderId="0" xfId="36" applyFont="1">
      <alignment vertical="top"/>
    </xf>
    <xf numFmtId="0" fontId="44" fillId="0" borderId="0" xfId="35" applyFont="1"/>
    <xf numFmtId="0" fontId="57" fillId="0" borderId="0" xfId="36" applyAlignment="1">
      <alignment vertical="center"/>
    </xf>
    <xf numFmtId="0" fontId="15" fillId="0" borderId="0" xfId="36" applyFont="1" applyAlignment="1">
      <alignment horizontal="right" vertical="center"/>
    </xf>
    <xf numFmtId="4" fontId="41" fillId="30" borderId="7" xfId="36" applyNumberFormat="1" applyFont="1" applyFill="1" applyBorder="1" applyAlignment="1">
      <alignment horizontal="center" vertical="center" wrapText="1"/>
    </xf>
    <xf numFmtId="0" fontId="0" fillId="0" borderId="0" xfId="0" applyFont="1"/>
    <xf numFmtId="0" fontId="16" fillId="0" borderId="0" xfId="39" applyFont="1" applyAlignment="1">
      <alignment horizontal="center" vertical="center"/>
    </xf>
    <xf numFmtId="0" fontId="0" fillId="0" borderId="0" xfId="0" applyAlignment="1">
      <alignment vertical="center"/>
    </xf>
    <xf numFmtId="0" fontId="59" fillId="0" borderId="0" xfId="35" applyFont="1"/>
    <xf numFmtId="0" fontId="17" fillId="0" borderId="0" xfId="35" applyFont="1" applyAlignment="1">
      <alignment horizontal="center" vertical="center" wrapText="1"/>
    </xf>
    <xf numFmtId="0" fontId="61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7" fillId="0" borderId="0" xfId="36">
      <alignment vertical="top"/>
    </xf>
    <xf numFmtId="0" fontId="61" fillId="0" borderId="0" xfId="36" applyFont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35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01" fillId="0" borderId="0" xfId="0" applyFont="1" applyBorder="1" applyAlignment="1">
      <alignment horizontal="center" vertical="center"/>
    </xf>
    <xf numFmtId="0" fontId="100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top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4" fontId="64" fillId="0" borderId="17" xfId="36" applyNumberFormat="1" applyFont="1" applyFill="1" applyBorder="1" applyAlignment="1">
      <alignment horizontal="center" vertical="center" wrapText="1"/>
    </xf>
    <xf numFmtId="4" fontId="61" fillId="29" borderId="17" xfId="36" applyNumberFormat="1" applyFont="1" applyFill="1" applyBorder="1" applyAlignment="1">
      <alignment horizontal="center" vertical="center" wrapText="1"/>
    </xf>
    <xf numFmtId="0" fontId="61" fillId="29" borderId="17" xfId="0" applyFont="1" applyFill="1" applyBorder="1" applyAlignment="1">
      <alignment horizontal="center" vertical="center"/>
    </xf>
    <xf numFmtId="0" fontId="0" fillId="31" borderId="0" xfId="0" applyFill="1"/>
    <xf numFmtId="0" fontId="59" fillId="0" borderId="0" xfId="35" applyFont="1"/>
    <xf numFmtId="0" fontId="35" fillId="0" borderId="17" xfId="0" applyFont="1" applyBorder="1" applyAlignment="1">
      <alignment horizontal="center" vertical="center" wrapText="1"/>
    </xf>
    <xf numFmtId="4" fontId="41" fillId="30" borderId="0" xfId="36" applyNumberFormat="1" applyFont="1" applyFill="1" applyBorder="1" applyAlignment="1">
      <alignment horizontal="center" vertical="center" wrapText="1"/>
    </xf>
    <xf numFmtId="10" fontId="53" fillId="0" borderId="0" xfId="0" applyNumberFormat="1" applyFont="1" applyAlignment="1">
      <alignment vertical="center"/>
    </xf>
    <xf numFmtId="0" fontId="35" fillId="0" borderId="17" xfId="0" applyFont="1" applyBorder="1" applyAlignment="1">
      <alignment horizontal="center" vertical="top" wrapText="1"/>
    </xf>
    <xf numFmtId="0" fontId="35" fillId="0" borderId="17" xfId="35" applyFont="1" applyBorder="1" applyAlignment="1">
      <alignment horizontal="center" vertical="top" wrapText="1"/>
    </xf>
    <xf numFmtId="0" fontId="44" fillId="31" borderId="0" xfId="35" applyFont="1" applyFill="1" applyAlignment="1">
      <alignment horizontal="center" vertical="center"/>
    </xf>
    <xf numFmtId="0" fontId="11" fillId="0" borderId="0" xfId="35" applyFill="1"/>
    <xf numFmtId="2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0" fontId="4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9" fillId="0" borderId="0" xfId="35" applyFont="1" applyFill="1"/>
    <xf numFmtId="0" fontId="61" fillId="0" borderId="0" xfId="0" applyFont="1" applyFill="1" applyBorder="1" applyAlignment="1">
      <alignment horizontal="center" vertical="center"/>
    </xf>
    <xf numFmtId="2" fontId="61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1" fillId="0" borderId="0" xfId="36" applyNumberFormat="1" applyFont="1" applyFill="1" applyBorder="1" applyAlignment="1">
      <alignment horizontal="center" vertical="center" wrapText="1"/>
    </xf>
    <xf numFmtId="2" fontId="57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4" fontId="41" fillId="0" borderId="0" xfId="0" applyNumberFormat="1" applyFont="1" applyAlignment="1">
      <alignment horizontal="left" vertical="center"/>
    </xf>
    <xf numFmtId="4" fontId="43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vertical="center"/>
    </xf>
    <xf numFmtId="2" fontId="9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6" fontId="53" fillId="0" borderId="0" xfId="0" applyNumberFormat="1" applyFont="1" applyAlignment="1">
      <alignment vertical="center"/>
    </xf>
    <xf numFmtId="0" fontId="41" fillId="0" borderId="0" xfId="0" applyFont="1" applyAlignment="1">
      <alignment horizontal="right" vertical="center"/>
    </xf>
    <xf numFmtId="0" fontId="0" fillId="0" borderId="0" xfId="0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102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42" fillId="0" borderId="0" xfId="39" applyFont="1"/>
    <xf numFmtId="0" fontId="34" fillId="0" borderId="0" xfId="39" applyFont="1"/>
    <xf numFmtId="0" fontId="52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3" fillId="0" borderId="0" xfId="35" applyFont="1" applyAlignment="1">
      <alignment horizontal="center" vertical="center"/>
    </xf>
    <xf numFmtId="0" fontId="63" fillId="0" borderId="0" xfId="35" applyFont="1" applyFill="1" applyAlignment="1">
      <alignment horizontal="center" vertical="center"/>
    </xf>
    <xf numFmtId="0" fontId="15" fillId="0" borderId="0" xfId="39" applyFont="1" applyFill="1"/>
    <xf numFmtId="0" fontId="35" fillId="33" borderId="0" xfId="39" applyFont="1" applyFill="1" applyAlignment="1">
      <alignment wrapText="1"/>
    </xf>
    <xf numFmtId="2" fontId="15" fillId="0" borderId="17" xfId="36" applyNumberFormat="1" applyFont="1" applyFill="1" applyBorder="1" applyAlignment="1">
      <alignment horizontal="center" vertical="center" wrapText="1"/>
    </xf>
    <xf numFmtId="4" fontId="106" fillId="32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9" fillId="0" borderId="0" xfId="35" applyFont="1"/>
    <xf numFmtId="0" fontId="6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7" fillId="0" borderId="0" xfId="36">
      <alignment vertical="top"/>
    </xf>
    <xf numFmtId="0" fontId="41" fillId="0" borderId="0" xfId="0" applyFont="1" applyAlignment="1">
      <alignment horizontal="center" vertical="center"/>
    </xf>
    <xf numFmtId="4" fontId="107" fillId="0" borderId="17" xfId="0" applyNumberFormat="1" applyFont="1" applyBorder="1" applyAlignment="1">
      <alignment horizontal="center" vertical="center" wrapText="1"/>
    </xf>
    <xf numFmtId="0" fontId="0" fillId="0" borderId="0" xfId="0"/>
    <xf numFmtId="4" fontId="44" fillId="0" borderId="17" xfId="38" applyNumberFormat="1" applyFont="1" applyFill="1" applyBorder="1" applyAlignment="1" applyProtection="1">
      <alignment horizontal="center" vertical="center" wrapText="1"/>
      <protection locked="0"/>
    </xf>
    <xf numFmtId="164" fontId="42" fillId="0" borderId="17" xfId="30" applyNumberFormat="1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top" wrapText="1"/>
    </xf>
    <xf numFmtId="49" fontId="41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16" fillId="0" borderId="17" xfId="35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/>
    </xf>
    <xf numFmtId="2" fontId="61" fillId="0" borderId="17" xfId="36" applyNumberFormat="1" applyFont="1" applyBorder="1" applyAlignment="1">
      <alignment horizontal="center" vertical="center" wrapText="1"/>
    </xf>
    <xf numFmtId="0" fontId="114" fillId="0" borderId="17" xfId="35" applyFont="1" applyBorder="1" applyAlignment="1">
      <alignment horizontal="center" vertical="top" wrapText="1"/>
    </xf>
    <xf numFmtId="0" fontId="19" fillId="0" borderId="17" xfId="35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29" borderId="17" xfId="0" applyFont="1" applyFill="1" applyBorder="1" applyAlignment="1">
      <alignment horizontal="center" vertical="center"/>
    </xf>
    <xf numFmtId="2" fontId="16" fillId="29" borderId="17" xfId="36" applyNumberFormat="1" applyFont="1" applyFill="1" applyBorder="1" applyAlignment="1">
      <alignment horizontal="left" vertical="center" wrapText="1"/>
    </xf>
    <xf numFmtId="4" fontId="16" fillId="29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107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9" fontId="107" fillId="0" borderId="0" xfId="0" applyNumberFormat="1" applyFont="1" applyAlignment="1">
      <alignment horizontal="center" vertical="center" wrapText="1"/>
    </xf>
    <xf numFmtId="0" fontId="107" fillId="0" borderId="0" xfId="38" applyFont="1" applyFill="1" applyBorder="1" applyAlignment="1" applyProtection="1">
      <alignment horizontal="center" vertical="center" wrapText="1"/>
      <protection locked="0"/>
    </xf>
    <xf numFmtId="0" fontId="105" fillId="0" borderId="0" xfId="0" applyFont="1"/>
    <xf numFmtId="4" fontId="103" fillId="0" borderId="0" xfId="0" applyNumberFormat="1" applyFont="1" applyAlignment="1">
      <alignment horizontal="left" vertical="center"/>
    </xf>
    <xf numFmtId="0" fontId="115" fillId="0" borderId="0" xfId="0" applyFont="1"/>
    <xf numFmtId="4" fontId="116" fillId="0" borderId="0" xfId="0" applyNumberFormat="1" applyFont="1" applyAlignment="1">
      <alignment horizontal="center" vertical="center"/>
    </xf>
    <xf numFmtId="0" fontId="117" fillId="0" borderId="0" xfId="0" applyFont="1"/>
    <xf numFmtId="4" fontId="118" fillId="0" borderId="0" xfId="0" applyNumberFormat="1" applyFont="1"/>
    <xf numFmtId="4" fontId="119" fillId="0" borderId="0" xfId="0" applyNumberFormat="1" applyFont="1" applyAlignment="1">
      <alignment horizontal="left" vertical="center"/>
    </xf>
    <xf numFmtId="4" fontId="112" fillId="0" borderId="0" xfId="0" applyNumberFormat="1" applyFont="1" applyAlignment="1">
      <alignment horizontal="center" vertical="center" wrapText="1"/>
    </xf>
    <xf numFmtId="4" fontId="112" fillId="0" borderId="0" xfId="0" applyNumberFormat="1" applyFont="1" applyAlignment="1">
      <alignment horizontal="left" vertical="center" wrapText="1"/>
    </xf>
    <xf numFmtId="4" fontId="120" fillId="0" borderId="0" xfId="0" applyNumberFormat="1" applyFont="1" applyAlignment="1">
      <alignment vertical="center"/>
    </xf>
    <xf numFmtId="0" fontId="109" fillId="0" borderId="0" xfId="0" applyFont="1"/>
    <xf numFmtId="0" fontId="104" fillId="31" borderId="0" xfId="0" applyFont="1" applyFill="1"/>
    <xf numFmtId="4" fontId="121" fillId="0" borderId="0" xfId="0" applyNumberFormat="1" applyFont="1" applyAlignment="1">
      <alignment vertical="center"/>
    </xf>
    <xf numFmtId="4" fontId="107" fillId="0" borderId="0" xfId="0" applyNumberFormat="1" applyFont="1" applyAlignment="1">
      <alignment horizontal="center" vertical="center"/>
    </xf>
    <xf numFmtId="0" fontId="118" fillId="0" borderId="0" xfId="0" applyFont="1"/>
    <xf numFmtId="4" fontId="122" fillId="0" borderId="0" xfId="0" applyNumberFormat="1" applyFont="1" applyAlignment="1">
      <alignment horizontal="left" vertical="center"/>
    </xf>
    <xf numFmtId="0" fontId="125" fillId="0" borderId="0" xfId="35" applyFont="1"/>
    <xf numFmtId="0" fontId="126" fillId="0" borderId="0" xfId="35" applyFont="1" applyAlignment="1">
      <alignment horizontal="center" vertical="center"/>
    </xf>
    <xf numFmtId="0" fontId="125" fillId="0" borderId="0" xfId="35" applyFont="1" applyFill="1"/>
    <xf numFmtId="0" fontId="104" fillId="0" borderId="0" xfId="0" applyFont="1"/>
    <xf numFmtId="0" fontId="108" fillId="0" borderId="0" xfId="0" applyFont="1"/>
    <xf numFmtId="0" fontId="127" fillId="0" borderId="0" xfId="36" applyFont="1">
      <alignment vertical="top"/>
    </xf>
    <xf numFmtId="0" fontId="128" fillId="0" borderId="0" xfId="36" applyFont="1">
      <alignment vertical="top"/>
    </xf>
    <xf numFmtId="0" fontId="110" fillId="0" borderId="0" xfId="36" applyFont="1" applyAlignment="1">
      <alignment horizontal="center"/>
    </xf>
    <xf numFmtId="0" fontId="110" fillId="0" borderId="0" xfId="0" applyFont="1" applyAlignment="1">
      <alignment horizontal="center"/>
    </xf>
    <xf numFmtId="0" fontId="110" fillId="0" borderId="0" xfId="36" applyFont="1" applyAlignment="1">
      <alignment horizontal="center" vertical="top"/>
    </xf>
    <xf numFmtId="2" fontId="128" fillId="0" borderId="0" xfId="36" applyNumberFormat="1" applyFont="1" applyAlignment="1">
      <alignment horizontal="center" vertical="top"/>
    </xf>
    <xf numFmtId="2" fontId="129" fillId="0" borderId="0" xfId="36" applyNumberFormat="1" applyFont="1" applyFill="1" applyAlignment="1">
      <alignment horizontal="center" vertical="top"/>
    </xf>
    <xf numFmtId="0" fontId="123" fillId="0" borderId="0" xfId="35" applyFont="1" applyFill="1" applyAlignment="1">
      <alignment horizontal="center" vertical="center"/>
    </xf>
    <xf numFmtId="0" fontId="108" fillId="0" borderId="0" xfId="36" applyFont="1">
      <alignment vertical="top"/>
    </xf>
    <xf numFmtId="4" fontId="130" fillId="27" borderId="16" xfId="0" applyNumberFormat="1" applyFont="1" applyFill="1" applyBorder="1" applyAlignment="1">
      <alignment horizontal="center" vertical="center" wrapText="1"/>
    </xf>
    <xf numFmtId="4" fontId="131" fillId="0" borderId="0" xfId="0" applyNumberFormat="1" applyFont="1" applyAlignment="1">
      <alignment horizontal="center" vertical="center" wrapText="1"/>
    </xf>
    <xf numFmtId="4" fontId="108" fillId="0" borderId="0" xfId="0" applyNumberFormat="1" applyFont="1" applyAlignment="1">
      <alignment horizontal="center" vertical="center" wrapText="1"/>
    </xf>
    <xf numFmtId="4" fontId="130" fillId="27" borderId="8" xfId="0" applyNumberFormat="1" applyFont="1" applyFill="1" applyBorder="1" applyAlignment="1">
      <alignment horizontal="center" vertical="center" wrapText="1"/>
    </xf>
    <xf numFmtId="0" fontId="132" fillId="0" borderId="0" xfId="0" applyFont="1" applyAlignment="1">
      <alignment horizontal="center" vertical="center"/>
    </xf>
    <xf numFmtId="4" fontId="112" fillId="26" borderId="0" xfId="0" applyNumberFormat="1" applyFont="1" applyFill="1" applyAlignment="1">
      <alignment horizontal="center" vertical="center" wrapText="1"/>
    </xf>
    <xf numFmtId="0" fontId="133" fillId="0" borderId="0" xfId="0" applyFont="1" applyAlignment="1">
      <alignment horizontal="center" vertical="center"/>
    </xf>
    <xf numFmtId="49" fontId="134" fillId="0" borderId="17" xfId="0" applyNumberFormat="1" applyFont="1" applyBorder="1" applyAlignment="1">
      <alignment horizontal="center" vertical="center" wrapText="1"/>
    </xf>
    <xf numFmtId="4" fontId="134" fillId="0" borderId="17" xfId="0" applyNumberFormat="1" applyFont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4" fontId="135" fillId="27" borderId="16" xfId="0" applyNumberFormat="1" applyFont="1" applyFill="1" applyBorder="1" applyAlignment="1">
      <alignment horizontal="center" vertical="center" wrapText="1"/>
    </xf>
    <xf numFmtId="4" fontId="135" fillId="27" borderId="8" xfId="0" applyNumberFormat="1" applyFont="1" applyFill="1" applyBorder="1" applyAlignment="1">
      <alignment horizontal="center" vertical="center" wrapText="1"/>
    </xf>
    <xf numFmtId="0" fontId="136" fillId="0" borderId="0" xfId="0" applyFont="1" applyAlignment="1">
      <alignment horizontal="center" vertical="center"/>
    </xf>
    <xf numFmtId="0" fontId="11" fillId="0" borderId="0" xfId="35" applyFont="1"/>
    <xf numFmtId="4" fontId="66" fillId="0" borderId="0" xfId="0" applyNumberFormat="1" applyFont="1"/>
    <xf numFmtId="0" fontId="0" fillId="0" borderId="0" xfId="0"/>
    <xf numFmtId="4" fontId="43" fillId="0" borderId="0" xfId="0" applyNumberFormat="1" applyFont="1" applyAlignment="1">
      <alignment horizontal="left" vertical="center" wrapText="1"/>
    </xf>
    <xf numFmtId="0" fontId="0" fillId="0" borderId="0" xfId="0"/>
    <xf numFmtId="0" fontId="104" fillId="0" borderId="0" xfId="0" applyFont="1"/>
    <xf numFmtId="0" fontId="0" fillId="0" borderId="0" xfId="0"/>
    <xf numFmtId="0" fontId="104" fillId="0" borderId="0" xfId="0" applyFont="1"/>
    <xf numFmtId="0" fontId="11" fillId="28" borderId="0" xfId="35" applyFont="1" applyFill="1"/>
    <xf numFmtId="4" fontId="106" fillId="32" borderId="0" xfId="38" applyNumberFormat="1" applyFont="1" applyFill="1" applyBorder="1" applyAlignment="1" applyProtection="1">
      <alignment horizontal="center" vertical="center" wrapText="1"/>
      <protection locked="0"/>
    </xf>
    <xf numFmtId="0" fontId="42" fillId="0" borderId="17" xfId="0" applyFont="1" applyBorder="1" applyAlignment="1">
      <alignment horizontal="center" vertical="top" wrapText="1"/>
    </xf>
    <xf numFmtId="0" fontId="41" fillId="29" borderId="17" xfId="0" applyFont="1" applyFill="1" applyBorder="1" applyAlignment="1">
      <alignment horizontal="center" vertical="center"/>
    </xf>
    <xf numFmtId="0" fontId="41" fillId="29" borderId="17" xfId="0" applyFont="1" applyFill="1" applyBorder="1" applyAlignment="1">
      <alignment horizontal="left" vertical="center"/>
    </xf>
    <xf numFmtId="4" fontId="41" fillId="29" borderId="17" xfId="0" applyNumberFormat="1" applyFont="1" applyFill="1" applyBorder="1" applyAlignment="1">
      <alignment horizontal="center" vertical="center"/>
    </xf>
    <xf numFmtId="4" fontId="35" fillId="29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0" fontId="34" fillId="0" borderId="17" xfId="35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0" fontId="35" fillId="29" borderId="17" xfId="0" applyFont="1" applyFill="1" applyBorder="1" applyAlignment="1">
      <alignment horizontal="center" vertical="center"/>
    </xf>
    <xf numFmtId="0" fontId="35" fillId="29" borderId="17" xfId="0" applyFont="1" applyFill="1" applyBorder="1" applyAlignment="1">
      <alignment horizontal="left" vertical="center"/>
    </xf>
    <xf numFmtId="0" fontId="0" fillId="0" borderId="0" xfId="0"/>
    <xf numFmtId="0" fontId="104" fillId="0" borderId="0" xfId="0" applyFont="1"/>
    <xf numFmtId="4" fontId="138" fillId="0" borderId="0" xfId="0" applyNumberFormat="1" applyFont="1" applyAlignment="1">
      <alignment horizontal="center" vertical="center" wrapText="1"/>
    </xf>
    <xf numFmtId="4" fontId="43" fillId="31" borderId="0" xfId="0" applyNumberFormat="1" applyFont="1" applyFill="1" applyAlignment="1">
      <alignment horizontal="center" vertical="center" wrapText="1"/>
    </xf>
    <xf numFmtId="4" fontId="35" fillId="29" borderId="17" xfId="0" applyNumberFormat="1" applyFont="1" applyFill="1" applyBorder="1" applyAlignment="1">
      <alignment horizontal="left" vertical="center"/>
    </xf>
    <xf numFmtId="0" fontId="54" fillId="0" borderId="0" xfId="35" applyFont="1" applyAlignment="1">
      <alignment horizontal="left" vertical="center"/>
    </xf>
    <xf numFmtId="0" fontId="137" fillId="0" borderId="0" xfId="0" applyFont="1"/>
    <xf numFmtId="4" fontId="16" fillId="25" borderId="10" xfId="0" applyNumberFormat="1" applyFont="1" applyFill="1" applyBorder="1" applyAlignment="1">
      <alignment horizontal="center" vertical="center"/>
    </xf>
    <xf numFmtId="2" fontId="17" fillId="0" borderId="0" xfId="36" applyNumberFormat="1" applyFont="1" applyAlignment="1">
      <alignment horizontal="center" vertical="top"/>
    </xf>
    <xf numFmtId="4" fontId="139" fillId="0" borderId="0" xfId="0" applyNumberFormat="1" applyFont="1" applyAlignment="1">
      <alignment vertical="center"/>
    </xf>
    <xf numFmtId="0" fontId="0" fillId="0" borderId="0" xfId="0"/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top"/>
    </xf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91" fillId="0" borderId="0" xfId="0" applyFont="1" applyAlignment="1">
      <alignment vertical="center"/>
    </xf>
    <xf numFmtId="0" fontId="140" fillId="0" borderId="0" xfId="0" applyFont="1"/>
    <xf numFmtId="49" fontId="134" fillId="0" borderId="17" xfId="0" applyNumberFormat="1" applyFont="1" applyBorder="1" applyAlignment="1">
      <alignment horizontal="left" vertical="center" wrapText="1"/>
    </xf>
    <xf numFmtId="49" fontId="42" fillId="0" borderId="17" xfId="0" applyNumberFormat="1" applyFont="1" applyBorder="1" applyAlignment="1">
      <alignment horizontal="left" vertical="center" wrapText="1"/>
    </xf>
    <xf numFmtId="49" fontId="141" fillId="0" borderId="17" xfId="0" applyNumberFormat="1" applyFont="1" applyBorder="1" applyAlignment="1">
      <alignment horizontal="center" vertical="center" wrapText="1"/>
    </xf>
    <xf numFmtId="49" fontId="141" fillId="0" borderId="17" xfId="0" applyNumberFormat="1" applyFont="1" applyBorder="1" applyAlignment="1">
      <alignment horizontal="left" vertical="center" wrapText="1"/>
    </xf>
    <xf numFmtId="4" fontId="141" fillId="0" borderId="17" xfId="0" applyNumberFormat="1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0" fontId="142" fillId="0" borderId="0" xfId="0" applyFont="1" applyAlignment="1">
      <alignment vertical="center"/>
    </xf>
    <xf numFmtId="4" fontId="141" fillId="0" borderId="25" xfId="0" applyNumberFormat="1" applyFont="1" applyBorder="1" applyAlignment="1">
      <alignment horizontal="center" vertical="center" wrapText="1"/>
    </xf>
    <xf numFmtId="0" fontId="42" fillId="0" borderId="0" xfId="0" applyFont="1"/>
    <xf numFmtId="0" fontId="58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164" fontId="77" fillId="0" borderId="0" xfId="0" applyNumberFormat="1" applyFont="1" applyAlignment="1">
      <alignment horizontal="right" vertical="center" wrapText="1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164" fontId="134" fillId="0" borderId="17" xfId="30" applyNumberFormat="1" applyFont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" fontId="145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45" fillId="0" borderId="17" xfId="0" applyNumberFormat="1" applyFont="1" applyFill="1" applyBorder="1" applyAlignment="1">
      <alignment horizontal="center" vertical="center" wrapText="1"/>
    </xf>
    <xf numFmtId="4" fontId="134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34" fillId="0" borderId="18" xfId="38" applyFont="1" applyFill="1" applyBorder="1" applyAlignment="1" applyProtection="1">
      <alignment horizontal="center" wrapText="1"/>
      <protection locked="0"/>
    </xf>
    <xf numFmtId="0" fontId="134" fillId="0" borderId="0" xfId="38" applyFont="1" applyFill="1" applyBorder="1" applyAlignment="1" applyProtection="1">
      <alignment horizontal="center" vertical="top" wrapText="1"/>
      <protection locked="0"/>
    </xf>
    <xf numFmtId="4" fontId="44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2" fillId="0" borderId="17" xfId="0" applyNumberFormat="1" applyFont="1" applyFill="1" applyBorder="1" applyAlignment="1">
      <alignment horizontal="center" vertical="center" wrapText="1"/>
    </xf>
    <xf numFmtId="0" fontId="42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0" fontId="42" fillId="0" borderId="19" xfId="38" applyFont="1" applyFill="1" applyBorder="1" applyAlignment="1" applyProtection="1">
      <alignment horizontal="center" vertical="top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164" fontId="42" fillId="0" borderId="17" xfId="30" applyNumberFormat="1" applyFont="1" applyFill="1" applyBorder="1" applyAlignment="1">
      <alignment horizontal="center" vertical="center" wrapText="1"/>
    </xf>
    <xf numFmtId="4" fontId="135" fillId="27" borderId="0" xfId="0" applyNumberFormat="1" applyFont="1" applyFill="1" applyBorder="1" applyAlignment="1">
      <alignment horizontal="center" vertical="center" wrapText="1"/>
    </xf>
    <xf numFmtId="0" fontId="42" fillId="0" borderId="17" xfId="38" applyFont="1" applyFill="1" applyBorder="1" applyAlignment="1" applyProtection="1">
      <alignment horizontal="center" vertical="center" wrapText="1"/>
      <protection locked="0"/>
    </xf>
    <xf numFmtId="0" fontId="42" fillId="0" borderId="17" xfId="0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164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0" fontId="34" fillId="0" borderId="17" xfId="18" applyFont="1" applyFill="1" applyBorder="1" applyAlignment="1">
      <alignment horizontal="center" vertical="center" wrapText="1"/>
    </xf>
    <xf numFmtId="164" fontId="34" fillId="0" borderId="17" xfId="30" applyNumberFormat="1" applyFont="1" applyFill="1" applyBorder="1" applyAlignment="1">
      <alignment horizontal="center" vertical="center"/>
    </xf>
    <xf numFmtId="4" fontId="34" fillId="0" borderId="17" xfId="30" applyNumberFormat="1" applyFont="1" applyFill="1" applyBorder="1" applyAlignment="1">
      <alignment horizontal="center" vertical="center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0" applyNumberFormat="1" applyFont="1" applyFill="1" applyBorder="1" applyAlignment="1">
      <alignment horizontal="center" vertical="center" wrapText="1"/>
    </xf>
    <xf numFmtId="164" fontId="34" fillId="0" borderId="17" xfId="30" applyNumberFormat="1" applyFont="1" applyFill="1" applyBorder="1" applyAlignment="1">
      <alignment horizontal="center" vertical="center" wrapText="1"/>
    </xf>
    <xf numFmtId="9" fontId="34" fillId="0" borderId="17" xfId="0" applyNumberFormat="1" applyFont="1" applyBorder="1" applyAlignment="1">
      <alignment horizontal="center" vertical="center" wrapText="1"/>
    </xf>
    <xf numFmtId="49" fontId="150" fillId="0" borderId="17" xfId="0" applyNumberFormat="1" applyFont="1" applyFill="1" applyBorder="1" applyAlignment="1">
      <alignment horizontal="center" vertical="center" wrapText="1"/>
    </xf>
    <xf numFmtId="4" fontId="135" fillId="0" borderId="17" xfId="0" applyNumberFormat="1" applyFont="1" applyFill="1" applyBorder="1" applyAlignment="1">
      <alignment horizontal="center" vertical="center" wrapText="1"/>
    </xf>
    <xf numFmtId="4" fontId="151" fillId="0" borderId="17" xfId="0" applyNumberFormat="1" applyFont="1" applyFill="1" applyBorder="1" applyAlignment="1">
      <alignment horizontal="center" vertical="center" wrapText="1"/>
    </xf>
    <xf numFmtId="4" fontId="113" fillId="0" borderId="0" xfId="0" applyNumberFormat="1" applyFont="1" applyAlignment="1">
      <alignment horizontal="left" vertical="center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164" fontId="34" fillId="0" borderId="17" xfId="30" applyNumberFormat="1" applyFont="1" applyBorder="1" applyAlignment="1">
      <alignment horizontal="center" vertical="center" wrapText="1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164" fontId="42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0" fontId="104" fillId="0" borderId="0" xfId="0" applyFont="1"/>
    <xf numFmtId="4" fontId="43" fillId="27" borderId="16" xfId="0" applyNumberFormat="1" applyFont="1" applyFill="1" applyBorder="1" applyAlignment="1">
      <alignment horizontal="center" vertical="center" wrapText="1"/>
    </xf>
    <xf numFmtId="4" fontId="43" fillId="27" borderId="8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25" xfId="38" applyNumberFormat="1" applyFont="1" applyFill="1" applyBorder="1" applyAlignment="1" applyProtection="1">
      <alignment horizontal="center" vertical="center" wrapText="1"/>
      <protection locked="0"/>
    </xf>
    <xf numFmtId="0" fontId="42" fillId="0" borderId="22" xfId="0" applyFont="1" applyFill="1" applyBorder="1" applyAlignment="1">
      <alignment horizontal="center" vertical="center" wrapText="1"/>
    </xf>
    <xf numFmtId="0" fontId="42" fillId="0" borderId="18" xfId="38" applyFont="1" applyFill="1" applyBorder="1" applyAlignment="1" applyProtection="1">
      <alignment horizontal="center" wrapText="1"/>
      <protection locked="0"/>
    </xf>
    <xf numFmtId="0" fontId="42" fillId="0" borderId="0" xfId="38" applyFont="1" applyFill="1" applyBorder="1" applyAlignment="1" applyProtection="1">
      <alignment horizontal="center" vertical="top" wrapText="1"/>
      <protection locked="0"/>
    </xf>
    <xf numFmtId="0" fontId="153" fillId="0" borderId="0" xfId="0" applyFont="1"/>
    <xf numFmtId="49" fontId="154" fillId="0" borderId="17" xfId="0" applyNumberFormat="1" applyFont="1" applyFill="1" applyBorder="1" applyAlignment="1">
      <alignment horizontal="center" vertical="center" wrapText="1"/>
    </xf>
    <xf numFmtId="49" fontId="113" fillId="0" borderId="17" xfId="0" applyNumberFormat="1" applyFont="1" applyFill="1" applyBorder="1" applyAlignment="1">
      <alignment horizontal="center" vertical="center" wrapText="1"/>
    </xf>
    <xf numFmtId="49" fontId="146" fillId="0" borderId="17" xfId="0" applyNumberFormat="1" applyFont="1" applyFill="1" applyBorder="1" applyAlignment="1">
      <alignment horizontal="center" vertical="center" wrapText="1"/>
    </xf>
    <xf numFmtId="49" fontId="154" fillId="0" borderId="18" xfId="0" applyNumberFormat="1" applyFont="1" applyFill="1" applyBorder="1" applyAlignment="1">
      <alignment horizontal="center" vertical="center" wrapText="1"/>
    </xf>
    <xf numFmtId="0" fontId="155" fillId="0" borderId="0" xfId="0" applyFont="1"/>
    <xf numFmtId="0" fontId="123" fillId="0" borderId="0" xfId="0" applyFont="1"/>
    <xf numFmtId="4" fontId="107" fillId="0" borderId="0" xfId="0" applyNumberFormat="1" applyFont="1" applyAlignment="1">
      <alignment horizontal="left" vertical="center"/>
    </xf>
    <xf numFmtId="4" fontId="156" fillId="0" borderId="0" xfId="0" applyNumberFormat="1" applyFont="1" applyAlignment="1">
      <alignment horizontal="left" vertical="center"/>
    </xf>
    <xf numFmtId="0" fontId="34" fillId="0" borderId="17" xfId="100" applyFont="1" applyBorder="1" applyAlignment="1">
      <alignment horizontal="center" vertical="center" wrapText="1"/>
    </xf>
    <xf numFmtId="0" fontId="34" fillId="0" borderId="17" xfId="10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4" fontId="52" fillId="0" borderId="17" xfId="0" applyNumberFormat="1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34" fillId="0" borderId="17" xfId="38" applyFont="1" applyFill="1" applyBorder="1" applyAlignment="1" applyProtection="1">
      <alignment horizontal="center" vertical="center" wrapText="1"/>
      <protection locked="0"/>
    </xf>
    <xf numFmtId="164" fontId="34" fillId="0" borderId="17" xfId="0" applyNumberFormat="1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49" fontId="34" fillId="0" borderId="17" xfId="0" applyNumberFormat="1" applyFont="1" applyFill="1" applyBorder="1" applyAlignment="1">
      <alignment horizontal="center" vertical="center"/>
    </xf>
    <xf numFmtId="49" fontId="152" fillId="0" borderId="17" xfId="0" applyNumberFormat="1" applyFont="1" applyBorder="1" applyAlignment="1">
      <alignment horizontal="center" vertical="center" wrapText="1"/>
    </xf>
    <xf numFmtId="0" fontId="152" fillId="0" borderId="17" xfId="0" applyFont="1" applyBorder="1" applyAlignment="1">
      <alignment horizontal="center" vertical="center" wrapText="1"/>
    </xf>
    <xf numFmtId="0" fontId="152" fillId="0" borderId="17" xfId="45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4" fontId="152" fillId="0" borderId="17" xfId="30" applyNumberFormat="1" applyFont="1" applyBorder="1" applyAlignment="1">
      <alignment horizontal="center" vertical="center"/>
    </xf>
    <xf numFmtId="4" fontId="34" fillId="0" borderId="23" xfId="30" applyNumberFormat="1" applyFont="1" applyBorder="1" applyAlignment="1">
      <alignment horizontal="center" vertical="center"/>
    </xf>
    <xf numFmtId="4" fontId="34" fillId="0" borderId="19" xfId="30" applyNumberFormat="1" applyFont="1" applyBorder="1" applyAlignment="1">
      <alignment horizontal="center" vertical="center"/>
    </xf>
    <xf numFmtId="164" fontId="152" fillId="0" borderId="17" xfId="30" applyNumberFormat="1" applyFont="1" applyBorder="1" applyAlignment="1">
      <alignment horizontal="center" vertical="center"/>
    </xf>
    <xf numFmtId="0" fontId="152" fillId="0" borderId="17" xfId="100" applyFont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Fill="1" applyBorder="1" applyAlignment="1">
      <alignment horizontal="center" vertical="center" wrapText="1"/>
    </xf>
    <xf numFmtId="49" fontId="34" fillId="0" borderId="17" xfId="18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0" fontId="35" fillId="0" borderId="17" xfId="35" applyFont="1" applyBorder="1" applyAlignment="1">
      <alignment horizontal="center" vertical="center" wrapText="1"/>
    </xf>
    <xf numFmtId="4" fontId="35" fillId="0" borderId="17" xfId="35" applyNumberFormat="1" applyFont="1" applyBorder="1" applyAlignment="1">
      <alignment horizontal="center" vertical="center" wrapText="1"/>
    </xf>
    <xf numFmtId="0" fontId="0" fillId="0" borderId="0" xfId="0"/>
    <xf numFmtId="0" fontId="59" fillId="0" borderId="0" xfId="35" applyFont="1"/>
    <xf numFmtId="0" fontId="104" fillId="0" borderId="0" xfId="0" applyFont="1"/>
    <xf numFmtId="4" fontId="44" fillId="0" borderId="0" xfId="0" applyNumberFormat="1" applyFont="1" applyAlignment="1">
      <alignment horizontal="left" vertical="center" wrapText="1"/>
    </xf>
    <xf numFmtId="4" fontId="44" fillId="0" borderId="0" xfId="0" applyNumberFormat="1" applyFont="1" applyAlignment="1">
      <alignment horizontal="center" vertical="center" wrapText="1"/>
    </xf>
    <xf numFmtId="4" fontId="130" fillId="0" borderId="0" xfId="0" applyNumberFormat="1" applyFont="1" applyAlignment="1">
      <alignment horizontal="left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0" fontId="150" fillId="0" borderId="17" xfId="38" applyFont="1" applyFill="1" applyBorder="1" applyAlignment="1" applyProtection="1">
      <alignment horizontal="center" vertical="center" wrapText="1"/>
      <protection locked="0"/>
    </xf>
    <xf numFmtId="4" fontId="135" fillId="0" borderId="0" xfId="0" applyNumberFormat="1" applyFont="1" applyAlignment="1">
      <alignment horizontal="left" vertical="center" wrapText="1"/>
    </xf>
    <xf numFmtId="4" fontId="151" fillId="0" borderId="0" xfId="0" applyNumberFormat="1" applyFont="1" applyAlignment="1">
      <alignment horizontal="left" vertical="center" wrapText="1"/>
    </xf>
    <xf numFmtId="49" fontId="122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159" fillId="0" borderId="0" xfId="0" applyFont="1"/>
    <xf numFmtId="4" fontId="106" fillId="0" borderId="0" xfId="0" applyNumberFormat="1" applyFont="1" applyAlignment="1">
      <alignment horizontal="left" vertical="center"/>
    </xf>
    <xf numFmtId="0" fontId="124" fillId="0" borderId="0" xfId="0" applyFont="1"/>
    <xf numFmtId="4" fontId="158" fillId="0" borderId="0" xfId="0" applyNumberFormat="1" applyFont="1" applyAlignment="1">
      <alignment horizontal="left" vertical="center"/>
    </xf>
    <xf numFmtId="4" fontId="134" fillId="0" borderId="0" xfId="0" applyNumberFormat="1" applyFont="1" applyAlignment="1">
      <alignment horizontal="left" vertical="center"/>
    </xf>
    <xf numFmtId="4" fontId="151" fillId="0" borderId="0" xfId="0" applyNumberFormat="1" applyFont="1" applyAlignment="1">
      <alignment horizontal="center" vertical="center" wrapText="1"/>
    </xf>
    <xf numFmtId="4" fontId="135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51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50" fillId="0" borderId="17" xfId="0" applyNumberFormat="1" applyFont="1" applyFill="1" applyBorder="1" applyAlignment="1">
      <alignment horizontal="center" vertical="center"/>
    </xf>
    <xf numFmtId="4" fontId="160" fillId="0" borderId="17" xfId="0" applyNumberFormat="1" applyFont="1" applyFill="1" applyBorder="1" applyAlignment="1">
      <alignment horizontal="center" vertical="center" wrapText="1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0" fontId="113" fillId="0" borderId="19" xfId="38" applyFont="1" applyFill="1" applyBorder="1" applyAlignment="1" applyProtection="1">
      <alignment horizontal="center" vertical="top" wrapText="1"/>
      <protection locked="0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13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13" fillId="0" borderId="17" xfId="0" applyFont="1" applyFill="1" applyBorder="1" applyAlignment="1">
      <alignment horizontal="center" vertical="center" wrapText="1"/>
    </xf>
    <xf numFmtId="0" fontId="48" fillId="0" borderId="17" xfId="38" applyFont="1" applyFill="1" applyBorder="1" applyAlignment="1" applyProtection="1">
      <alignment horizontal="center" vertical="center" wrapText="1"/>
      <protection locked="0"/>
    </xf>
    <xf numFmtId="0" fontId="152" fillId="0" borderId="17" xfId="38" applyFont="1" applyFill="1" applyBorder="1" applyAlignment="1" applyProtection="1">
      <alignment horizontal="center" vertical="center" wrapText="1"/>
      <protection locked="0"/>
    </xf>
    <xf numFmtId="49" fontId="152" fillId="0" borderId="17" xfId="0" applyNumberFormat="1" applyFont="1" applyFill="1" applyBorder="1" applyAlignment="1">
      <alignment horizontal="center" vertical="center" wrapText="1"/>
    </xf>
    <xf numFmtId="4" fontId="35" fillId="0" borderId="17" xfId="0" applyNumberFormat="1" applyFont="1" applyFill="1" applyBorder="1" applyAlignment="1">
      <alignment horizontal="center" vertical="center" wrapText="1"/>
    </xf>
    <xf numFmtId="4" fontId="152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9" fontId="48" fillId="0" borderId="17" xfId="0" applyNumberFormat="1" applyFont="1" applyFill="1" applyBorder="1" applyAlignment="1">
      <alignment horizontal="center" vertical="center" wrapText="1"/>
    </xf>
    <xf numFmtId="4" fontId="48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" fontId="15" fillId="0" borderId="17" xfId="94" applyNumberFormat="1" applyFont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164" fontId="134" fillId="0" borderId="17" xfId="3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4" fillId="25" borderId="0" xfId="0" applyFont="1" applyFill="1"/>
    <xf numFmtId="4" fontId="112" fillId="25" borderId="0" xfId="0" applyNumberFormat="1" applyFont="1" applyFill="1" applyAlignment="1">
      <alignment horizontal="left" vertical="center" wrapText="1"/>
    </xf>
    <xf numFmtId="0" fontId="0" fillId="25" borderId="0" xfId="0" applyFill="1"/>
    <xf numFmtId="4" fontId="43" fillId="25" borderId="0" xfId="0" applyNumberFormat="1" applyFont="1" applyFill="1" applyAlignment="1">
      <alignment horizontal="left" vertical="center" wrapText="1"/>
    </xf>
    <xf numFmtId="0" fontId="104" fillId="0" borderId="0" xfId="0" applyFont="1" applyFill="1"/>
    <xf numFmtId="4" fontId="43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0" fontId="16" fillId="0" borderId="0" xfId="0" applyFont="1" applyAlignment="1"/>
    <xf numFmtId="49" fontId="42" fillId="0" borderId="17" xfId="0" applyNumberFormat="1" applyFont="1" applyFill="1" applyBorder="1" applyAlignment="1">
      <alignment horizontal="center" vertical="center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4" fillId="0" borderId="0" xfId="0" applyFont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38" fillId="0" borderId="0" xfId="35" applyFont="1" applyAlignment="1">
      <alignment vertical="center"/>
    </xf>
    <xf numFmtId="49" fontId="141" fillId="0" borderId="17" xfId="0" applyNumberFormat="1" applyFont="1" applyFill="1" applyBorder="1" applyAlignment="1">
      <alignment horizontal="center" vertical="center" wrapText="1"/>
    </xf>
    <xf numFmtId="49" fontId="141" fillId="0" borderId="17" xfId="0" applyNumberFormat="1" applyFont="1" applyFill="1" applyBorder="1" applyAlignment="1">
      <alignment horizontal="left" vertical="center" wrapText="1"/>
    </xf>
    <xf numFmtId="4" fontId="141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left" vertical="center" wrapText="1"/>
    </xf>
    <xf numFmtId="4" fontId="134" fillId="0" borderId="17" xfId="0" applyNumberFormat="1" applyFont="1" applyFill="1" applyBorder="1" applyAlignment="1">
      <alignment horizontal="center" vertical="center" wrapText="1"/>
    </xf>
    <xf numFmtId="0" fontId="34" fillId="0" borderId="17" xfId="92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2" fillId="0" borderId="17" xfId="38" applyNumberFormat="1" applyFont="1" applyFill="1" applyBorder="1" applyAlignment="1">
      <alignment horizontal="center" vertical="center" wrapText="1"/>
    </xf>
    <xf numFmtId="0" fontId="34" fillId="0" borderId="7" xfId="40" applyFont="1" applyBorder="1" applyAlignment="1">
      <alignment horizontal="center" vertical="center" wrapText="1"/>
    </xf>
    <xf numFmtId="4" fontId="34" fillId="0" borderId="7" xfId="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2" fillId="0" borderId="17" xfId="0" applyNumberFormat="1" applyFont="1" applyBorder="1" applyAlignment="1">
      <alignment horizontal="center" vertical="center" wrapText="1"/>
    </xf>
    <xf numFmtId="4" fontId="16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52" fillId="0" borderId="17" xfId="45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163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49" fontId="152" fillId="33" borderId="17" xfId="0" applyNumberFormat="1" applyFont="1" applyFill="1" applyBorder="1" applyAlignment="1">
      <alignment horizontal="center" vertical="center" wrapText="1"/>
    </xf>
    <xf numFmtId="0" fontId="152" fillId="33" borderId="17" xfId="45" applyFont="1" applyFill="1" applyBorder="1" applyAlignment="1">
      <alignment horizontal="center" vertical="center" wrapText="1"/>
    </xf>
    <xf numFmtId="164" fontId="34" fillId="33" borderId="17" xfId="30" applyNumberFormat="1" applyFont="1" applyFill="1" applyBorder="1" applyAlignment="1">
      <alignment horizontal="center" vertical="center"/>
    </xf>
    <xf numFmtId="4" fontId="34" fillId="33" borderId="17" xfId="30" applyNumberFormat="1" applyFont="1" applyFill="1" applyBorder="1" applyAlignment="1">
      <alignment horizontal="center" vertical="center"/>
    </xf>
    <xf numFmtId="9" fontId="34" fillId="33" borderId="17" xfId="30" applyNumberFormat="1" applyFont="1" applyFill="1" applyBorder="1" applyAlignment="1">
      <alignment horizontal="center" vertical="center"/>
    </xf>
    <xf numFmtId="4" fontId="152" fillId="33" borderId="17" xfId="30" applyNumberFormat="1" applyFont="1" applyFill="1" applyBorder="1" applyAlignment="1">
      <alignment horizontal="center" vertical="center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104" fillId="0" borderId="0" xfId="0" applyFont="1"/>
    <xf numFmtId="49" fontId="150" fillId="0" borderId="0" xfId="0" applyNumberFormat="1" applyFont="1" applyFill="1" applyBorder="1" applyAlignment="1">
      <alignment horizontal="center" wrapText="1"/>
    </xf>
    <xf numFmtId="49" fontId="150" fillId="0" borderId="19" xfId="0" applyNumberFormat="1" applyFont="1" applyFill="1" applyBorder="1" applyAlignment="1">
      <alignment horizontal="center" vertical="top" wrapText="1"/>
    </xf>
    <xf numFmtId="4" fontId="42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4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" fontId="34" fillId="0" borderId="0" xfId="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4" fillId="0" borderId="0" xfId="0" applyFont="1"/>
    <xf numFmtId="0" fontId="11" fillId="0" borderId="0" xfId="35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6" borderId="0" xfId="35" applyFont="1" applyFill="1"/>
    <xf numFmtId="4" fontId="11" fillId="0" borderId="0" xfId="35" applyNumberFormat="1" applyFont="1"/>
    <xf numFmtId="0" fontId="11" fillId="0" borderId="0" xfId="35" applyFont="1" applyAlignment="1">
      <alignment horizontal="left" vertical="center"/>
    </xf>
    <xf numFmtId="4" fontId="11" fillId="0" borderId="0" xfId="35" applyNumberFormat="1" applyFont="1" applyAlignment="1">
      <alignment horizontal="left" vertical="center"/>
    </xf>
    <xf numFmtId="164" fontId="34" fillId="0" borderId="0" xfId="30" applyNumberFormat="1" applyFont="1" applyAlignment="1">
      <alignment horizontal="center" vertical="center" wrapText="1"/>
    </xf>
    <xf numFmtId="4" fontId="86" fillId="0" borderId="0" xfId="35" applyNumberFormat="1" applyFont="1"/>
    <xf numFmtId="0" fontId="165" fillId="0" borderId="0" xfId="35" applyFont="1" applyAlignment="1">
      <alignment vertical="center"/>
    </xf>
    <xf numFmtId="4" fontId="15" fillId="0" borderId="0" xfId="35" applyNumberFormat="1" applyFont="1" applyAlignment="1">
      <alignment horizontal="center" vertical="center"/>
    </xf>
    <xf numFmtId="0" fontId="11" fillId="27" borderId="0" xfId="35" applyFont="1" applyFill="1"/>
    <xf numFmtId="0" fontId="11" fillId="0" borderId="0" xfId="35" applyFont="1" applyFill="1" applyAlignment="1">
      <alignment horizontal="center" vertical="center"/>
    </xf>
    <xf numFmtId="0" fontId="11" fillId="31" borderId="0" xfId="35" applyFont="1" applyFill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152" fillId="0" borderId="17" xfId="100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9" fillId="0" borderId="27" xfId="39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top" wrapText="1"/>
    </xf>
    <xf numFmtId="4" fontId="19" fillId="0" borderId="27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0" fontId="34" fillId="31" borderId="17" xfId="92" applyFont="1" applyFill="1" applyBorder="1" applyAlignment="1">
      <alignment horizontal="center" vertical="center" wrapText="1"/>
    </xf>
    <xf numFmtId="0" fontId="34" fillId="0" borderId="17" xfId="40" applyFont="1" applyFill="1" applyBorder="1" applyAlignment="1">
      <alignment horizontal="center" vertical="center" wrapText="1"/>
    </xf>
    <xf numFmtId="0" fontId="166" fillId="0" borderId="0" xfId="0" applyFont="1" applyAlignment="1">
      <alignment horizontal="left" vertical="center"/>
    </xf>
    <xf numFmtId="0" fontId="167" fillId="0" borderId="0" xfId="0" applyFont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0" fontId="80" fillId="0" borderId="0" xfId="0" applyFont="1" applyFill="1" applyAlignment="1">
      <alignment horizontal="left" vertical="center"/>
    </xf>
    <xf numFmtId="4" fontId="41" fillId="0" borderId="0" xfId="36" applyNumberFormat="1" applyFont="1" applyFill="1" applyBorder="1" applyAlignment="1">
      <alignment horizontal="center" vertical="center" wrapText="1"/>
    </xf>
    <xf numFmtId="4" fontId="77" fillId="0" borderId="0" xfId="0" applyNumberFormat="1" applyFont="1" applyFill="1" applyAlignment="1">
      <alignment vertical="center"/>
    </xf>
    <xf numFmtId="4" fontId="107" fillId="0" borderId="0" xfId="0" applyNumberFormat="1" applyFont="1" applyFill="1" applyAlignment="1">
      <alignment horizontal="center" vertical="center"/>
    </xf>
    <xf numFmtId="0" fontId="34" fillId="0" borderId="0" xfId="0" applyFont="1" applyFill="1"/>
    <xf numFmtId="4" fontId="41" fillId="0" borderId="0" xfId="0" applyNumberFormat="1" applyFont="1" applyAlignment="1">
      <alignment vertical="center"/>
    </xf>
    <xf numFmtId="4" fontId="42" fillId="0" borderId="0" xfId="0" applyNumberFormat="1" applyFont="1" applyAlignment="1">
      <alignment vertical="center"/>
    </xf>
    <xf numFmtId="0" fontId="41" fillId="0" borderId="0" xfId="35" applyFont="1" applyAlignment="1">
      <alignment vertical="center"/>
    </xf>
    <xf numFmtId="0" fontId="168" fillId="0" borderId="0" xfId="35" applyFont="1" applyAlignment="1">
      <alignment horizontal="left" vertical="center"/>
    </xf>
    <xf numFmtId="0" fontId="41" fillId="0" borderId="0" xfId="35" applyFont="1" applyAlignment="1">
      <alignment horizontal="left" vertical="center"/>
    </xf>
    <xf numFmtId="0" fontId="169" fillId="0" borderId="0" xfId="35" applyFont="1" applyAlignment="1">
      <alignment vertical="center"/>
    </xf>
    <xf numFmtId="0" fontId="169" fillId="0" borderId="0" xfId="35" applyFont="1" applyAlignment="1">
      <alignment horizontal="left" vertical="center"/>
    </xf>
    <xf numFmtId="4" fontId="169" fillId="0" borderId="0" xfId="35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6" fillId="0" borderId="0" xfId="35" applyFont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4" fontId="11" fillId="0" borderId="27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" fontId="38" fillId="0" borderId="27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38" fillId="0" borderId="27" xfId="0" applyFont="1" applyBorder="1" applyAlignment="1">
      <alignment horizontal="left" vertical="center" wrapText="1"/>
    </xf>
    <xf numFmtId="0" fontId="19" fillId="35" borderId="27" xfId="0" applyFont="1" applyFill="1" applyBorder="1" applyAlignment="1">
      <alignment horizontal="center" vertical="center" wrapText="1"/>
    </xf>
    <xf numFmtId="4" fontId="19" fillId="35" borderId="27" xfId="0" applyNumberFormat="1" applyFont="1" applyFill="1" applyBorder="1" applyAlignment="1">
      <alignment horizontal="center" vertical="center" wrapText="1"/>
    </xf>
    <xf numFmtId="4" fontId="86" fillId="0" borderId="27" xfId="0" applyNumberFormat="1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86" fillId="0" borderId="2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left" vertical="center" wrapText="1"/>
    </xf>
    <xf numFmtId="4" fontId="38" fillId="0" borderId="27" xfId="0" applyNumberFormat="1" applyFont="1" applyBorder="1" applyAlignment="1">
      <alignment horizontal="left" vertical="center" wrapText="1"/>
    </xf>
    <xf numFmtId="0" fontId="38" fillId="0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9" fillId="35" borderId="27" xfId="0" applyFont="1" applyFill="1" applyBorder="1" applyAlignment="1">
      <alignment horizontal="left" vertical="center" wrapText="1"/>
    </xf>
    <xf numFmtId="0" fontId="86" fillId="0" borderId="27" xfId="0" applyFont="1" applyBorder="1" applyAlignment="1">
      <alignment horizontal="left" vertical="center" wrapText="1"/>
    </xf>
    <xf numFmtId="0" fontId="86" fillId="0" borderId="27" xfId="0" applyFont="1" applyFill="1" applyBorder="1" applyAlignment="1">
      <alignment horizontal="left" vertical="center" wrapText="1"/>
    </xf>
    <xf numFmtId="0" fontId="170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37" fillId="0" borderId="0" xfId="35" applyFont="1" applyAlignment="1">
      <alignment horizontal="left" vertical="center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34" fillId="0" borderId="29" xfId="40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2" fontId="63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0" fontId="104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0" fontId="54" fillId="0" borderId="0" xfId="39" applyFont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66" fillId="0" borderId="0" xfId="0" applyFont="1" applyAlignment="1">
      <alignment horizontal="justify" vertical="center"/>
    </xf>
    <xf numFmtId="4" fontId="34" fillId="36" borderId="17" xfId="0" applyNumberFormat="1" applyFont="1" applyFill="1" applyBorder="1" applyAlignment="1">
      <alignment horizontal="center" vertical="center" wrapText="1"/>
    </xf>
    <xf numFmtId="164" fontId="34" fillId="36" borderId="17" xfId="30" applyNumberFormat="1" applyFont="1" applyFill="1" applyBorder="1" applyAlignment="1">
      <alignment horizontal="center" vertical="center"/>
    </xf>
    <xf numFmtId="9" fontId="34" fillId="36" borderId="17" xfId="0" applyNumberFormat="1" applyFont="1" applyFill="1" applyBorder="1" applyAlignment="1">
      <alignment horizontal="center" vertical="center" wrapText="1"/>
    </xf>
    <xf numFmtId="4" fontId="152" fillId="36" borderId="17" xfId="30" applyNumberFormat="1" applyFont="1" applyFill="1" applyBorder="1" applyAlignment="1">
      <alignment horizontal="center" vertical="center"/>
    </xf>
    <xf numFmtId="4" fontId="152" fillId="0" borderId="17" xfId="30" applyNumberFormat="1" applyFont="1" applyFill="1" applyBorder="1" applyAlignment="1">
      <alignment horizontal="center" vertical="center"/>
    </xf>
    <xf numFmtId="164" fontId="152" fillId="0" borderId="17" xfId="30" applyNumberFormat="1" applyFont="1" applyFill="1" applyBorder="1" applyAlignment="1">
      <alignment horizontal="center" vertical="center"/>
    </xf>
    <xf numFmtId="0" fontId="152" fillId="0" borderId="17" xfId="0" applyFont="1" applyFill="1" applyBorder="1" applyAlignment="1">
      <alignment horizontal="center" vertical="center" wrapText="1"/>
    </xf>
    <xf numFmtId="9" fontId="152" fillId="0" borderId="17" xfId="0" applyNumberFormat="1" applyFont="1" applyFill="1" applyBorder="1" applyAlignment="1">
      <alignment horizontal="center" vertical="center" wrapText="1"/>
    </xf>
    <xf numFmtId="9" fontId="152" fillId="0" borderId="17" xfId="0" applyNumberFormat="1" applyFont="1" applyBorder="1" applyAlignment="1">
      <alignment horizontal="center" vertical="center" wrapText="1"/>
    </xf>
    <xf numFmtId="4" fontId="152" fillId="0" borderId="23" xfId="30" applyNumberFormat="1" applyFont="1" applyBorder="1" applyAlignment="1">
      <alignment horizontal="center" vertical="center"/>
    </xf>
    <xf numFmtId="9" fontId="152" fillId="0" borderId="17" xfId="30" applyNumberFormat="1" applyFont="1" applyFill="1" applyBorder="1" applyAlignment="1">
      <alignment horizontal="center" vertical="center"/>
    </xf>
    <xf numFmtId="9" fontId="152" fillId="0" borderId="17" xfId="30" applyNumberFormat="1" applyFont="1" applyBorder="1" applyAlignment="1">
      <alignment horizontal="center" vertical="center"/>
    </xf>
    <xf numFmtId="164" fontId="152" fillId="33" borderId="17" xfId="30" applyNumberFormat="1" applyFont="1" applyFill="1" applyBorder="1" applyAlignment="1">
      <alignment horizontal="center" vertical="center"/>
    </xf>
    <xf numFmtId="9" fontId="152" fillId="33" borderId="17" xfId="30" applyNumberFormat="1" applyFont="1" applyFill="1" applyBorder="1" applyAlignment="1">
      <alignment horizontal="center" vertical="center"/>
    </xf>
    <xf numFmtId="164" fontId="36" fillId="0" borderId="17" xfId="30" applyNumberFormat="1" applyFont="1" applyBorder="1" applyAlignment="1">
      <alignment horizontal="center" vertical="center"/>
    </xf>
    <xf numFmtId="4" fontId="36" fillId="0" borderId="17" xfId="30" applyNumberFormat="1" applyFont="1" applyBorder="1" applyAlignment="1">
      <alignment horizontal="center" vertical="center"/>
    </xf>
    <xf numFmtId="0" fontId="20" fillId="0" borderId="0" xfId="39" applyFont="1" applyAlignment="1">
      <alignment vertical="center"/>
    </xf>
    <xf numFmtId="0" fontId="15" fillId="0" borderId="0" xfId="0" applyFont="1" applyAlignment="1">
      <alignment horizontal="justify" vertical="center"/>
    </xf>
    <xf numFmtId="164" fontId="163" fillId="0" borderId="17" xfId="30" applyNumberFormat="1" applyFont="1" applyBorder="1" applyAlignment="1">
      <alignment horizontal="center" vertical="center" wrapText="1"/>
    </xf>
    <xf numFmtId="49" fontId="175" fillId="0" borderId="17" xfId="0" applyNumberFormat="1" applyFont="1" applyBorder="1" applyAlignment="1">
      <alignment horizontal="center" vertical="center" wrapText="1"/>
    </xf>
    <xf numFmtId="4" fontId="175" fillId="0" borderId="25" xfId="0" applyNumberFormat="1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0" fillId="0" borderId="0" xfId="0"/>
    <xf numFmtId="0" fontId="42" fillId="0" borderId="0" xfId="0" applyFont="1"/>
    <xf numFmtId="0" fontId="34" fillId="0" borderId="0" xfId="0" applyFont="1"/>
    <xf numFmtId="0" fontId="167" fillId="0" borderId="0" xfId="0" applyFont="1" applyAlignment="1">
      <alignment horizontal="justify" vertical="center"/>
    </xf>
    <xf numFmtId="0" fontId="82" fillId="0" borderId="0" xfId="0" applyFont="1" applyAlignment="1">
      <alignment horizontal="right" vertical="center"/>
    </xf>
    <xf numFmtId="0" fontId="166" fillId="0" borderId="0" xfId="0" applyFont="1" applyAlignment="1">
      <alignment horizontal="justify" vertical="center"/>
    </xf>
    <xf numFmtId="0" fontId="63" fillId="0" borderId="0" xfId="0" applyFont="1"/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11" fillId="0" borderId="0" xfId="39" applyNumberFormat="1"/>
    <xf numFmtId="4" fontId="16" fillId="0" borderId="0" xfId="39" applyNumberFormat="1" applyFont="1"/>
    <xf numFmtId="0" fontId="19" fillId="37" borderId="27" xfId="39" applyFont="1" applyFill="1" applyBorder="1" applyAlignment="1">
      <alignment horizontal="center" vertical="center" wrapText="1"/>
    </xf>
    <xf numFmtId="4" fontId="21" fillId="37" borderId="27" xfId="39" applyNumberFormat="1" applyFont="1" applyFill="1" applyBorder="1" applyAlignment="1">
      <alignment horizontal="center" vertical="center" wrapText="1"/>
    </xf>
    <xf numFmtId="0" fontId="19" fillId="0" borderId="27" xfId="39" applyFont="1" applyFill="1" applyBorder="1" applyAlignment="1">
      <alignment horizontal="center" vertical="center" wrapText="1"/>
    </xf>
    <xf numFmtId="0" fontId="19" fillId="0" borderId="27" xfId="39" applyFont="1" applyFill="1" applyBorder="1" applyAlignment="1">
      <alignment vertical="center" wrapText="1"/>
    </xf>
    <xf numFmtId="4" fontId="21" fillId="0" borderId="27" xfId="39" applyNumberFormat="1" applyFont="1" applyFill="1" applyBorder="1" applyAlignment="1">
      <alignment horizontal="center" vertical="center" wrapText="1"/>
    </xf>
    <xf numFmtId="0" fontId="38" fillId="0" borderId="27" xfId="39" applyFont="1" applyFill="1" applyBorder="1" applyAlignment="1">
      <alignment horizontal="center" vertical="center" wrapText="1"/>
    </xf>
    <xf numFmtId="0" fontId="38" fillId="0" borderId="27" xfId="39" applyFont="1" applyFill="1" applyBorder="1" applyAlignment="1">
      <alignment vertical="center" wrapText="1"/>
    </xf>
    <xf numFmtId="0" fontId="11" fillId="0" borderId="27" xfId="39" applyFont="1" applyFill="1" applyBorder="1" applyAlignment="1">
      <alignment horizontal="center" vertical="center" wrapText="1"/>
    </xf>
    <xf numFmtId="0" fontId="11" fillId="0" borderId="27" xfId="39" applyFont="1" applyFill="1" applyBorder="1" applyAlignment="1">
      <alignment vertical="center" wrapText="1"/>
    </xf>
    <xf numFmtId="4" fontId="39" fillId="0" borderId="27" xfId="39" applyNumberFormat="1" applyFont="1" applyFill="1" applyBorder="1" applyAlignment="1">
      <alignment horizontal="center" vertical="center" wrapText="1"/>
    </xf>
    <xf numFmtId="4" fontId="40" fillId="0" borderId="27" xfId="39" applyNumberFormat="1" applyFont="1" applyFill="1" applyBorder="1" applyAlignment="1">
      <alignment horizontal="center" vertical="center" wrapText="1"/>
    </xf>
    <xf numFmtId="4" fontId="38" fillId="0" borderId="27" xfId="39" applyNumberFormat="1" applyFont="1" applyFill="1" applyBorder="1" applyAlignment="1">
      <alignment horizontal="center" vertical="center" wrapText="1"/>
    </xf>
    <xf numFmtId="4" fontId="11" fillId="0" borderId="27" xfId="39" applyNumberFormat="1" applyFont="1" applyFill="1" applyBorder="1" applyAlignment="1">
      <alignment horizontal="center" vertical="center" wrapText="1"/>
    </xf>
    <xf numFmtId="0" fontId="11" fillId="0" borderId="27" xfId="37" applyFont="1" applyFill="1" applyBorder="1" applyAlignment="1">
      <alignment horizontal="left" vertical="center" wrapText="1"/>
    </xf>
    <xf numFmtId="0" fontId="38" fillId="0" borderId="27" xfId="37" applyFont="1" applyFill="1" applyBorder="1" applyAlignment="1">
      <alignment horizontal="left" vertical="center" wrapText="1"/>
    </xf>
    <xf numFmtId="0" fontId="11" fillId="0" borderId="27" xfId="37" applyFont="1" applyFill="1" applyBorder="1" applyAlignment="1">
      <alignment horizontal="justify" vertical="center" wrapText="1"/>
    </xf>
    <xf numFmtId="0" fontId="19" fillId="0" borderId="27" xfId="37" applyFont="1" applyFill="1" applyBorder="1" applyAlignment="1">
      <alignment horizontal="justify" vertical="center" wrapText="1"/>
    </xf>
    <xf numFmtId="0" fontId="38" fillId="0" borderId="27" xfId="37" applyFont="1" applyFill="1" applyBorder="1" applyAlignment="1">
      <alignment horizontal="justify" vertical="center" wrapText="1"/>
    </xf>
    <xf numFmtId="0" fontId="11" fillId="0" borderId="0" xfId="39" applyAlignment="1">
      <alignment vertical="center"/>
    </xf>
    <xf numFmtId="4" fontId="19" fillId="0" borderId="27" xfId="39" applyNumberFormat="1" applyFont="1" applyFill="1" applyBorder="1" applyAlignment="1">
      <alignment horizontal="center" vertical="center" wrapText="1"/>
    </xf>
    <xf numFmtId="4" fontId="177" fillId="0" borderId="27" xfId="39" applyNumberFormat="1" applyFont="1" applyFill="1" applyBorder="1" applyAlignment="1">
      <alignment horizontal="center" vertical="center" wrapText="1"/>
    </xf>
    <xf numFmtId="0" fontId="19" fillId="0" borderId="27" xfId="37" applyFont="1" applyFill="1" applyBorder="1" applyAlignment="1">
      <alignment horizontal="center" vertical="center" wrapText="1"/>
    </xf>
    <xf numFmtId="0" fontId="39" fillId="0" borderId="27" xfId="37" applyFont="1" applyFill="1" applyBorder="1" applyAlignment="1">
      <alignment horizontal="justify" vertical="center" wrapText="1"/>
    </xf>
    <xf numFmtId="0" fontId="40" fillId="0" borderId="27" xfId="37" applyFont="1" applyFill="1" applyBorder="1" applyAlignment="1">
      <alignment horizontal="justify" vertical="center" wrapText="1"/>
    </xf>
    <xf numFmtId="0" fontId="21" fillId="0" borderId="27" xfId="37" applyFont="1" applyFill="1" applyBorder="1" applyAlignment="1">
      <alignment horizontal="justify" vertical="center" wrapText="1"/>
    </xf>
    <xf numFmtId="0" fontId="40" fillId="0" borderId="27" xfId="37" applyFont="1" applyFill="1" applyBorder="1" applyAlignment="1">
      <alignment vertical="center" wrapText="1"/>
    </xf>
    <xf numFmtId="4" fontId="86" fillId="0" borderId="27" xfId="39" applyNumberFormat="1" applyFont="1" applyFill="1" applyBorder="1" applyAlignment="1">
      <alignment horizontal="center" vertical="center" wrapText="1"/>
    </xf>
    <xf numFmtId="0" fontId="86" fillId="0" borderId="27" xfId="39" applyFont="1" applyFill="1" applyBorder="1" applyAlignment="1">
      <alignment vertical="center" wrapText="1"/>
    </xf>
    <xf numFmtId="0" fontId="39" fillId="0" borderId="27" xfId="37" applyFont="1" applyFill="1" applyBorder="1" applyAlignment="1">
      <alignment vertical="center" wrapText="1"/>
    </xf>
    <xf numFmtId="0" fontId="21" fillId="0" borderId="27" xfId="37" applyFont="1" applyFill="1" applyBorder="1" applyAlignment="1">
      <alignment vertical="center" wrapText="1"/>
    </xf>
    <xf numFmtId="0" fontId="11" fillId="0" borderId="27" xfId="0" applyFont="1" applyFill="1" applyBorder="1" applyAlignment="1">
      <alignment horizontal="justify" vertical="center"/>
    </xf>
    <xf numFmtId="0" fontId="19" fillId="35" borderId="27" xfId="39" applyFont="1" applyFill="1" applyBorder="1" applyAlignment="1">
      <alignment horizontal="center" vertical="center" wrapText="1"/>
    </xf>
    <xf numFmtId="4" fontId="21" fillId="35" borderId="27" xfId="39" applyNumberFormat="1" applyFont="1" applyFill="1" applyBorder="1" applyAlignment="1">
      <alignment horizontal="center" vertical="center" wrapText="1"/>
    </xf>
    <xf numFmtId="4" fontId="19" fillId="35" borderId="27" xfId="39" applyNumberFormat="1" applyFont="1" applyFill="1" applyBorder="1" applyAlignment="1">
      <alignment horizontal="center" vertical="center" wrapText="1"/>
    </xf>
    <xf numFmtId="0" fontId="19" fillId="35" borderId="27" xfId="37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9" fontId="134" fillId="0" borderId="17" xfId="0" applyNumberFormat="1" applyFont="1" applyBorder="1" applyAlignment="1">
      <alignment horizontal="center" vertical="center" wrapText="1"/>
    </xf>
    <xf numFmtId="4" fontId="44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45" fillId="0" borderId="17" xfId="38" applyNumberFormat="1" applyFont="1" applyFill="1" applyBorder="1" applyAlignment="1">
      <alignment horizontal="center" vertical="center" wrapText="1"/>
    </xf>
    <xf numFmtId="4" fontId="138" fillId="0" borderId="17" xfId="38" applyNumberFormat="1" applyFont="1" applyFill="1" applyBorder="1" applyAlignment="1">
      <alignment horizontal="center" vertical="center" wrapText="1"/>
    </xf>
    <xf numFmtId="4" fontId="145" fillId="0" borderId="17" xfId="0" applyNumberFormat="1" applyFont="1" applyFill="1" applyBorder="1" applyAlignment="1">
      <alignment horizontal="center" vertical="center"/>
    </xf>
    <xf numFmtId="49" fontId="113" fillId="38" borderId="17" xfId="0" applyNumberFormat="1" applyFont="1" applyFill="1" applyBorder="1" applyAlignment="1">
      <alignment horizontal="center" vertical="center" wrapText="1"/>
    </xf>
    <xf numFmtId="0" fontId="113" fillId="38" borderId="17" xfId="38" applyFont="1" applyFill="1" applyBorder="1" applyAlignment="1" applyProtection="1">
      <alignment horizontal="center" vertical="center" wrapText="1"/>
      <protection locked="0"/>
    </xf>
    <xf numFmtId="4" fontId="113" fillId="38" borderId="17" xfId="38" applyNumberFormat="1" applyFont="1" applyFill="1" applyBorder="1" applyAlignment="1" applyProtection="1">
      <alignment horizontal="center" vertical="center" wrapText="1"/>
      <protection locked="0"/>
    </xf>
    <xf numFmtId="4" fontId="113" fillId="38" borderId="17" xfId="0" applyNumberFormat="1" applyFont="1" applyFill="1" applyBorder="1" applyAlignment="1">
      <alignment horizontal="center" vertical="center" wrapText="1"/>
    </xf>
    <xf numFmtId="4" fontId="42" fillId="0" borderId="20" xfId="0" applyNumberFormat="1" applyFont="1" applyBorder="1" applyAlignment="1">
      <alignment horizontal="center" vertical="center" wrapText="1"/>
    </xf>
    <xf numFmtId="49" fontId="34" fillId="0" borderId="18" xfId="0" applyNumberFormat="1" applyFont="1" applyBorder="1" applyAlignment="1">
      <alignment horizontal="center" wrapText="1"/>
    </xf>
    <xf numFmtId="49" fontId="34" fillId="0" borderId="0" xfId="0" applyNumberFormat="1" applyFont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top" wrapText="1"/>
    </xf>
    <xf numFmtId="4" fontId="15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12" fillId="0" borderId="17" xfId="0" applyNumberFormat="1" applyFont="1" applyFill="1" applyBorder="1" applyAlignment="1">
      <alignment horizontal="center" vertical="center" wrapText="1"/>
    </xf>
    <xf numFmtId="4" fontId="108" fillId="0" borderId="17" xfId="0" applyNumberFormat="1" applyFont="1" applyFill="1" applyBorder="1" applyAlignment="1">
      <alignment horizontal="center" vertical="center" wrapText="1"/>
    </xf>
    <xf numFmtId="4" fontId="108" fillId="0" borderId="17" xfId="0" applyNumberFormat="1" applyFont="1" applyFill="1" applyBorder="1" applyAlignment="1">
      <alignment horizontal="center" vertical="center"/>
    </xf>
    <xf numFmtId="4" fontId="135" fillId="0" borderId="17" xfId="0" applyNumberFormat="1" applyFont="1" applyFill="1" applyBorder="1" applyAlignment="1">
      <alignment horizontal="center" vertical="center"/>
    </xf>
    <xf numFmtId="167" fontId="178" fillId="0" borderId="0" xfId="0" applyNumberFormat="1" applyFont="1" applyAlignment="1">
      <alignment vertical="center"/>
    </xf>
    <xf numFmtId="4" fontId="178" fillId="0" borderId="0" xfId="0" applyNumberFormat="1" applyFont="1" applyAlignment="1">
      <alignment vertical="center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164" fontId="36" fillId="0" borderId="17" xfId="30" applyNumberFormat="1" applyFont="1" applyBorder="1" applyAlignment="1">
      <alignment horizontal="center" vertical="center" wrapText="1"/>
    </xf>
    <xf numFmtId="0" fontId="11" fillId="0" borderId="0" xfId="35" applyAlignment="1">
      <alignment horizontal="left" vertical="center"/>
    </xf>
    <xf numFmtId="4" fontId="130" fillId="27" borderId="0" xfId="0" applyNumberFormat="1" applyFont="1" applyFill="1" applyBorder="1" applyAlignment="1">
      <alignment horizontal="center" vertical="center" wrapText="1"/>
    </xf>
    <xf numFmtId="0" fontId="179" fillId="0" borderId="0" xfId="0" applyFont="1"/>
    <xf numFmtId="4" fontId="141" fillId="0" borderId="25" xfId="0" applyNumberFormat="1" applyFont="1" applyFill="1" applyBorder="1" applyAlignment="1">
      <alignment horizontal="center" vertical="center" wrapText="1"/>
    </xf>
    <xf numFmtId="4" fontId="36" fillId="0" borderId="17" xfId="30" applyNumberFormat="1" applyFont="1" applyFill="1" applyBorder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 wrapText="1"/>
    </xf>
    <xf numFmtId="0" fontId="34" fillId="25" borderId="17" xfId="18" applyFont="1" applyFill="1" applyBorder="1" applyAlignment="1">
      <alignment horizontal="center" vertical="center" wrapText="1"/>
    </xf>
    <xf numFmtId="164" fontId="34" fillId="25" borderId="17" xfId="3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/>
    </xf>
    <xf numFmtId="0" fontId="19" fillId="0" borderId="0" xfId="35" applyFont="1" applyAlignment="1">
      <alignment horizontal="left" vertical="center"/>
    </xf>
    <xf numFmtId="164" fontId="36" fillId="0" borderId="17" xfId="30" applyNumberFormat="1" applyFont="1" applyFill="1" applyBorder="1" applyAlignment="1">
      <alignment horizontal="center" vertical="center" wrapText="1"/>
    </xf>
    <xf numFmtId="4" fontId="43" fillId="39" borderId="17" xfId="0" applyNumberFormat="1" applyFont="1" applyFill="1" applyBorder="1" applyAlignment="1">
      <alignment horizontal="center" vertical="center" wrapText="1"/>
    </xf>
    <xf numFmtId="49" fontId="42" fillId="39" borderId="17" xfId="0" applyNumberFormat="1" applyFont="1" applyFill="1" applyBorder="1" applyAlignment="1">
      <alignment horizontal="center" vertical="center" wrapText="1"/>
    </xf>
    <xf numFmtId="4" fontId="44" fillId="39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39" borderId="17" xfId="0" applyNumberFormat="1" applyFont="1" applyFill="1" applyBorder="1" applyAlignment="1">
      <alignment horizontal="center" vertical="center"/>
    </xf>
    <xf numFmtId="4" fontId="151" fillId="39" borderId="17" xfId="0" applyNumberFormat="1" applyFont="1" applyFill="1" applyBorder="1" applyAlignment="1">
      <alignment horizontal="center" vertical="center" wrapText="1"/>
    </xf>
    <xf numFmtId="4" fontId="44" fillId="39" borderId="17" xfId="0" applyNumberFormat="1" applyFont="1" applyFill="1" applyBorder="1" applyAlignment="1">
      <alignment horizontal="center" vertical="center" wrapText="1"/>
    </xf>
    <xf numFmtId="49" fontId="150" fillId="39" borderId="17" xfId="0" applyNumberFormat="1" applyFont="1" applyFill="1" applyBorder="1" applyAlignment="1">
      <alignment horizontal="center" vertical="center" wrapText="1"/>
    </xf>
    <xf numFmtId="49" fontId="107" fillId="39" borderId="17" xfId="0" applyNumberFormat="1" applyFont="1" applyFill="1" applyBorder="1" applyAlignment="1">
      <alignment horizontal="center" vertical="center" wrapText="1"/>
    </xf>
    <xf numFmtId="4" fontId="112" fillId="39" borderId="17" xfId="0" applyNumberFormat="1" applyFont="1" applyFill="1" applyBorder="1" applyAlignment="1">
      <alignment horizontal="center" vertical="center" wrapText="1"/>
    </xf>
    <xf numFmtId="4" fontId="108" fillId="39" borderId="17" xfId="0" applyNumberFormat="1" applyFont="1" applyFill="1" applyBorder="1" applyAlignment="1">
      <alignment horizontal="center" vertical="center" wrapText="1"/>
    </xf>
    <xf numFmtId="4" fontId="108" fillId="39" borderId="17" xfId="0" applyNumberFormat="1" applyFont="1" applyFill="1" applyBorder="1" applyAlignment="1">
      <alignment horizontal="center" vertical="center"/>
    </xf>
    <xf numFmtId="4" fontId="43" fillId="39" borderId="17" xfId="38" applyNumberFormat="1" applyFont="1" applyFill="1" applyBorder="1" applyAlignment="1" applyProtection="1">
      <alignment horizontal="center" vertical="center" wrapText="1"/>
      <protection locked="0"/>
    </xf>
    <xf numFmtId="49" fontId="113" fillId="40" borderId="17" xfId="0" applyNumberFormat="1" applyFont="1" applyFill="1" applyBorder="1" applyAlignment="1">
      <alignment horizontal="center" vertical="center" wrapText="1"/>
    </xf>
    <xf numFmtId="0" fontId="113" fillId="40" borderId="17" xfId="38" applyFont="1" applyFill="1" applyBorder="1" applyAlignment="1" applyProtection="1">
      <alignment horizontal="center" vertical="center" wrapText="1"/>
      <protection locked="0"/>
    </xf>
    <xf numFmtId="4" fontId="113" fillId="40" borderId="17" xfId="38" applyNumberFormat="1" applyFont="1" applyFill="1" applyBorder="1" applyAlignment="1" applyProtection="1">
      <alignment horizontal="center" vertical="center" wrapText="1"/>
      <protection locked="0"/>
    </xf>
    <xf numFmtId="4" fontId="113" fillId="40" borderId="17" xfId="0" applyNumberFormat="1" applyFont="1" applyFill="1" applyBorder="1" applyAlignment="1">
      <alignment horizontal="center" vertical="center" wrapText="1"/>
    </xf>
    <xf numFmtId="49" fontId="41" fillId="41" borderId="17" xfId="0" applyNumberFormat="1" applyFont="1" applyFill="1" applyBorder="1" applyAlignment="1">
      <alignment horizontal="center" vertical="center" wrapText="1"/>
    </xf>
    <xf numFmtId="0" fontId="41" fillId="41" borderId="17" xfId="38" applyFont="1" applyFill="1" applyBorder="1" applyAlignment="1" applyProtection="1">
      <alignment horizontal="center" vertical="center" wrapText="1"/>
      <protection locked="0"/>
    </xf>
    <xf numFmtId="4" fontId="41" fillId="41" borderId="17" xfId="38" applyNumberFormat="1" applyFont="1" applyFill="1" applyBorder="1" applyAlignment="1" applyProtection="1">
      <alignment horizontal="center" vertical="center" wrapText="1"/>
      <protection locked="0"/>
    </xf>
    <xf numFmtId="49" fontId="42" fillId="0" borderId="18" xfId="0" applyNumberFormat="1" applyFont="1" applyFill="1" applyBorder="1" applyAlignment="1">
      <alignment horizontal="center" wrapText="1"/>
    </xf>
    <xf numFmtId="49" fontId="42" fillId="0" borderId="0" xfId="0" applyNumberFormat="1" applyFont="1" applyFill="1" applyBorder="1" applyAlignment="1">
      <alignment horizontal="center" vertical="center" wrapText="1"/>
    </xf>
    <xf numFmtId="49" fontId="42" fillId="0" borderId="19" xfId="0" applyNumberFormat="1" applyFont="1" applyFill="1" applyBorder="1" applyAlignment="1">
      <alignment horizontal="center" vertical="top" wrapText="1"/>
    </xf>
    <xf numFmtId="49" fontId="107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42" fillId="0" borderId="0" xfId="0" applyFont="1"/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17" xfId="0" applyFont="1" applyBorder="1" applyAlignment="1">
      <alignment horizontal="center" vertical="top" wrapText="1"/>
    </xf>
    <xf numFmtId="4" fontId="44" fillId="0" borderId="17" xfId="0" applyNumberFormat="1" applyFont="1" applyFill="1" applyBorder="1" applyAlignment="1">
      <alignment horizontal="center" vertical="center"/>
    </xf>
    <xf numFmtId="4" fontId="43" fillId="0" borderId="0" xfId="0" applyNumberFormat="1" applyFont="1" applyAlignment="1">
      <alignment horizontal="left" vertical="center" wrapText="1"/>
    </xf>
    <xf numFmtId="0" fontId="167" fillId="0" borderId="0" xfId="0" applyFont="1" applyAlignment="1">
      <alignment horizontal="justify" vertical="center"/>
    </xf>
    <xf numFmtId="49" fontId="42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19" fillId="0" borderId="27" xfId="39" applyFont="1" applyBorder="1" applyAlignment="1">
      <alignment horizontal="center" vertical="center" wrapText="1"/>
    </xf>
    <xf numFmtId="0" fontId="0" fillId="0" borderId="0" xfId="0"/>
    <xf numFmtId="0" fontId="54" fillId="0" borderId="0" xfId="39" applyFont="1" applyAlignment="1">
      <alignment horizontal="center" vertical="center"/>
    </xf>
    <xf numFmtId="4" fontId="43" fillId="0" borderId="17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horizontal="justify" vertical="center"/>
    </xf>
    <xf numFmtId="4" fontId="111" fillId="0" borderId="17" xfId="0" applyNumberFormat="1" applyFont="1" applyFill="1" applyBorder="1" applyAlignment="1">
      <alignment horizontal="center" vertical="center" wrapText="1"/>
    </xf>
    <xf numFmtId="4" fontId="111" fillId="0" borderId="17" xfId="30" applyNumberFormat="1" applyFont="1" applyBorder="1" applyAlignment="1">
      <alignment horizontal="center" vertical="center"/>
    </xf>
    <xf numFmtId="49" fontId="41" fillId="42" borderId="17" xfId="0" applyNumberFormat="1" applyFont="1" applyFill="1" applyBorder="1" applyAlignment="1">
      <alignment horizontal="center" vertical="center" wrapText="1"/>
    </xf>
    <xf numFmtId="0" fontId="41" fillId="42" borderId="17" xfId="38" applyFont="1" applyFill="1" applyBorder="1" applyAlignment="1" applyProtection="1">
      <alignment horizontal="center" vertical="center" wrapText="1"/>
      <protection locked="0"/>
    </xf>
    <xf numFmtId="4" fontId="41" fillId="42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/>
    </xf>
    <xf numFmtId="4" fontId="138" fillId="0" borderId="17" xfId="0" applyNumberFormat="1" applyFont="1" applyBorder="1" applyAlignment="1">
      <alignment horizontal="center" vertical="center" wrapText="1"/>
    </xf>
    <xf numFmtId="4" fontId="145" fillId="0" borderId="17" xfId="0" applyNumberFormat="1" applyFont="1" applyBorder="1" applyAlignment="1">
      <alignment horizontal="center" vertical="center"/>
    </xf>
    <xf numFmtId="4" fontId="145" fillId="0" borderId="17" xfId="0" applyNumberFormat="1" applyFont="1" applyBorder="1" applyAlignment="1">
      <alignment horizontal="center" vertical="center" wrapText="1"/>
    </xf>
    <xf numFmtId="49" fontId="122" fillId="0" borderId="17" xfId="0" applyNumberFormat="1" applyFont="1" applyBorder="1" applyAlignment="1">
      <alignment horizontal="center" vertical="center" wrapText="1"/>
    </xf>
    <xf numFmtId="49" fontId="113" fillId="0" borderId="17" xfId="0" applyNumberFormat="1" applyFont="1" applyBorder="1" applyAlignment="1">
      <alignment horizontal="center" vertical="center" wrapText="1"/>
    </xf>
    <xf numFmtId="4" fontId="135" fillId="0" borderId="17" xfId="0" applyNumberFormat="1" applyFont="1" applyBorder="1" applyAlignment="1">
      <alignment horizontal="center" vertical="center" wrapText="1"/>
    </xf>
    <xf numFmtId="49" fontId="146" fillId="0" borderId="17" xfId="0" applyNumberFormat="1" applyFont="1" applyBorder="1" applyAlignment="1">
      <alignment horizontal="center" vertical="center" wrapText="1"/>
    </xf>
    <xf numFmtId="49" fontId="154" fillId="0" borderId="17" xfId="0" applyNumberFormat="1" applyFont="1" applyBorder="1" applyAlignment="1">
      <alignment horizontal="center" vertical="center" wrapText="1"/>
    </xf>
    <xf numFmtId="49" fontId="154" fillId="0" borderId="18" xfId="0" applyNumberFormat="1" applyFont="1" applyBorder="1" applyAlignment="1">
      <alignment horizontal="center" vertical="center" wrapText="1"/>
    </xf>
    <xf numFmtId="4" fontId="151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49" fontId="150" fillId="0" borderId="17" xfId="0" applyNumberFormat="1" applyFont="1" applyBorder="1" applyAlignment="1">
      <alignment horizontal="center" vertical="center" wrapText="1"/>
    </xf>
    <xf numFmtId="49" fontId="150" fillId="0" borderId="0" xfId="0" applyNumberFormat="1" applyFont="1" applyAlignment="1">
      <alignment horizontal="center" wrapText="1"/>
    </xf>
    <xf numFmtId="49" fontId="150" fillId="0" borderId="19" xfId="0" applyNumberFormat="1" applyFont="1" applyBorder="1" applyAlignment="1">
      <alignment horizontal="center" vertical="top" wrapText="1"/>
    </xf>
    <xf numFmtId="4" fontId="151" fillId="43" borderId="17" xfId="0" applyNumberFormat="1" applyFont="1" applyFill="1" applyBorder="1" applyAlignment="1">
      <alignment horizontal="center" vertical="center" wrapText="1"/>
    </xf>
    <xf numFmtId="4" fontId="43" fillId="43" borderId="17" xfId="0" applyNumberFormat="1" applyFont="1" applyFill="1" applyBorder="1" applyAlignment="1">
      <alignment horizontal="center" vertical="center" wrapText="1"/>
    </xf>
    <xf numFmtId="4" fontId="44" fillId="43" borderId="17" xfId="0" applyNumberFormat="1" applyFont="1" applyFill="1" applyBorder="1" applyAlignment="1">
      <alignment horizontal="center" vertical="center" wrapText="1"/>
    </xf>
    <xf numFmtId="4" fontId="44" fillId="43" borderId="17" xfId="0" applyNumberFormat="1" applyFont="1" applyFill="1" applyBorder="1" applyAlignment="1">
      <alignment horizontal="center" vertical="center"/>
    </xf>
    <xf numFmtId="49" fontId="107" fillId="25" borderId="17" xfId="0" applyNumberFormat="1" applyFont="1" applyFill="1" applyBorder="1" applyAlignment="1">
      <alignment horizontal="center" vertical="center" wrapText="1"/>
    </xf>
    <xf numFmtId="4" fontId="112" fillId="25" borderId="17" xfId="0" applyNumberFormat="1" applyFont="1" applyFill="1" applyBorder="1" applyAlignment="1">
      <alignment horizontal="center" vertical="center" wrapText="1"/>
    </xf>
    <xf numFmtId="4" fontId="108" fillId="25" borderId="17" xfId="0" applyNumberFormat="1" applyFont="1" applyFill="1" applyBorder="1" applyAlignment="1">
      <alignment horizontal="center" vertical="center" wrapText="1"/>
    </xf>
    <xf numFmtId="4" fontId="112" fillId="43" borderId="17" xfId="0" applyNumberFormat="1" applyFont="1" applyFill="1" applyBorder="1" applyAlignment="1">
      <alignment horizontal="center" vertical="center" wrapText="1"/>
    </xf>
    <xf numFmtId="4" fontId="108" fillId="43" borderId="17" xfId="0" applyNumberFormat="1" applyFont="1" applyFill="1" applyBorder="1" applyAlignment="1">
      <alignment horizontal="center" vertical="center" wrapText="1"/>
    </xf>
    <xf numFmtId="4" fontId="108" fillId="43" borderId="17" xfId="0" applyNumberFormat="1" applyFont="1" applyFill="1" applyBorder="1" applyAlignment="1">
      <alignment horizontal="center" vertical="center"/>
    </xf>
    <xf numFmtId="4" fontId="43" fillId="0" borderId="18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wrapText="1"/>
    </xf>
    <xf numFmtId="49" fontId="42" fillId="0" borderId="0" xfId="0" applyNumberFormat="1" applyFont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top" wrapText="1"/>
    </xf>
    <xf numFmtId="4" fontId="41" fillId="44" borderId="17" xfId="38" applyNumberFormat="1" applyFont="1" applyFill="1" applyBorder="1" applyAlignment="1" applyProtection="1">
      <alignment horizontal="center" vertical="center" wrapText="1"/>
      <protection locked="0"/>
    </xf>
    <xf numFmtId="4" fontId="150" fillId="33" borderId="17" xfId="38" applyNumberFormat="1" applyFont="1" applyFill="1" applyBorder="1" applyAlignment="1" applyProtection="1">
      <alignment horizontal="center" vertical="center" wrapText="1"/>
      <protection locked="0"/>
    </xf>
    <xf numFmtId="49" fontId="150" fillId="0" borderId="17" xfId="0" applyNumberFormat="1" applyFont="1" applyBorder="1" applyAlignment="1">
      <alignment horizontal="center" vertical="center"/>
    </xf>
    <xf numFmtId="4" fontId="160" fillId="0" borderId="17" xfId="0" applyNumberFormat="1" applyFont="1" applyBorder="1" applyAlignment="1">
      <alignment horizontal="center" vertical="center" wrapText="1"/>
    </xf>
    <xf numFmtId="49" fontId="42" fillId="31" borderId="17" xfId="0" applyNumberFormat="1" applyFont="1" applyFill="1" applyBorder="1" applyAlignment="1">
      <alignment horizontal="center" vertical="center" wrapText="1"/>
    </xf>
    <xf numFmtId="4" fontId="43" fillId="31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31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43" borderId="17" xfId="38" applyNumberFormat="1" applyFont="1" applyFill="1" applyBorder="1" applyAlignment="1" applyProtection="1">
      <alignment horizontal="center" vertical="center" wrapText="1"/>
      <protection locked="0"/>
    </xf>
    <xf numFmtId="4" fontId="112" fillId="0" borderId="17" xfId="0" applyNumberFormat="1" applyFont="1" applyBorder="1" applyAlignment="1">
      <alignment horizontal="center" vertical="center" wrapText="1"/>
    </xf>
    <xf numFmtId="4" fontId="108" fillId="0" borderId="17" xfId="0" applyNumberFormat="1" applyFont="1" applyBorder="1" applyAlignment="1">
      <alignment horizontal="center" vertical="center" wrapText="1"/>
    </xf>
    <xf numFmtId="4" fontId="108" fillId="0" borderId="17" xfId="0" applyNumberFormat="1" applyFont="1" applyBorder="1" applyAlignment="1">
      <alignment horizontal="center" vertical="center"/>
    </xf>
    <xf numFmtId="0" fontId="113" fillId="0" borderId="17" xfId="0" applyFont="1" applyBorder="1" applyAlignment="1">
      <alignment horizontal="center" vertical="center" wrapText="1"/>
    </xf>
    <xf numFmtId="4" fontId="135" fillId="0" borderId="17" xfId="0" applyNumberFormat="1" applyFont="1" applyBorder="1" applyAlignment="1">
      <alignment horizontal="center" vertical="center"/>
    </xf>
    <xf numFmtId="4" fontId="21" fillId="0" borderId="27" xfId="39" applyNumberFormat="1" applyFont="1" applyBorder="1" applyAlignment="1">
      <alignment horizontal="center" vertical="center" wrapText="1"/>
    </xf>
    <xf numFmtId="0" fontId="38" fillId="0" borderId="27" xfId="39" applyFont="1" applyBorder="1" applyAlignment="1">
      <alignment horizontal="center" vertical="center" wrapText="1"/>
    </xf>
    <xf numFmtId="0" fontId="38" fillId="0" borderId="27" xfId="39" applyFont="1" applyBorder="1" applyAlignment="1">
      <alignment vertical="center" wrapText="1"/>
    </xf>
    <xf numFmtId="4" fontId="39" fillId="0" borderId="27" xfId="39" applyNumberFormat="1" applyFont="1" applyBorder="1" applyAlignment="1">
      <alignment horizontal="center" vertical="center" wrapText="1"/>
    </xf>
    <xf numFmtId="0" fontId="11" fillId="0" borderId="27" xfId="39" applyBorder="1" applyAlignment="1">
      <alignment horizontal="center" vertical="center" wrapText="1"/>
    </xf>
    <xf numFmtId="0" fontId="11" fillId="0" borderId="27" xfId="39" applyBorder="1" applyAlignment="1">
      <alignment vertical="center" wrapText="1"/>
    </xf>
    <xf numFmtId="4" fontId="40" fillId="0" borderId="27" xfId="39" applyNumberFormat="1" applyFont="1" applyBorder="1" applyAlignment="1">
      <alignment horizontal="center" vertical="center" wrapText="1"/>
    </xf>
    <xf numFmtId="4" fontId="38" fillId="0" borderId="27" xfId="39" applyNumberFormat="1" applyFont="1" applyBorder="1" applyAlignment="1">
      <alignment horizontal="center" vertical="center" wrapText="1"/>
    </xf>
    <xf numFmtId="0" fontId="11" fillId="0" borderId="27" xfId="37" applyFont="1" applyBorder="1" applyAlignment="1">
      <alignment horizontal="justify" vertical="center" wrapText="1"/>
    </xf>
    <xf numFmtId="4" fontId="11" fillId="0" borderId="27" xfId="39" applyNumberFormat="1" applyBorder="1" applyAlignment="1">
      <alignment horizontal="center" vertical="center" wrapText="1"/>
    </xf>
    <xf numFmtId="0" fontId="19" fillId="0" borderId="27" xfId="37" applyFont="1" applyBorder="1" applyAlignment="1">
      <alignment horizontal="center" vertical="center" wrapText="1"/>
    </xf>
    <xf numFmtId="0" fontId="38" fillId="0" borderId="27" xfId="37" applyFont="1" applyBorder="1" applyAlignment="1">
      <alignment horizontal="justify" vertical="center" wrapText="1"/>
    </xf>
    <xf numFmtId="0" fontId="11" fillId="0" borderId="27" xfId="37" applyFont="1" applyBorder="1" applyAlignment="1">
      <alignment horizontal="left" vertical="center" wrapText="1"/>
    </xf>
    <xf numFmtId="0" fontId="38" fillId="0" borderId="27" xfId="37" applyFont="1" applyBorder="1" applyAlignment="1">
      <alignment horizontal="left" vertical="center" wrapText="1"/>
    </xf>
    <xf numFmtId="4" fontId="19" fillId="0" borderId="27" xfId="39" applyNumberFormat="1" applyFont="1" applyBorder="1" applyAlignment="1">
      <alignment horizontal="center" vertical="center" wrapText="1"/>
    </xf>
    <xf numFmtId="4" fontId="177" fillId="0" borderId="27" xfId="39" applyNumberFormat="1" applyFont="1" applyBorder="1" applyAlignment="1">
      <alignment horizontal="center" vertical="center" wrapText="1"/>
    </xf>
    <xf numFmtId="0" fontId="39" fillId="0" borderId="27" xfId="37" applyFont="1" applyBorder="1" applyAlignment="1">
      <alignment horizontal="justify" vertical="center" wrapText="1"/>
    </xf>
    <xf numFmtId="0" fontId="40" fillId="0" borderId="27" xfId="37" applyFont="1" applyBorder="1" applyAlignment="1">
      <alignment horizontal="justify" vertical="center" wrapText="1"/>
    </xf>
    <xf numFmtId="0" fontId="21" fillId="0" borderId="27" xfId="37" applyFont="1" applyBorder="1" applyAlignment="1">
      <alignment horizontal="justify" vertical="center" wrapText="1"/>
    </xf>
    <xf numFmtId="0" fontId="40" fillId="0" borderId="27" xfId="37" applyFont="1" applyBorder="1" applyAlignment="1">
      <alignment vertical="center" wrapText="1"/>
    </xf>
    <xf numFmtId="0" fontId="39" fillId="0" borderId="27" xfId="37" applyFont="1" applyBorder="1" applyAlignment="1">
      <alignment vertical="center" wrapText="1"/>
    </xf>
    <xf numFmtId="0" fontId="21" fillId="0" borderId="27" xfId="37" applyFont="1" applyBorder="1" applyAlignment="1">
      <alignment vertical="center" wrapText="1"/>
    </xf>
    <xf numFmtId="0" fontId="11" fillId="0" borderId="27" xfId="0" applyFont="1" applyBorder="1" applyAlignment="1">
      <alignment horizontal="justify" vertical="center"/>
    </xf>
    <xf numFmtId="0" fontId="19" fillId="0" borderId="27" xfId="39" applyFont="1" applyBorder="1" applyAlignment="1">
      <alignment vertical="center" wrapText="1"/>
    </xf>
    <xf numFmtId="0" fontId="19" fillId="0" borderId="27" xfId="37" applyFont="1" applyBorder="1" applyAlignment="1">
      <alignment horizontal="justify" vertical="center" wrapText="1"/>
    </xf>
    <xf numFmtId="0" fontId="86" fillId="0" borderId="27" xfId="39" applyFont="1" applyBorder="1" applyAlignment="1">
      <alignment vertical="center" wrapText="1"/>
    </xf>
    <xf numFmtId="4" fontId="86" fillId="0" borderId="27" xfId="39" applyNumberFormat="1" applyFont="1" applyBorder="1" applyAlignment="1">
      <alignment horizontal="center" vertical="center" wrapText="1"/>
    </xf>
    <xf numFmtId="49" fontId="48" fillId="40" borderId="17" xfId="0" applyNumberFormat="1" applyFont="1" applyFill="1" applyBorder="1" applyAlignment="1">
      <alignment horizontal="center" vertical="center" wrapText="1"/>
    </xf>
    <xf numFmtId="0" fontId="48" fillId="40" borderId="17" xfId="38" applyFont="1" applyFill="1" applyBorder="1" applyAlignment="1" applyProtection="1">
      <alignment horizontal="center" vertical="center" wrapText="1"/>
      <protection locked="0"/>
    </xf>
    <xf numFmtId="4" fontId="48" fillId="40" borderId="17" xfId="0" applyNumberFormat="1" applyFont="1" applyFill="1" applyBorder="1" applyAlignment="1">
      <alignment horizontal="center" vertical="center" wrapText="1"/>
    </xf>
    <xf numFmtId="0" fontId="11" fillId="45" borderId="0" xfId="35" applyFill="1"/>
    <xf numFmtId="49" fontId="35" fillId="41" borderId="17" xfId="0" applyNumberFormat="1" applyFont="1" applyFill="1" applyBorder="1" applyAlignment="1">
      <alignment horizontal="center" vertical="center" wrapText="1"/>
    </xf>
    <xf numFmtId="0" fontId="35" fillId="41" borderId="17" xfId="38" applyFont="1" applyFill="1" applyBorder="1" applyAlignment="1" applyProtection="1">
      <alignment horizontal="center" vertical="center" wrapText="1"/>
      <protection locked="0"/>
    </xf>
    <xf numFmtId="4" fontId="35" fillId="41" borderId="17" xfId="0" applyNumberFormat="1" applyFont="1" applyFill="1" applyBorder="1" applyAlignment="1">
      <alignment horizontal="center" vertical="center" wrapText="1"/>
    </xf>
    <xf numFmtId="49" fontId="42" fillId="41" borderId="22" xfId="0" applyNumberFormat="1" applyFont="1" applyFill="1" applyBorder="1" applyAlignment="1">
      <alignment horizontal="center" vertical="center" wrapText="1"/>
    </xf>
    <xf numFmtId="4" fontId="42" fillId="41" borderId="22" xfId="0" applyNumberFormat="1" applyFont="1" applyFill="1" applyBorder="1" applyAlignment="1">
      <alignment horizontal="center" vertical="center" wrapText="1"/>
    </xf>
    <xf numFmtId="49" fontId="42" fillId="41" borderId="22" xfId="0" applyNumberFormat="1" applyFont="1" applyFill="1" applyBorder="1" applyAlignment="1">
      <alignment horizontal="left" vertical="center" wrapText="1"/>
    </xf>
    <xf numFmtId="4" fontId="48" fillId="40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41" borderId="17" xfId="38" applyNumberFormat="1" applyFont="1" applyFill="1" applyBorder="1" applyAlignment="1" applyProtection="1">
      <alignment horizontal="center" vertical="center" wrapText="1"/>
      <protection locked="0"/>
    </xf>
    <xf numFmtId="0" fontId="19" fillId="0" borderId="27" xfId="39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4" fillId="0" borderId="0" xfId="39" applyFont="1" applyAlignment="1">
      <alignment horizontal="center" vertical="center"/>
    </xf>
    <xf numFmtId="0" fontId="0" fillId="0" borderId="0" xfId="0" applyAlignment="1">
      <alignment horizontal="center"/>
    </xf>
    <xf numFmtId="0" fontId="42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8" fillId="0" borderId="0" xfId="0" applyFont="1" applyAlignment="1">
      <alignment horizontal="center" vertical="center" wrapText="1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37" fillId="0" borderId="0" xfId="0" applyFont="1" applyAlignment="1">
      <alignment horizontal="center" vertical="top"/>
    </xf>
    <xf numFmtId="0" fontId="95" fillId="0" borderId="0" xfId="0" applyFont="1" applyAlignment="1">
      <alignment horizontal="center" vertical="top"/>
    </xf>
    <xf numFmtId="0" fontId="56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9" fillId="34" borderId="27" xfId="0" applyFont="1" applyFill="1" applyBorder="1" applyAlignment="1">
      <alignment horizontal="left" vertical="center" wrapText="1"/>
    </xf>
    <xf numFmtId="0" fontId="0" fillId="34" borderId="27" xfId="0" applyFill="1" applyBorder="1" applyAlignment="1">
      <alignment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4" fontId="44" fillId="0" borderId="18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" fontId="43" fillId="0" borderId="0" xfId="0" applyNumberFormat="1" applyFont="1" applyAlignment="1">
      <alignment horizontal="left" vertical="center" wrapText="1"/>
    </xf>
    <xf numFmtId="0" fontId="0" fillId="0" borderId="0" xfId="0" applyAlignment="1"/>
    <xf numFmtId="49" fontId="42" fillId="0" borderId="1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4" fillId="0" borderId="26" xfId="0" applyFont="1" applyBorder="1" applyAlignment="1"/>
    <xf numFmtId="0" fontId="0" fillId="0" borderId="26" xfId="0" applyBorder="1" applyAlignment="1"/>
    <xf numFmtId="4" fontId="41" fillId="0" borderId="17" xfId="0" applyNumberFormat="1" applyFont="1" applyFill="1" applyBorder="1" applyAlignment="1">
      <alignment horizontal="center" vertical="center" wrapText="1"/>
    </xf>
    <xf numFmtId="4" fontId="43" fillId="39" borderId="18" xfId="0" applyNumberFormat="1" applyFont="1" applyFill="1" applyBorder="1" applyAlignment="1">
      <alignment horizontal="center" vertical="center" wrapText="1"/>
    </xf>
    <xf numFmtId="0" fontId="0" fillId="39" borderId="19" xfId="0" applyFill="1" applyBorder="1" applyAlignment="1">
      <alignment horizontal="center" vertical="center" wrapText="1"/>
    </xf>
    <xf numFmtId="4" fontId="44" fillId="39" borderId="18" xfId="0" applyNumberFormat="1" applyFont="1" applyFill="1" applyBorder="1" applyAlignment="1">
      <alignment horizontal="center" vertical="center" wrapText="1"/>
    </xf>
    <xf numFmtId="0" fontId="0" fillId="39" borderId="19" xfId="0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151" fillId="0" borderId="18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/>
    </xf>
    <xf numFmtId="4" fontId="134" fillId="0" borderId="18" xfId="0" applyNumberFormat="1" applyFont="1" applyFill="1" applyBorder="1" applyAlignment="1">
      <alignment horizontal="center" vertical="center" wrapText="1"/>
    </xf>
    <xf numFmtId="4" fontId="134" fillId="0" borderId="19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148" fillId="0" borderId="17" xfId="0" applyFont="1" applyFill="1" applyBorder="1" applyAlignment="1">
      <alignment horizontal="center" vertical="center" wrapText="1"/>
    </xf>
    <xf numFmtId="0" fontId="147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49" fontId="42" fillId="39" borderId="18" xfId="0" applyNumberFormat="1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50" fillId="0" borderId="18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41" fillId="0" borderId="17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41" fillId="0" borderId="17" xfId="0" applyFont="1" applyBorder="1" applyAlignment="1">
      <alignment horizontal="center" vertical="top" wrapText="1"/>
    </xf>
    <xf numFmtId="0" fontId="92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145" fillId="0" borderId="18" xfId="0" applyNumberFormat="1" applyFont="1" applyFill="1" applyBorder="1" applyAlignment="1">
      <alignment horizontal="center" vertical="center"/>
    </xf>
    <xf numFmtId="4" fontId="145" fillId="0" borderId="19" xfId="0" applyNumberFormat="1" applyFont="1" applyFill="1" applyBorder="1" applyAlignment="1">
      <alignment horizontal="center" vertical="center"/>
    </xf>
    <xf numFmtId="4" fontId="122" fillId="0" borderId="18" xfId="0" applyNumberFormat="1" applyFont="1" applyFill="1" applyBorder="1" applyAlignment="1">
      <alignment horizontal="center" vertical="center" wrapText="1"/>
    </xf>
    <xf numFmtId="4" fontId="122" fillId="0" borderId="19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" fontId="138" fillId="0" borderId="18" xfId="0" applyNumberFormat="1" applyFont="1" applyFill="1" applyBorder="1" applyAlignment="1">
      <alignment horizontal="center" vertical="center" wrapText="1"/>
    </xf>
    <xf numFmtId="4" fontId="138" fillId="0" borderId="19" xfId="0" applyNumberFormat="1" applyFont="1" applyFill="1" applyBorder="1" applyAlignment="1">
      <alignment horizontal="center" vertical="center" wrapText="1"/>
    </xf>
    <xf numFmtId="0" fontId="114" fillId="0" borderId="17" xfId="35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9" fillId="0" borderId="17" xfId="35" applyFont="1" applyBorder="1" applyAlignment="1">
      <alignment horizontal="center" vertical="top" wrapText="1"/>
    </xf>
    <xf numFmtId="0" fontId="170" fillId="0" borderId="0" xfId="0" applyFont="1" applyAlignment="1">
      <alignment horizontal="justify" vertical="center"/>
    </xf>
    <xf numFmtId="0" fontId="100" fillId="0" borderId="0" xfId="0" applyFont="1" applyBorder="1" applyAlignment="1">
      <alignment horizontal="center" vertical="center"/>
    </xf>
    <xf numFmtId="0" fontId="100" fillId="0" borderId="0" xfId="0" applyFont="1" applyBorder="1" applyAlignment="1">
      <alignment horizontal="center"/>
    </xf>
    <xf numFmtId="0" fontId="10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59" fillId="0" borderId="0" xfId="35" applyFont="1"/>
    <xf numFmtId="0" fontId="19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42" fillId="41" borderId="22" xfId="0" applyNumberFormat="1" applyFont="1" applyFill="1" applyBorder="1" applyAlignment="1">
      <alignment horizontal="center" vertical="center" wrapText="1"/>
    </xf>
    <xf numFmtId="0" fontId="0" fillId="41" borderId="24" xfId="0" applyFont="1" applyFill="1" applyBorder="1" applyAlignment="1">
      <alignment horizontal="center" vertical="center" wrapText="1"/>
    </xf>
    <xf numFmtId="0" fontId="0" fillId="41" borderId="25" xfId="0" applyFont="1" applyFill="1" applyBorder="1" applyAlignment="1">
      <alignment horizontal="center" vertical="center" wrapText="1"/>
    </xf>
    <xf numFmtId="49" fontId="175" fillId="0" borderId="22" xfId="0" applyNumberFormat="1" applyFont="1" applyBorder="1" applyAlignment="1">
      <alignment horizontal="left" vertical="center" wrapText="1"/>
    </xf>
    <xf numFmtId="0" fontId="176" fillId="0" borderId="25" xfId="0" applyFont="1" applyBorder="1" applyAlignment="1">
      <alignment horizontal="left" vertical="center" wrapText="1"/>
    </xf>
    <xf numFmtId="49" fontId="134" fillId="0" borderId="22" xfId="0" applyNumberFormat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9" fontId="42" fillId="41" borderId="22" xfId="0" applyNumberFormat="1" applyFont="1" applyFill="1" applyBorder="1" applyAlignment="1">
      <alignment horizontal="left" vertical="center" wrapText="1"/>
    </xf>
    <xf numFmtId="49" fontId="42" fillId="41" borderId="25" xfId="0" applyNumberFormat="1" applyFont="1" applyFill="1" applyBorder="1" applyAlignment="1">
      <alignment horizontal="left" vertical="center" wrapText="1"/>
    </xf>
    <xf numFmtId="49" fontId="141" fillId="0" borderId="22" xfId="0" applyNumberFormat="1" applyFont="1" applyBorder="1" applyAlignment="1">
      <alignment horizontal="left" vertical="center" wrapText="1"/>
    </xf>
    <xf numFmtId="0" fontId="143" fillId="0" borderId="25" xfId="0" applyFont="1" applyBorder="1" applyAlignment="1">
      <alignment horizontal="left" vertical="center" wrapText="1"/>
    </xf>
    <xf numFmtId="0" fontId="167" fillId="0" borderId="0" xfId="0" applyFont="1" applyAlignment="1">
      <alignment horizontal="justify" vertical="center"/>
    </xf>
    <xf numFmtId="49" fontId="141" fillId="0" borderId="30" xfId="0" applyNumberFormat="1" applyFont="1" applyBorder="1" applyAlignment="1">
      <alignment horizontal="left" wrapText="1"/>
    </xf>
    <xf numFmtId="0" fontId="143" fillId="0" borderId="31" xfId="0" applyFont="1" applyBorder="1" applyAlignment="1">
      <alignment horizontal="left" wrapText="1"/>
    </xf>
    <xf numFmtId="49" fontId="141" fillId="0" borderId="0" xfId="0" applyNumberFormat="1" applyFont="1" applyBorder="1" applyAlignment="1">
      <alignment horizontal="left" vertical="top" wrapText="1"/>
    </xf>
    <xf numFmtId="0" fontId="143" fillId="0" borderId="0" xfId="0" applyFont="1" applyBorder="1" applyAlignment="1">
      <alignment horizontal="left" vertical="top" wrapText="1"/>
    </xf>
    <xf numFmtId="0" fontId="42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42" fillId="0" borderId="22" xfId="0" applyNumberFormat="1" applyFont="1" applyBorder="1" applyAlignment="1">
      <alignment horizontal="center" vertical="center" wrapText="1"/>
    </xf>
    <xf numFmtId="49" fontId="175" fillId="0" borderId="25" xfId="0" applyNumberFormat="1" applyFont="1" applyBorder="1" applyAlignment="1">
      <alignment horizontal="left" vertical="center" wrapText="1"/>
    </xf>
    <xf numFmtId="49" fontId="141" fillId="0" borderId="22" xfId="0" applyNumberFormat="1" applyFont="1" applyFill="1" applyBorder="1" applyAlignment="1">
      <alignment horizontal="left" vertical="center" wrapText="1"/>
    </xf>
    <xf numFmtId="49" fontId="141" fillId="0" borderId="25" xfId="0" applyNumberFormat="1" applyFont="1" applyFill="1" applyBorder="1" applyAlignment="1">
      <alignment horizontal="left" vertical="center" wrapText="1"/>
    </xf>
    <xf numFmtId="49" fontId="141" fillId="0" borderId="18" xfId="0" applyNumberFormat="1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4" fontId="141" fillId="0" borderId="18" xfId="0" applyNumberFormat="1" applyFont="1" applyFill="1" applyBorder="1" applyAlignment="1">
      <alignment horizontal="center" vertical="center" wrapText="1"/>
    </xf>
    <xf numFmtId="4" fontId="34" fillId="0" borderId="18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34" fillId="0" borderId="18" xfId="0" applyNumberFormat="1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34" fillId="0" borderId="18" xfId="100" applyFont="1" applyBorder="1" applyAlignment="1">
      <alignment horizontal="center" vertical="center" wrapText="1"/>
    </xf>
    <xf numFmtId="9" fontId="34" fillId="0" borderId="18" xfId="3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34" fillId="0" borderId="18" xfId="0" applyNumberFormat="1" applyFont="1" applyFill="1" applyBorder="1" applyAlignment="1">
      <alignment horizontal="center" vertical="center" wrapText="1"/>
    </xf>
    <xf numFmtId="0" fontId="15" fillId="0" borderId="0" xfId="35" applyFont="1" applyAlignment="1">
      <alignment horizontal="center" vertical="center"/>
    </xf>
    <xf numFmtId="0" fontId="46" fillId="0" borderId="0" xfId="35" applyFont="1" applyAlignment="1">
      <alignment horizontal="center" vertical="center" wrapText="1"/>
    </xf>
    <xf numFmtId="0" fontId="164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52" fillId="0" borderId="0" xfId="0" applyFont="1" applyAlignment="1">
      <alignment vertical="center"/>
    </xf>
    <xf numFmtId="164" fontId="34" fillId="0" borderId="18" xfId="30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4" fillId="25" borderId="18" xfId="18" applyFont="1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64" fontId="34" fillId="0" borderId="18" xfId="30" applyNumberFormat="1" applyFont="1" applyBorder="1" applyAlignment="1">
      <alignment horizontal="center" vertical="center"/>
    </xf>
    <xf numFmtId="9" fontId="34" fillId="0" borderId="18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20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4" fontId="135" fillId="27" borderId="26" xfId="0" applyNumberFormat="1" applyFont="1" applyFill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48" fillId="0" borderId="17" xfId="0" applyFont="1" applyBorder="1" applyAlignment="1">
      <alignment horizontal="center" vertical="center" wrapText="1"/>
    </xf>
    <xf numFmtId="4" fontId="134" fillId="0" borderId="18" xfId="0" applyNumberFormat="1" applyFont="1" applyBorder="1" applyAlignment="1">
      <alignment horizontal="center" vertical="center" wrapText="1"/>
    </xf>
    <xf numFmtId="0" fontId="148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/>
    <xf numFmtId="0" fontId="42" fillId="0" borderId="19" xfId="0" applyFont="1" applyBorder="1" applyAlignment="1">
      <alignment horizontal="center" vertical="center" wrapText="1"/>
    </xf>
    <xf numFmtId="4" fontId="42" fillId="0" borderId="19" xfId="0" applyNumberFormat="1" applyFont="1" applyBorder="1" applyAlignment="1">
      <alignment horizontal="center" vertical="center" wrapText="1"/>
    </xf>
    <xf numFmtId="4" fontId="42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8" xfId="38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2" fontId="63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16" fillId="0" borderId="17" xfId="36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2" fontId="61" fillId="0" borderId="17" xfId="36" applyNumberFormat="1" applyFont="1" applyBorder="1" applyAlignment="1">
      <alignment horizontal="center" vertical="center"/>
    </xf>
    <xf numFmtId="2" fontId="61" fillId="29" borderId="17" xfId="36" applyNumberFormat="1" applyFont="1" applyFill="1" applyBorder="1" applyAlignment="1">
      <alignment horizontal="left" vertical="center" wrapText="1"/>
    </xf>
    <xf numFmtId="0" fontId="0" fillId="29" borderId="17" xfId="0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1" fillId="0" borderId="0" xfId="36" applyFont="1" applyAlignment="1">
      <alignment horizontal="center"/>
    </xf>
    <xf numFmtId="0" fontId="61" fillId="0" borderId="0" xfId="0" applyFont="1" applyAlignment="1">
      <alignment horizontal="center"/>
    </xf>
    <xf numFmtId="0" fontId="61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1" fillId="0" borderId="0" xfId="36" applyFont="1" applyAlignment="1">
      <alignment horizontal="center" vertical="center"/>
    </xf>
    <xf numFmtId="0" fontId="128" fillId="0" borderId="0" xfId="36" applyFont="1">
      <alignment vertical="top"/>
    </xf>
    <xf numFmtId="0" fontId="104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1" fillId="0" borderId="17" xfId="36" applyNumberFormat="1" applyFont="1" applyFill="1" applyBorder="1" applyAlignment="1">
      <alignment horizontal="center" vertical="center" wrapText="1"/>
    </xf>
    <xf numFmtId="2" fontId="63" fillId="0" borderId="21" xfId="36" applyNumberFormat="1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/>
    </xf>
    <xf numFmtId="0" fontId="0" fillId="29" borderId="17" xfId="0" applyFont="1" applyFill="1" applyBorder="1" applyAlignment="1">
      <alignment horizontal="left"/>
    </xf>
    <xf numFmtId="2" fontId="63" fillId="0" borderId="0" xfId="36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2" fontId="15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 wrapText="1"/>
    </xf>
    <xf numFmtId="0" fontId="171" fillId="0" borderId="0" xfId="0" applyFont="1" applyAlignment="1">
      <alignment horizontal="justify" vertical="center"/>
    </xf>
    <xf numFmtId="0" fontId="172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8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4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66" fillId="0" borderId="0" xfId="0" applyFont="1" applyAlignment="1">
      <alignment horizontal="justify" vertical="center"/>
    </xf>
    <xf numFmtId="0" fontId="62" fillId="0" borderId="0" xfId="0" applyFont="1" applyAlignment="1">
      <alignment vertical="center"/>
    </xf>
    <xf numFmtId="0" fontId="0" fillId="0" borderId="17" xfId="0" applyBorder="1" applyAlignment="1">
      <alignment horizontal="center" vertical="top"/>
    </xf>
    <xf numFmtId="4" fontId="134" fillId="0" borderId="19" xfId="0" applyNumberFormat="1" applyFont="1" applyBorder="1" applyAlignment="1">
      <alignment horizontal="center" vertical="center" wrapText="1"/>
    </xf>
    <xf numFmtId="4" fontId="145" fillId="0" borderId="18" xfId="0" applyNumberFormat="1" applyFont="1" applyBorder="1" applyAlignment="1">
      <alignment horizontal="center" vertical="center"/>
    </xf>
    <xf numFmtId="4" fontId="145" fillId="0" borderId="19" xfId="0" applyNumberFormat="1" applyFont="1" applyBorder="1" applyAlignment="1">
      <alignment horizontal="center" vertical="center"/>
    </xf>
    <xf numFmtId="4" fontId="122" fillId="0" borderId="18" xfId="0" applyNumberFormat="1" applyFont="1" applyBorder="1" applyAlignment="1">
      <alignment horizontal="center" vertical="center" wrapText="1"/>
    </xf>
    <xf numFmtId="4" fontId="122" fillId="0" borderId="19" xfId="0" applyNumberFormat="1" applyFont="1" applyBorder="1" applyAlignment="1">
      <alignment horizontal="center" vertical="center" wrapText="1"/>
    </xf>
    <xf numFmtId="0" fontId="147" fillId="0" borderId="17" xfId="0" applyFont="1" applyBorder="1" applyAlignment="1">
      <alignment horizontal="center" vertical="center" wrapText="1"/>
    </xf>
    <xf numFmtId="4" fontId="138" fillId="0" borderId="17" xfId="0" applyNumberFormat="1" applyFont="1" applyBorder="1" applyAlignment="1">
      <alignment horizontal="center" vertical="center" wrapText="1"/>
    </xf>
    <xf numFmtId="4" fontId="138" fillId="0" borderId="18" xfId="0" applyNumberFormat="1" applyFont="1" applyBorder="1" applyAlignment="1">
      <alignment horizontal="center" vertical="center" wrapText="1"/>
    </xf>
    <xf numFmtId="4" fontId="138" fillId="0" borderId="19" xfId="0" applyNumberFormat="1" applyFont="1" applyBorder="1" applyAlignment="1">
      <alignment horizontal="center" vertical="center" wrapText="1"/>
    </xf>
    <xf numFmtId="4" fontId="151" fillId="0" borderId="18" xfId="0" applyNumberFormat="1" applyFont="1" applyBorder="1" applyAlignment="1">
      <alignment horizontal="center" vertical="center" wrapText="1"/>
    </xf>
    <xf numFmtId="4" fontId="43" fillId="0" borderId="18" xfId="0" applyNumberFormat="1" applyFont="1" applyBorder="1" applyAlignment="1">
      <alignment horizontal="center" vertical="center" wrapText="1"/>
    </xf>
    <xf numFmtId="49" fontId="150" fillId="0" borderId="18" xfId="0" applyNumberFormat="1" applyFont="1" applyBorder="1" applyAlignment="1">
      <alignment horizontal="center" vertical="center" wrapText="1"/>
    </xf>
    <xf numFmtId="4" fontId="43" fillId="43" borderId="18" xfId="0" applyNumberFormat="1" applyFont="1" applyFill="1" applyBorder="1" applyAlignment="1">
      <alignment horizontal="center" vertical="center" wrapText="1"/>
    </xf>
    <xf numFmtId="0" fontId="0" fillId="43" borderId="19" xfId="0" applyFill="1" applyBorder="1" applyAlignment="1">
      <alignment horizontal="center" vertical="center" wrapText="1"/>
    </xf>
    <xf numFmtId="4" fontId="44" fillId="43" borderId="18" xfId="0" applyNumberFormat="1" applyFont="1" applyFill="1" applyBorder="1" applyAlignment="1">
      <alignment horizontal="center" vertical="center" wrapText="1"/>
    </xf>
    <xf numFmtId="4" fontId="44" fillId="0" borderId="18" xfId="0" applyNumberFormat="1" applyFont="1" applyBorder="1" applyAlignment="1">
      <alignment horizontal="center" vertical="center" wrapText="1"/>
    </xf>
    <xf numFmtId="0" fontId="104" fillId="0" borderId="26" xfId="0" applyFont="1" applyBorder="1"/>
    <xf numFmtId="0" fontId="0" fillId="0" borderId="26" xfId="0" applyBorder="1"/>
    <xf numFmtId="0" fontId="0" fillId="0" borderId="17" xfId="0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41" fillId="0" borderId="17" xfId="0" applyNumberFormat="1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0" fontId="54" fillId="0" borderId="0" xfId="39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" xfId="0" builtinId="0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CFAFE7"/>
      <color rgb="FF66FF99"/>
      <color rgb="FFA86ED4"/>
      <color rgb="FFCCCCFF"/>
      <color rgb="FFCCECFF"/>
      <color rgb="FFFFFF99"/>
      <color rgb="FFFFFFCC"/>
      <color rgb="FF99FF99"/>
      <color rgb="FF0000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1/&#1056;&#1110;&#1096;&#1077;&#1085;&#1085;&#1103;%20&#1073;&#1102;&#1076;&#1078;&#1077;&#1090;%20&#1074;&#1110;&#1076;%2020.10.2021%20&#1088;&#1086;&#1082;&#1091;%20&#8470;3/&#1044;&#1086;&#1076;&#1072;&#109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-ч"/>
      <sheetName val="d3-ч"/>
      <sheetName val="d3-07"/>
      <sheetName val="Р-07"/>
      <sheetName val="d1-07"/>
      <sheetName val="Р1-07"/>
      <sheetName val="d3-до С"/>
      <sheetName val="Р-до С"/>
    </sheetNames>
    <sheetDataSet>
      <sheetData sheetId="0"/>
      <sheetData sheetId="1">
        <row r="19">
          <cell r="E19">
            <v>-1111111</v>
          </cell>
        </row>
        <row r="28">
          <cell r="E28">
            <v>-2749028</v>
          </cell>
        </row>
      </sheetData>
      <sheetData sheetId="2"/>
      <sheetData sheetId="3">
        <row r="17">
          <cell r="F17">
            <v>200000</v>
          </cell>
        </row>
        <row r="20">
          <cell r="F20">
            <v>200000</v>
          </cell>
        </row>
      </sheetData>
      <sheetData sheetId="4"/>
      <sheetData sheetId="5">
        <row r="12">
          <cell r="J12">
            <v>6046500</v>
          </cell>
        </row>
        <row r="14">
          <cell r="J14">
            <v>2854500</v>
          </cell>
        </row>
        <row r="15">
          <cell r="J15">
            <v>352000</v>
          </cell>
        </row>
        <row r="16">
          <cell r="J16">
            <v>1500000</v>
          </cell>
        </row>
        <row r="17">
          <cell r="J17">
            <v>1040000</v>
          </cell>
        </row>
        <row r="18">
          <cell r="J18">
            <v>300000</v>
          </cell>
        </row>
        <row r="20">
          <cell r="J20">
            <v>59509396.250000007</v>
          </cell>
        </row>
        <row r="21">
          <cell r="J21">
            <v>48000</v>
          </cell>
        </row>
        <row r="22">
          <cell r="J22">
            <v>859561.14</v>
          </cell>
        </row>
        <row r="23">
          <cell r="J23">
            <v>160000</v>
          </cell>
        </row>
        <row r="24">
          <cell r="J24">
            <v>4142134.23</v>
          </cell>
        </row>
        <row r="25">
          <cell r="J25">
            <v>440000</v>
          </cell>
        </row>
        <row r="26">
          <cell r="J26">
            <v>1500000</v>
          </cell>
        </row>
        <row r="28">
          <cell r="J28">
            <v>130000</v>
          </cell>
        </row>
        <row r="29">
          <cell r="J29">
            <v>700000</v>
          </cell>
        </row>
        <row r="30">
          <cell r="J30">
            <v>300000</v>
          </cell>
        </row>
        <row r="31">
          <cell r="J31">
            <v>49000</v>
          </cell>
        </row>
        <row r="32">
          <cell r="J32">
            <v>8857935</v>
          </cell>
        </row>
        <row r="33">
          <cell r="J33">
            <v>32821</v>
          </cell>
        </row>
        <row r="34">
          <cell r="J34">
            <v>69862</v>
          </cell>
        </row>
        <row r="35">
          <cell r="J35">
            <v>200000</v>
          </cell>
        </row>
        <row r="36">
          <cell r="J36">
            <v>92850.01</v>
          </cell>
        </row>
        <row r="37">
          <cell r="J37">
            <v>500000</v>
          </cell>
        </row>
        <row r="38">
          <cell r="J38">
            <v>500000</v>
          </cell>
        </row>
        <row r="39">
          <cell r="J39">
            <v>220000</v>
          </cell>
        </row>
        <row r="40">
          <cell r="J40">
            <v>0</v>
          </cell>
        </row>
        <row r="41">
          <cell r="J41">
            <v>78000</v>
          </cell>
        </row>
        <row r="42">
          <cell r="J42">
            <v>2917667</v>
          </cell>
        </row>
        <row r="43">
          <cell r="J43">
            <v>292490.88</v>
          </cell>
        </row>
        <row r="44">
          <cell r="J44">
            <v>250000</v>
          </cell>
        </row>
        <row r="45">
          <cell r="J45">
            <v>110000</v>
          </cell>
        </row>
        <row r="46">
          <cell r="J46">
            <v>696945</v>
          </cell>
        </row>
        <row r="47">
          <cell r="J47">
            <v>300000</v>
          </cell>
        </row>
        <row r="48">
          <cell r="J48">
            <v>2268161</v>
          </cell>
        </row>
        <row r="49">
          <cell r="J49">
            <v>1330000</v>
          </cell>
        </row>
        <row r="50">
          <cell r="J50">
            <v>1559383</v>
          </cell>
        </row>
        <row r="51">
          <cell r="J51">
            <v>49000</v>
          </cell>
        </row>
        <row r="52">
          <cell r="J52">
            <v>343190</v>
          </cell>
        </row>
        <row r="53">
          <cell r="J53">
            <v>548818</v>
          </cell>
        </row>
        <row r="54">
          <cell r="J54">
            <v>62800</v>
          </cell>
        </row>
        <row r="55">
          <cell r="J55">
            <v>1257290</v>
          </cell>
        </row>
        <row r="56">
          <cell r="J56">
            <v>49000</v>
          </cell>
        </row>
        <row r="57">
          <cell r="J57">
            <v>750000</v>
          </cell>
        </row>
        <row r="58">
          <cell r="J58">
            <v>1261682</v>
          </cell>
        </row>
        <row r="59">
          <cell r="J59">
            <v>0</v>
          </cell>
        </row>
        <row r="60">
          <cell r="J60">
            <v>87000</v>
          </cell>
        </row>
        <row r="61">
          <cell r="J61">
            <v>43500</v>
          </cell>
        </row>
        <row r="62">
          <cell r="J62">
            <v>143500</v>
          </cell>
        </row>
        <row r="63">
          <cell r="J63">
            <v>250553</v>
          </cell>
        </row>
        <row r="64">
          <cell r="J64">
            <v>614900</v>
          </cell>
        </row>
        <row r="65">
          <cell r="J65">
            <v>107149.99</v>
          </cell>
        </row>
        <row r="66">
          <cell r="J66">
            <v>500000</v>
          </cell>
        </row>
        <row r="67">
          <cell r="J67">
            <v>2000000</v>
          </cell>
        </row>
        <row r="68">
          <cell r="J68">
            <v>400000</v>
          </cell>
        </row>
        <row r="69">
          <cell r="J69">
            <v>700000</v>
          </cell>
        </row>
        <row r="70">
          <cell r="J70">
            <v>400000</v>
          </cell>
        </row>
        <row r="71">
          <cell r="J71">
            <v>700000</v>
          </cell>
        </row>
        <row r="72">
          <cell r="J72">
            <v>700000</v>
          </cell>
        </row>
        <row r="73">
          <cell r="J73">
            <v>690360</v>
          </cell>
        </row>
        <row r="74">
          <cell r="J74">
            <v>120755</v>
          </cell>
        </row>
        <row r="75">
          <cell r="J75">
            <v>1408595</v>
          </cell>
        </row>
        <row r="76">
          <cell r="J76">
            <v>335000</v>
          </cell>
        </row>
        <row r="77">
          <cell r="J77">
            <v>1170637</v>
          </cell>
        </row>
        <row r="78">
          <cell r="J78">
            <v>542580</v>
          </cell>
        </row>
        <row r="79">
          <cell r="J79">
            <v>50000</v>
          </cell>
        </row>
        <row r="80">
          <cell r="J80">
            <v>50000</v>
          </cell>
        </row>
        <row r="81">
          <cell r="J81">
            <v>2117071</v>
          </cell>
        </row>
        <row r="82">
          <cell r="J82">
            <v>1383129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2396198</v>
          </cell>
        </row>
        <row r="87">
          <cell r="J87">
            <v>748890</v>
          </cell>
        </row>
        <row r="88">
          <cell r="J88">
            <v>100000</v>
          </cell>
        </row>
        <row r="89">
          <cell r="J89">
            <v>1400000</v>
          </cell>
        </row>
        <row r="90">
          <cell r="J90">
            <v>2520000</v>
          </cell>
        </row>
        <row r="91">
          <cell r="J91">
            <v>200000</v>
          </cell>
        </row>
        <row r="92">
          <cell r="J92">
            <v>4702988</v>
          </cell>
        </row>
        <row r="94">
          <cell r="J94">
            <v>25182420</v>
          </cell>
        </row>
        <row r="95">
          <cell r="J95">
            <v>100000</v>
          </cell>
        </row>
        <row r="96">
          <cell r="J96">
            <v>24000</v>
          </cell>
        </row>
        <row r="97">
          <cell r="J97">
            <v>520000</v>
          </cell>
        </row>
        <row r="98">
          <cell r="J98">
            <v>1170000</v>
          </cell>
        </row>
        <row r="99">
          <cell r="J99">
            <v>1300000</v>
          </cell>
        </row>
        <row r="100">
          <cell r="J100">
            <v>5000000</v>
          </cell>
        </row>
        <row r="101">
          <cell r="J101">
            <v>268000</v>
          </cell>
        </row>
        <row r="102">
          <cell r="J102">
            <v>1457681</v>
          </cell>
        </row>
        <row r="103">
          <cell r="J103">
            <v>4929406</v>
          </cell>
        </row>
        <row r="104">
          <cell r="J104">
            <v>1745793</v>
          </cell>
        </row>
        <row r="105">
          <cell r="J105">
            <v>2500000</v>
          </cell>
        </row>
        <row r="106">
          <cell r="J106">
            <v>3019000</v>
          </cell>
        </row>
        <row r="107">
          <cell r="J107">
            <v>299806</v>
          </cell>
        </row>
        <row r="108">
          <cell r="J108">
            <v>305590</v>
          </cell>
        </row>
        <row r="109">
          <cell r="J109">
            <v>800000</v>
          </cell>
        </row>
        <row r="110">
          <cell r="J110">
            <v>822360</v>
          </cell>
        </row>
        <row r="111">
          <cell r="J111">
            <v>61272.21</v>
          </cell>
        </row>
        <row r="112">
          <cell r="J112">
            <v>88899.790000000008</v>
          </cell>
        </row>
        <row r="113">
          <cell r="J113">
            <v>50840</v>
          </cell>
        </row>
        <row r="114">
          <cell r="J114">
            <v>364724</v>
          </cell>
        </row>
        <row r="115">
          <cell r="J115">
            <v>355048</v>
          </cell>
        </row>
        <row r="116">
          <cell r="J116">
            <v>28940636.310000002</v>
          </cell>
        </row>
        <row r="118">
          <cell r="J118">
            <v>1009000</v>
          </cell>
        </row>
        <row r="119">
          <cell r="J119">
            <v>250000</v>
          </cell>
        </row>
        <row r="120">
          <cell r="J120">
            <v>115090</v>
          </cell>
        </row>
        <row r="121">
          <cell r="J121">
            <v>128000</v>
          </cell>
        </row>
        <row r="122">
          <cell r="J122">
            <v>43440</v>
          </cell>
        </row>
        <row r="123">
          <cell r="J123">
            <v>1406110</v>
          </cell>
        </row>
        <row r="124">
          <cell r="J124">
            <v>898105</v>
          </cell>
        </row>
        <row r="125">
          <cell r="J125">
            <v>11298891.529999999</v>
          </cell>
        </row>
        <row r="128">
          <cell r="J128">
            <v>1751965</v>
          </cell>
        </row>
        <row r="132">
          <cell r="J132">
            <v>1093438.78</v>
          </cell>
        </row>
        <row r="135">
          <cell r="J135">
            <v>2429312</v>
          </cell>
        </row>
        <row r="138">
          <cell r="J138">
            <v>388340</v>
          </cell>
        </row>
        <row r="139">
          <cell r="J139">
            <v>98000</v>
          </cell>
        </row>
        <row r="140">
          <cell r="J140">
            <v>145000</v>
          </cell>
        </row>
        <row r="141">
          <cell r="J141">
            <v>88910</v>
          </cell>
        </row>
        <row r="142">
          <cell r="J142">
            <v>4000000</v>
          </cell>
        </row>
        <row r="143">
          <cell r="J143">
            <v>3577034</v>
          </cell>
        </row>
        <row r="144">
          <cell r="J144">
            <v>220000</v>
          </cell>
        </row>
        <row r="145">
          <cell r="J145">
            <v>7416625</v>
          </cell>
        </row>
        <row r="147">
          <cell r="J147">
            <v>49000</v>
          </cell>
        </row>
        <row r="148">
          <cell r="J148">
            <v>1000000</v>
          </cell>
        </row>
        <row r="149">
          <cell r="J149">
            <v>804000</v>
          </cell>
        </row>
        <row r="150">
          <cell r="J150">
            <v>84000</v>
          </cell>
        </row>
        <row r="151">
          <cell r="J151">
            <v>67000</v>
          </cell>
        </row>
        <row r="152">
          <cell r="J152">
            <v>164900</v>
          </cell>
        </row>
        <row r="153">
          <cell r="J153">
            <v>5000000</v>
          </cell>
        </row>
        <row r="154">
          <cell r="J154">
            <v>146100</v>
          </cell>
        </row>
        <row r="155">
          <cell r="J155">
            <v>31625</v>
          </cell>
        </row>
        <row r="156">
          <cell r="J156">
            <v>70000</v>
          </cell>
        </row>
        <row r="157">
          <cell r="J157">
            <v>0</v>
          </cell>
        </row>
        <row r="159">
          <cell r="J159">
            <v>8987606</v>
          </cell>
        </row>
        <row r="160">
          <cell r="J160">
            <v>20000</v>
          </cell>
        </row>
        <row r="161">
          <cell r="J161">
            <v>713957</v>
          </cell>
        </row>
        <row r="162">
          <cell r="J162">
            <v>1441630</v>
          </cell>
        </row>
        <row r="164">
          <cell r="J164">
            <v>33250</v>
          </cell>
        </row>
        <row r="165">
          <cell r="J165">
            <v>48600</v>
          </cell>
        </row>
        <row r="166">
          <cell r="J166">
            <v>1456316</v>
          </cell>
        </row>
        <row r="167">
          <cell r="J167">
            <v>3649999</v>
          </cell>
        </row>
        <row r="168">
          <cell r="J168">
            <v>27180</v>
          </cell>
        </row>
        <row r="170">
          <cell r="J170">
            <v>345200</v>
          </cell>
        </row>
        <row r="171">
          <cell r="J171">
            <v>30000</v>
          </cell>
        </row>
        <row r="173">
          <cell r="J173">
            <v>1021474</v>
          </cell>
        </row>
        <row r="175">
          <cell r="J175">
            <v>30166337</v>
          </cell>
        </row>
        <row r="176">
          <cell r="J176">
            <v>163248</v>
          </cell>
        </row>
        <row r="177">
          <cell r="J177">
            <v>8284628</v>
          </cell>
        </row>
        <row r="178">
          <cell r="J178">
            <v>8000000</v>
          </cell>
        </row>
        <row r="180">
          <cell r="J180">
            <v>1948000</v>
          </cell>
        </row>
        <row r="181">
          <cell r="J181">
            <v>10658900</v>
          </cell>
        </row>
        <row r="182">
          <cell r="J182">
            <v>461561</v>
          </cell>
        </row>
        <row r="184">
          <cell r="J184">
            <v>350000</v>
          </cell>
        </row>
        <row r="186">
          <cell r="J186">
            <v>300000</v>
          </cell>
        </row>
        <row r="189">
          <cell r="J189">
            <v>150821170.57999998</v>
          </cell>
        </row>
        <row r="190">
          <cell r="J190">
            <v>144000</v>
          </cell>
        </row>
        <row r="192">
          <cell r="J192">
            <v>1500000</v>
          </cell>
        </row>
        <row r="193">
          <cell r="J193">
            <v>839014</v>
          </cell>
        </row>
        <row r="194">
          <cell r="J194">
            <v>3341100</v>
          </cell>
        </row>
        <row r="195">
          <cell r="J195">
            <v>660000</v>
          </cell>
        </row>
        <row r="196">
          <cell r="J196">
            <v>989028</v>
          </cell>
        </row>
        <row r="197">
          <cell r="J197">
            <v>3532023</v>
          </cell>
        </row>
        <row r="198">
          <cell r="J198">
            <v>2940348</v>
          </cell>
        </row>
        <row r="199">
          <cell r="J199">
            <v>326000</v>
          </cell>
        </row>
        <row r="200">
          <cell r="J200">
            <v>491259</v>
          </cell>
        </row>
        <row r="201">
          <cell r="J201">
            <v>365000</v>
          </cell>
        </row>
        <row r="203">
          <cell r="J203">
            <v>9419</v>
          </cell>
        </row>
        <row r="204">
          <cell r="J204">
            <v>150268</v>
          </cell>
        </row>
        <row r="205">
          <cell r="J205">
            <v>180000</v>
          </cell>
        </row>
        <row r="206">
          <cell r="J206">
            <v>180000</v>
          </cell>
        </row>
        <row r="207">
          <cell r="J207">
            <v>15072</v>
          </cell>
        </row>
        <row r="208">
          <cell r="J208">
            <v>500000</v>
          </cell>
        </row>
        <row r="209">
          <cell r="J209">
            <v>50000</v>
          </cell>
        </row>
        <row r="211">
          <cell r="J211">
            <v>2000000</v>
          </cell>
        </row>
        <row r="212">
          <cell r="J212">
            <v>3000000</v>
          </cell>
        </row>
        <row r="214">
          <cell r="J214">
            <v>300000</v>
          </cell>
        </row>
        <row r="218">
          <cell r="J218">
            <v>150000</v>
          </cell>
        </row>
        <row r="219">
          <cell r="J219">
            <v>500000</v>
          </cell>
        </row>
        <row r="220">
          <cell r="J220">
            <v>64537213</v>
          </cell>
        </row>
        <row r="221">
          <cell r="J221">
            <v>20549522.579999998</v>
          </cell>
        </row>
        <row r="223">
          <cell r="J223">
            <v>1218000</v>
          </cell>
        </row>
        <row r="224">
          <cell r="J224">
            <v>540000</v>
          </cell>
        </row>
        <row r="225">
          <cell r="J225">
            <v>660000</v>
          </cell>
        </row>
        <row r="226">
          <cell r="J226">
            <v>2685097</v>
          </cell>
        </row>
        <row r="227">
          <cell r="J227">
            <v>200000</v>
          </cell>
        </row>
        <row r="228">
          <cell r="J228">
            <v>445000</v>
          </cell>
        </row>
        <row r="229">
          <cell r="J229">
            <v>5000</v>
          </cell>
        </row>
        <row r="231">
          <cell r="J231">
            <v>850000</v>
          </cell>
        </row>
        <row r="233">
          <cell r="J233">
            <v>200000</v>
          </cell>
        </row>
        <row r="235">
          <cell r="J235">
            <v>1099059</v>
          </cell>
        </row>
        <row r="236">
          <cell r="J236">
            <v>2000000</v>
          </cell>
        </row>
        <row r="237">
          <cell r="J237">
            <v>117000</v>
          </cell>
        </row>
        <row r="238">
          <cell r="J238">
            <v>38000</v>
          </cell>
        </row>
        <row r="239">
          <cell r="J239">
            <v>198900</v>
          </cell>
        </row>
        <row r="240">
          <cell r="J240">
            <v>22200</v>
          </cell>
        </row>
        <row r="241">
          <cell r="J241">
            <v>6400</v>
          </cell>
        </row>
        <row r="242">
          <cell r="J242">
            <v>150000</v>
          </cell>
        </row>
        <row r="243">
          <cell r="J243">
            <v>22224</v>
          </cell>
        </row>
        <row r="244">
          <cell r="J244">
            <v>350000</v>
          </cell>
        </row>
        <row r="245">
          <cell r="J245">
            <v>48590</v>
          </cell>
        </row>
        <row r="246">
          <cell r="J246">
            <v>980185</v>
          </cell>
        </row>
        <row r="247">
          <cell r="J247">
            <v>523346</v>
          </cell>
        </row>
        <row r="248">
          <cell r="J248">
            <v>700000</v>
          </cell>
        </row>
        <row r="249">
          <cell r="J249">
            <v>490000</v>
          </cell>
        </row>
        <row r="250">
          <cell r="J250">
            <v>1078170</v>
          </cell>
        </row>
        <row r="251">
          <cell r="J251">
            <v>2652666</v>
          </cell>
        </row>
        <row r="254">
          <cell r="J254">
            <v>4673460</v>
          </cell>
        </row>
        <row r="255">
          <cell r="J255">
            <v>1000000</v>
          </cell>
        </row>
        <row r="256">
          <cell r="J256">
            <v>5940000</v>
          </cell>
        </row>
        <row r="257">
          <cell r="J257">
            <v>593921</v>
          </cell>
        </row>
        <row r="258">
          <cell r="J258">
            <v>891000</v>
          </cell>
        </row>
        <row r="259">
          <cell r="J259">
            <v>100000</v>
          </cell>
        </row>
        <row r="260">
          <cell r="J260">
            <v>495200</v>
          </cell>
        </row>
        <row r="261">
          <cell r="J261">
            <v>1000000</v>
          </cell>
        </row>
        <row r="262">
          <cell r="J262">
            <v>2000000</v>
          </cell>
        </row>
        <row r="263">
          <cell r="J263">
            <v>50000</v>
          </cell>
        </row>
        <row r="264">
          <cell r="J264">
            <v>129481</v>
          </cell>
        </row>
        <row r="265">
          <cell r="J265">
            <v>3304175</v>
          </cell>
        </row>
        <row r="266">
          <cell r="J266">
            <v>2115430</v>
          </cell>
        </row>
        <row r="267">
          <cell r="J267">
            <v>864238</v>
          </cell>
        </row>
        <row r="268">
          <cell r="J268">
            <v>2086056</v>
          </cell>
        </row>
        <row r="269">
          <cell r="J269">
            <v>1017106</v>
          </cell>
        </row>
        <row r="270">
          <cell r="J270">
            <v>32000</v>
          </cell>
        </row>
        <row r="272">
          <cell r="J272">
            <v>263650566.50999999</v>
          </cell>
        </row>
        <row r="273">
          <cell r="J273">
            <v>112000000</v>
          </cell>
        </row>
        <row r="275">
          <cell r="J275">
            <v>80574.510000000009</v>
          </cell>
        </row>
        <row r="276">
          <cell r="J276">
            <v>15122869</v>
          </cell>
        </row>
        <row r="277">
          <cell r="J277">
            <v>693307</v>
          </cell>
        </row>
        <row r="278">
          <cell r="J278">
            <v>7748088</v>
          </cell>
        </row>
        <row r="279">
          <cell r="J279">
            <v>200000</v>
          </cell>
        </row>
        <row r="280">
          <cell r="J280">
            <v>50000</v>
          </cell>
        </row>
        <row r="281">
          <cell r="J281">
            <v>200000</v>
          </cell>
        </row>
        <row r="282">
          <cell r="J282">
            <v>100000</v>
          </cell>
        </row>
        <row r="283">
          <cell r="J283">
            <v>625816</v>
          </cell>
        </row>
        <row r="284">
          <cell r="J284">
            <v>488629</v>
          </cell>
        </row>
        <row r="285">
          <cell r="J285">
            <v>200000</v>
          </cell>
        </row>
        <row r="286">
          <cell r="J286">
            <v>14700000</v>
          </cell>
        </row>
        <row r="287">
          <cell r="J287">
            <v>120000</v>
          </cell>
        </row>
        <row r="288">
          <cell r="J288">
            <v>50000</v>
          </cell>
        </row>
        <row r="289">
          <cell r="J289">
            <v>50000</v>
          </cell>
        </row>
        <row r="290">
          <cell r="J290">
            <v>12991</v>
          </cell>
        </row>
        <row r="291">
          <cell r="J291">
            <v>756990</v>
          </cell>
        </row>
        <row r="292">
          <cell r="J292">
            <v>0</v>
          </cell>
        </row>
        <row r="293">
          <cell r="J293">
            <v>370000</v>
          </cell>
        </row>
        <row r="294">
          <cell r="J294">
            <v>110081302</v>
          </cell>
        </row>
        <row r="295">
          <cell r="J295">
            <v>837700</v>
          </cell>
        </row>
        <row r="297">
          <cell r="J297">
            <v>239700</v>
          </cell>
        </row>
        <row r="298">
          <cell r="J298">
            <v>198000</v>
          </cell>
        </row>
        <row r="299">
          <cell r="J299">
            <v>400000</v>
          </cell>
        </row>
        <row r="300">
          <cell r="J300"/>
        </row>
        <row r="301">
          <cell r="J301">
            <v>36000</v>
          </cell>
        </row>
        <row r="303">
          <cell r="J303">
            <v>36000</v>
          </cell>
        </row>
        <row r="305">
          <cell r="J305">
            <v>1569885</v>
          </cell>
        </row>
        <row r="306">
          <cell r="J306">
            <v>209885</v>
          </cell>
        </row>
        <row r="307">
          <cell r="J307">
            <v>1360000</v>
          </cell>
        </row>
        <row r="308">
          <cell r="J308">
            <v>64000</v>
          </cell>
        </row>
        <row r="310">
          <cell r="J310">
            <v>64000</v>
          </cell>
        </row>
        <row r="311">
          <cell r="J311">
            <v>350000</v>
          </cell>
        </row>
        <row r="313">
          <cell r="J313">
            <v>100000</v>
          </cell>
        </row>
        <row r="314">
          <cell r="J314">
            <v>20000</v>
          </cell>
        </row>
        <row r="315">
          <cell r="J315">
            <v>180000</v>
          </cell>
        </row>
        <row r="316">
          <cell r="J316">
            <v>50000</v>
          </cell>
        </row>
        <row r="317">
          <cell r="J317">
            <v>40000</v>
          </cell>
        </row>
        <row r="319">
          <cell r="J319">
            <v>40000</v>
          </cell>
        </row>
        <row r="320">
          <cell r="J320">
            <v>583618842.64999998</v>
          </cell>
        </row>
      </sheetData>
      <sheetData sheetId="6"/>
      <sheetData sheetId="7"/>
      <sheetData sheetId="8">
        <row r="13">
          <cell r="F13">
            <v>150900</v>
          </cell>
        </row>
        <row r="14">
          <cell r="F14">
            <v>160000</v>
          </cell>
        </row>
        <row r="15">
          <cell r="F15">
            <v>48000</v>
          </cell>
        </row>
        <row r="16">
          <cell r="F16">
            <v>45000</v>
          </cell>
        </row>
        <row r="17">
          <cell r="F17">
            <v>311238.95999999996</v>
          </cell>
        </row>
        <row r="18">
          <cell r="F18">
            <v>50000</v>
          </cell>
        </row>
        <row r="19">
          <cell r="F19">
            <v>5000</v>
          </cell>
        </row>
        <row r="20">
          <cell r="F20">
            <v>120000</v>
          </cell>
        </row>
        <row r="21">
          <cell r="F21">
            <v>50000</v>
          </cell>
        </row>
        <row r="22">
          <cell r="F22">
            <v>92500</v>
          </cell>
        </row>
        <row r="23">
          <cell r="F23">
            <v>35000</v>
          </cell>
        </row>
        <row r="24">
          <cell r="F24">
            <v>19500</v>
          </cell>
        </row>
        <row r="25">
          <cell r="F25">
            <v>100000</v>
          </cell>
        </row>
        <row r="26">
          <cell r="F26">
            <v>48000</v>
          </cell>
        </row>
        <row r="27">
          <cell r="F27">
            <v>50000</v>
          </cell>
        </row>
        <row r="28">
          <cell r="F28">
            <v>200000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showZeros="0" view="pageBreakPreview" zoomScale="115" zoomScaleSheetLayoutView="115" workbookViewId="0">
      <selection activeCell="E14" sqref="E14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7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49" t="s">
        <v>62</v>
      </c>
      <c r="E1" s="950"/>
      <c r="F1" s="950"/>
      <c r="G1" s="950"/>
    </row>
    <row r="2" spans="1:7" ht="15.75" x14ac:dyDescent="0.2">
      <c r="C2" s="12"/>
      <c r="D2" s="949" t="s">
        <v>1533</v>
      </c>
      <c r="E2" s="951"/>
      <c r="F2" s="951"/>
      <c r="G2" s="951"/>
    </row>
    <row r="3" spans="1:7" ht="6" customHeight="1" x14ac:dyDescent="0.2">
      <c r="C3" s="12"/>
      <c r="D3" s="949"/>
      <c r="E3" s="951"/>
      <c r="F3" s="951"/>
      <c r="G3" s="951"/>
    </row>
    <row r="4" spans="1:7" ht="12.75" customHeight="1" x14ac:dyDescent="0.2">
      <c r="A4" s="952"/>
      <c r="B4" s="952"/>
      <c r="C4" s="952"/>
      <c r="D4" s="952"/>
      <c r="E4" s="952"/>
    </row>
    <row r="5" spans="1:7" ht="20.25" x14ac:dyDescent="0.2">
      <c r="A5" s="952" t="s">
        <v>613</v>
      </c>
      <c r="B5" s="953"/>
      <c r="C5" s="953"/>
      <c r="D5" s="953"/>
      <c r="E5" s="953"/>
      <c r="F5" s="953"/>
    </row>
    <row r="6" spans="1:7" ht="20.25" x14ac:dyDescent="0.2">
      <c r="A6" s="659"/>
      <c r="B6" s="80" t="s">
        <v>630</v>
      </c>
      <c r="C6" s="659"/>
      <c r="D6" s="659"/>
      <c r="E6" s="659"/>
    </row>
    <row r="7" spans="1:7" ht="13.5" thickBot="1" x14ac:dyDescent="0.25">
      <c r="B7" s="686"/>
      <c r="C7" s="686"/>
      <c r="D7" s="686"/>
      <c r="E7" s="686"/>
      <c r="F7" s="686" t="s">
        <v>63</v>
      </c>
    </row>
    <row r="8" spans="1:7" ht="14.25" thickTop="1" thickBot="1" x14ac:dyDescent="0.25">
      <c r="A8" s="948" t="s">
        <v>64</v>
      </c>
      <c r="B8" s="948" t="s">
        <v>65</v>
      </c>
      <c r="C8" s="948" t="s">
        <v>410</v>
      </c>
      <c r="D8" s="948" t="s">
        <v>12</v>
      </c>
      <c r="E8" s="948" t="s">
        <v>57</v>
      </c>
      <c r="F8" s="948"/>
      <c r="G8" s="13"/>
    </row>
    <row r="9" spans="1:7" ht="39.75" thickTop="1" thickBot="1" x14ac:dyDescent="0.3">
      <c r="A9" s="948"/>
      <c r="B9" s="948"/>
      <c r="C9" s="948"/>
      <c r="D9" s="948"/>
      <c r="E9" s="586" t="s">
        <v>410</v>
      </c>
      <c r="F9" s="586" t="s">
        <v>454</v>
      </c>
      <c r="G9" s="14"/>
    </row>
    <row r="10" spans="1:7" ht="16.5" thickTop="1" thickBot="1" x14ac:dyDescent="0.3">
      <c r="A10" s="586">
        <v>1</v>
      </c>
      <c r="B10" s="586">
        <v>2</v>
      </c>
      <c r="C10" s="586">
        <v>3</v>
      </c>
      <c r="D10" s="586">
        <v>4</v>
      </c>
      <c r="E10" s="586">
        <v>5</v>
      </c>
      <c r="F10" s="586">
        <v>6</v>
      </c>
      <c r="G10" s="14"/>
    </row>
    <row r="11" spans="1:7" ht="25.5" customHeight="1" thickTop="1" thickBot="1" x14ac:dyDescent="0.25">
      <c r="A11" s="708">
        <v>10000000</v>
      </c>
      <c r="B11" s="708" t="s">
        <v>66</v>
      </c>
      <c r="C11" s="709">
        <f t="shared" ref="C11:C16" si="0">SUM(D11,E11)</f>
        <v>2312300147</v>
      </c>
      <c r="D11" s="709">
        <f>SUM(D12,D25,D31,D50,D20)</f>
        <v>2311669247</v>
      </c>
      <c r="E11" s="709">
        <f>SUM(E12,E25,E31,E50,E20)</f>
        <v>630900</v>
      </c>
      <c r="F11" s="709">
        <f>SUM(F12,F25,F31,F50,F20)</f>
        <v>0</v>
      </c>
      <c r="G11" s="15"/>
    </row>
    <row r="12" spans="1:7" ht="31.5" customHeight="1" thickTop="1" thickBot="1" x14ac:dyDescent="0.25">
      <c r="A12" s="710">
        <v>11000000</v>
      </c>
      <c r="B12" s="710" t="s">
        <v>67</v>
      </c>
      <c r="C12" s="712">
        <f>SUM(D12,E12)</f>
        <v>1539280028</v>
      </c>
      <c r="D12" s="712">
        <f>SUM(D13,D18)</f>
        <v>1539280028</v>
      </c>
      <c r="E12" s="712"/>
      <c r="F12" s="712"/>
      <c r="G12" s="16"/>
    </row>
    <row r="13" spans="1:7" ht="24.75" customHeight="1" thickTop="1" thickBot="1" x14ac:dyDescent="0.25">
      <c r="A13" s="713">
        <v>11010000</v>
      </c>
      <c r="B13" s="714" t="s">
        <v>68</v>
      </c>
      <c r="C13" s="717">
        <f t="shared" si="0"/>
        <v>1538280028</v>
      </c>
      <c r="D13" s="717">
        <f>SUM(D14:D17)</f>
        <v>1538280028</v>
      </c>
      <c r="E13" s="717"/>
      <c r="F13" s="717"/>
      <c r="G13" s="16"/>
    </row>
    <row r="14" spans="1:7" ht="39.75" thickTop="1" thickBot="1" x14ac:dyDescent="0.25">
      <c r="A14" s="715">
        <v>11010100</v>
      </c>
      <c r="B14" s="716" t="s">
        <v>69</v>
      </c>
      <c r="C14" s="712">
        <f t="shared" si="0"/>
        <v>1274804070</v>
      </c>
      <c r="D14" s="718">
        <v>1274804070</v>
      </c>
      <c r="E14" s="718"/>
      <c r="F14" s="718"/>
      <c r="G14" s="16"/>
    </row>
    <row r="15" spans="1:7" ht="65.25" thickTop="1" thickBot="1" x14ac:dyDescent="0.25">
      <c r="A15" s="715">
        <v>11010200</v>
      </c>
      <c r="B15" s="716" t="s">
        <v>70</v>
      </c>
      <c r="C15" s="712">
        <f t="shared" si="0"/>
        <v>202378000</v>
      </c>
      <c r="D15" s="718">
        <v>202378000</v>
      </c>
      <c r="E15" s="718"/>
      <c r="F15" s="718"/>
      <c r="G15" s="16"/>
    </row>
    <row r="16" spans="1:7" ht="39.75" thickTop="1" thickBot="1" x14ac:dyDescent="0.25">
      <c r="A16" s="715">
        <v>11010400</v>
      </c>
      <c r="B16" s="716" t="s">
        <v>71</v>
      </c>
      <c r="C16" s="712">
        <f t="shared" si="0"/>
        <v>36966300</v>
      </c>
      <c r="D16" s="718">
        <f>(33686300)+3280000</f>
        <v>36966300</v>
      </c>
      <c r="E16" s="718"/>
      <c r="F16" s="718"/>
      <c r="G16" s="16"/>
    </row>
    <row r="17" spans="1:7" ht="39.75" thickTop="1" thickBot="1" x14ac:dyDescent="0.3">
      <c r="A17" s="715">
        <v>11010500</v>
      </c>
      <c r="B17" s="716" t="s">
        <v>72</v>
      </c>
      <c r="C17" s="712">
        <f t="shared" ref="C17:C92" si="1">SUM(D17,E17)</f>
        <v>24131658</v>
      </c>
      <c r="D17" s="718">
        <f>(22131658)+2000000</f>
        <v>24131658</v>
      </c>
      <c r="E17" s="718"/>
      <c r="F17" s="718"/>
      <c r="G17" s="14"/>
    </row>
    <row r="18" spans="1:7" ht="28.5" customHeight="1" thickTop="1" thickBot="1" x14ac:dyDescent="0.25">
      <c r="A18" s="713">
        <v>11020000</v>
      </c>
      <c r="B18" s="714" t="s">
        <v>73</v>
      </c>
      <c r="C18" s="717">
        <f>SUM(D18,E18)</f>
        <v>1000000</v>
      </c>
      <c r="D18" s="719">
        <f>D19</f>
        <v>1000000</v>
      </c>
      <c r="E18" s="719"/>
      <c r="F18" s="719"/>
      <c r="G18" s="15"/>
    </row>
    <row r="19" spans="1:7" ht="27" thickTop="1" thickBot="1" x14ac:dyDescent="0.3">
      <c r="A19" s="715">
        <v>11020200</v>
      </c>
      <c r="B19" s="723" t="s">
        <v>74</v>
      </c>
      <c r="C19" s="712">
        <f>SUM(D19,E19)</f>
        <v>1000000</v>
      </c>
      <c r="D19" s="718">
        <v>1000000</v>
      </c>
      <c r="E19" s="720"/>
      <c r="F19" s="718"/>
      <c r="G19" s="14"/>
    </row>
    <row r="20" spans="1:7" ht="27" thickTop="1" thickBot="1" x14ac:dyDescent="0.3">
      <c r="A20" s="710">
        <v>13000000</v>
      </c>
      <c r="B20" s="729" t="s">
        <v>614</v>
      </c>
      <c r="C20" s="712">
        <f>D20+E20</f>
        <v>1053000</v>
      </c>
      <c r="D20" s="712">
        <f>SUM(D21,D23)</f>
        <v>1053000</v>
      </c>
      <c r="E20" s="720"/>
      <c r="F20" s="718"/>
      <c r="G20" s="14"/>
    </row>
    <row r="21" spans="1:7" ht="28.5" thickTop="1" thickBot="1" x14ac:dyDescent="0.3">
      <c r="A21" s="713">
        <v>13010000</v>
      </c>
      <c r="B21" s="725" t="s">
        <v>615</v>
      </c>
      <c r="C21" s="717">
        <f>D21+E21</f>
        <v>1052400</v>
      </c>
      <c r="D21" s="717">
        <f>SUM(D22)</f>
        <v>1052400</v>
      </c>
      <c r="E21" s="719"/>
      <c r="F21" s="717"/>
      <c r="G21" s="14"/>
    </row>
    <row r="22" spans="1:7" ht="65.25" thickTop="1" thickBot="1" x14ac:dyDescent="0.3">
      <c r="A22" s="715">
        <v>13010200</v>
      </c>
      <c r="B22" s="721" t="s">
        <v>616</v>
      </c>
      <c r="C22" s="712">
        <f t="shared" ref="C22:C25" si="2">D22+E22</f>
        <v>1052400</v>
      </c>
      <c r="D22" s="718">
        <f>1052400+150000-150000</f>
        <v>1052400</v>
      </c>
      <c r="E22" s="720"/>
      <c r="F22" s="718"/>
      <c r="G22" s="14"/>
    </row>
    <row r="23" spans="1:7" ht="16.5" thickTop="1" thickBot="1" x14ac:dyDescent="0.3">
      <c r="A23" s="713">
        <v>13030000</v>
      </c>
      <c r="B23" s="722" t="s">
        <v>617</v>
      </c>
      <c r="C23" s="717">
        <f>D23+E23</f>
        <v>600</v>
      </c>
      <c r="D23" s="717">
        <f>SUM(D24)</f>
        <v>600</v>
      </c>
      <c r="E23" s="719"/>
      <c r="F23" s="717"/>
      <c r="G23" s="14"/>
    </row>
    <row r="24" spans="1:7" ht="39.75" thickTop="1" thickBot="1" x14ac:dyDescent="0.3">
      <c r="A24" s="715">
        <v>13030100</v>
      </c>
      <c r="B24" s="721" t="s">
        <v>618</v>
      </c>
      <c r="C24" s="712">
        <f t="shared" si="2"/>
        <v>600</v>
      </c>
      <c r="D24" s="718">
        <v>600</v>
      </c>
      <c r="E24" s="720"/>
      <c r="F24" s="718"/>
      <c r="G24" s="14"/>
    </row>
    <row r="25" spans="1:7" ht="26.25" customHeight="1" thickTop="1" thickBot="1" x14ac:dyDescent="0.3">
      <c r="A25" s="710">
        <v>14000000</v>
      </c>
      <c r="B25" s="729" t="s">
        <v>621</v>
      </c>
      <c r="C25" s="712">
        <f t="shared" si="2"/>
        <v>167376900</v>
      </c>
      <c r="D25" s="712">
        <f>SUM(D26,D28,D30)</f>
        <v>167376900</v>
      </c>
      <c r="E25" s="727"/>
      <c r="F25" s="718"/>
      <c r="G25" s="14"/>
    </row>
    <row r="26" spans="1:7" ht="30" customHeight="1" thickTop="1" thickBot="1" x14ac:dyDescent="0.3">
      <c r="A26" s="713">
        <v>14020000</v>
      </c>
      <c r="B26" s="725" t="s">
        <v>772</v>
      </c>
      <c r="C26" s="717">
        <f>SUM(D26,E26)</f>
        <v>17500000</v>
      </c>
      <c r="D26" s="717">
        <f>SUM(D27,E27)</f>
        <v>17500000</v>
      </c>
      <c r="E26" s="719"/>
      <c r="F26" s="728"/>
      <c r="G26" s="14"/>
    </row>
    <row r="27" spans="1:7" ht="16.5" thickTop="1" thickBot="1" x14ac:dyDescent="0.3">
      <c r="A27" s="715">
        <v>14021900</v>
      </c>
      <c r="B27" s="723" t="s">
        <v>771</v>
      </c>
      <c r="C27" s="718">
        <f>SUM(D27,E27)</f>
        <v>17500000</v>
      </c>
      <c r="D27" s="718">
        <v>17500000</v>
      </c>
      <c r="E27" s="727"/>
      <c r="F27" s="718"/>
      <c r="G27" s="14"/>
    </row>
    <row r="28" spans="1:7" ht="42" thickTop="1" thickBot="1" x14ac:dyDescent="0.3">
      <c r="A28" s="713">
        <v>14030000</v>
      </c>
      <c r="B28" s="725" t="s">
        <v>773</v>
      </c>
      <c r="C28" s="717">
        <f>SUM(D28,E28)</f>
        <v>65500000</v>
      </c>
      <c r="D28" s="717">
        <f>SUM(D29,E29)</f>
        <v>65500000</v>
      </c>
      <c r="E28" s="719"/>
      <c r="F28" s="728"/>
      <c r="G28" s="14"/>
    </row>
    <row r="29" spans="1:7" ht="16.5" thickTop="1" thickBot="1" x14ac:dyDescent="0.3">
      <c r="A29" s="715">
        <v>14031900</v>
      </c>
      <c r="B29" s="723" t="s">
        <v>771</v>
      </c>
      <c r="C29" s="718">
        <f>SUM(D29,E29)</f>
        <v>65500000</v>
      </c>
      <c r="D29" s="718">
        <v>65500000</v>
      </c>
      <c r="E29" s="727"/>
      <c r="F29" s="718"/>
      <c r="G29" s="14"/>
    </row>
    <row r="30" spans="1:7" ht="42" thickTop="1" thickBot="1" x14ac:dyDescent="0.25">
      <c r="A30" s="713">
        <v>14040000</v>
      </c>
      <c r="B30" s="714" t="s">
        <v>1375</v>
      </c>
      <c r="C30" s="717">
        <f>SUM(D30,E30)</f>
        <v>84376900</v>
      </c>
      <c r="D30" s="717">
        <f>79376900+5000000</f>
        <v>84376900</v>
      </c>
      <c r="E30" s="728"/>
      <c r="F30" s="728"/>
      <c r="G30" s="17"/>
    </row>
    <row r="31" spans="1:7" ht="29.25" customHeight="1" thickTop="1" thickBot="1" x14ac:dyDescent="0.3">
      <c r="A31" s="710">
        <v>18000000</v>
      </c>
      <c r="B31" s="710" t="s">
        <v>75</v>
      </c>
      <c r="C31" s="712">
        <f t="shared" si="1"/>
        <v>603959319</v>
      </c>
      <c r="D31" s="712">
        <f>SUM(D32,D43,D46)</f>
        <v>603959319</v>
      </c>
      <c r="E31" s="712"/>
      <c r="F31" s="712"/>
      <c r="G31" s="14"/>
    </row>
    <row r="32" spans="1:7" ht="16.5" thickTop="1" thickBot="1" x14ac:dyDescent="0.3">
      <c r="A32" s="713">
        <v>18010000</v>
      </c>
      <c r="B32" s="730" t="s">
        <v>76</v>
      </c>
      <c r="C32" s="717">
        <f>SUM(D32,E32)</f>
        <v>215861150</v>
      </c>
      <c r="D32" s="717">
        <f>SUM(D33:D42)</f>
        <v>215861150</v>
      </c>
      <c r="E32" s="717"/>
      <c r="F32" s="717"/>
      <c r="G32" s="14"/>
    </row>
    <row r="33" spans="1:7" ht="52.5" thickTop="1" thickBot="1" x14ac:dyDescent="0.3">
      <c r="A33" s="715">
        <v>18010100</v>
      </c>
      <c r="B33" s="731" t="s">
        <v>77</v>
      </c>
      <c r="C33" s="712">
        <f t="shared" si="1"/>
        <v>253400</v>
      </c>
      <c r="D33" s="718">
        <v>253400</v>
      </c>
      <c r="E33" s="718"/>
      <c r="F33" s="718"/>
      <c r="G33" s="14"/>
    </row>
    <row r="34" spans="1:7" ht="52.5" thickTop="1" thickBot="1" x14ac:dyDescent="0.3">
      <c r="A34" s="715">
        <v>18010200</v>
      </c>
      <c r="B34" s="731" t="s">
        <v>78</v>
      </c>
      <c r="C34" s="712">
        <f t="shared" si="1"/>
        <v>14364650</v>
      </c>
      <c r="D34" s="718">
        <v>14364650</v>
      </c>
      <c r="E34" s="718"/>
      <c r="F34" s="718"/>
      <c r="G34" s="14"/>
    </row>
    <row r="35" spans="1:7" ht="52.5" thickTop="1" thickBot="1" x14ac:dyDescent="0.3">
      <c r="A35" s="715">
        <v>18010300</v>
      </c>
      <c r="B35" s="731" t="s">
        <v>79</v>
      </c>
      <c r="C35" s="712">
        <f t="shared" si="1"/>
        <v>4316000</v>
      </c>
      <c r="D35" s="718">
        <f>(2316000)+2000000</f>
        <v>4316000</v>
      </c>
      <c r="E35" s="718"/>
      <c r="F35" s="718"/>
      <c r="G35" s="14"/>
    </row>
    <row r="36" spans="1:7" ht="52.5" thickTop="1" thickBot="1" x14ac:dyDescent="0.3">
      <c r="A36" s="715">
        <v>18010400</v>
      </c>
      <c r="B36" s="731" t="s">
        <v>80</v>
      </c>
      <c r="C36" s="712">
        <f t="shared" si="1"/>
        <v>13360800</v>
      </c>
      <c r="D36" s="718">
        <f>(12860800)+500000</f>
        <v>13360800</v>
      </c>
      <c r="E36" s="718"/>
      <c r="F36" s="718"/>
      <c r="G36" s="14"/>
    </row>
    <row r="37" spans="1:7" ht="16.5" thickTop="1" thickBot="1" x14ac:dyDescent="0.3">
      <c r="A37" s="715">
        <v>18010500</v>
      </c>
      <c r="B37" s="723" t="s">
        <v>81</v>
      </c>
      <c r="C37" s="712">
        <f t="shared" si="1"/>
        <v>39345000</v>
      </c>
      <c r="D37" s="718">
        <f>38400000+600000+345000</f>
        <v>39345000</v>
      </c>
      <c r="E37" s="718"/>
      <c r="F37" s="718"/>
      <c r="G37" s="14"/>
    </row>
    <row r="38" spans="1:7" ht="16.5" thickTop="1" thickBot="1" x14ac:dyDescent="0.3">
      <c r="A38" s="715">
        <v>18010600</v>
      </c>
      <c r="B38" s="731" t="s">
        <v>82</v>
      </c>
      <c r="C38" s="712">
        <f t="shared" si="1"/>
        <v>109504000</v>
      </c>
      <c r="D38" s="718">
        <f>107104000+2400000</f>
        <v>109504000</v>
      </c>
      <c r="E38" s="718"/>
      <c r="F38" s="718"/>
      <c r="G38" s="14"/>
    </row>
    <row r="39" spans="1:7" ht="16.5" thickTop="1" thickBot="1" x14ac:dyDescent="0.3">
      <c r="A39" s="715">
        <v>18010700</v>
      </c>
      <c r="B39" s="731" t="s">
        <v>83</v>
      </c>
      <c r="C39" s="712">
        <f t="shared" si="1"/>
        <v>2433200</v>
      </c>
      <c r="D39" s="718">
        <v>2433200</v>
      </c>
      <c r="E39" s="718"/>
      <c r="F39" s="718"/>
      <c r="G39" s="14"/>
    </row>
    <row r="40" spans="1:7" ht="16.5" thickTop="1" thickBot="1" x14ac:dyDescent="0.3">
      <c r="A40" s="715">
        <v>18010900</v>
      </c>
      <c r="B40" s="731" t="s">
        <v>84</v>
      </c>
      <c r="C40" s="712">
        <f t="shared" si="1"/>
        <v>31584100</v>
      </c>
      <c r="D40" s="718">
        <f>29984100+1600000</f>
        <v>31584100</v>
      </c>
      <c r="E40" s="718"/>
      <c r="F40" s="718"/>
      <c r="G40" s="14"/>
    </row>
    <row r="41" spans="1:7" ht="15.75" thickTop="1" thickBot="1" x14ac:dyDescent="0.25">
      <c r="A41" s="715">
        <v>18011000</v>
      </c>
      <c r="B41" s="731" t="s">
        <v>85</v>
      </c>
      <c r="C41" s="712">
        <f t="shared" si="1"/>
        <v>400000</v>
      </c>
      <c r="D41" s="718">
        <v>400000</v>
      </c>
      <c r="E41" s="718"/>
      <c r="F41" s="718"/>
      <c r="G41" s="15"/>
    </row>
    <row r="42" spans="1:7" ht="16.5" thickTop="1" thickBot="1" x14ac:dyDescent="0.3">
      <c r="A42" s="715">
        <v>18011100</v>
      </c>
      <c r="B42" s="731" t="s">
        <v>86</v>
      </c>
      <c r="C42" s="712">
        <f t="shared" si="1"/>
        <v>300000</v>
      </c>
      <c r="D42" s="718">
        <v>300000</v>
      </c>
      <c r="E42" s="718"/>
      <c r="F42" s="718"/>
      <c r="G42" s="14"/>
    </row>
    <row r="43" spans="1:7" ht="16.5" thickTop="1" thickBot="1" x14ac:dyDescent="0.3">
      <c r="A43" s="713">
        <v>18030000</v>
      </c>
      <c r="B43" s="730" t="s">
        <v>87</v>
      </c>
      <c r="C43" s="717">
        <f>SUM(D43,E43)</f>
        <v>720000</v>
      </c>
      <c r="D43" s="717">
        <f>SUM(D44:D45)</f>
        <v>720000</v>
      </c>
      <c r="E43" s="717"/>
      <c r="F43" s="717"/>
      <c r="G43" s="14"/>
    </row>
    <row r="44" spans="1:7" ht="27" thickTop="1" thickBot="1" x14ac:dyDescent="0.3">
      <c r="A44" s="715">
        <v>18030100</v>
      </c>
      <c r="B44" s="731" t="s">
        <v>88</v>
      </c>
      <c r="C44" s="712">
        <f>SUM(D44,E44)</f>
        <v>465000</v>
      </c>
      <c r="D44" s="718">
        <f>385000+80000</f>
        <v>465000</v>
      </c>
      <c r="E44" s="718"/>
      <c r="F44" s="718"/>
      <c r="G44" s="14"/>
    </row>
    <row r="45" spans="1:7" ht="27" thickTop="1" thickBot="1" x14ac:dyDescent="0.3">
      <c r="A45" s="715">
        <v>18030200</v>
      </c>
      <c r="B45" s="731" t="s">
        <v>89</v>
      </c>
      <c r="C45" s="712">
        <f>SUM(D45,E45)</f>
        <v>255000</v>
      </c>
      <c r="D45" s="718">
        <f>235000+20000</f>
        <v>255000</v>
      </c>
      <c r="E45" s="718"/>
      <c r="F45" s="718"/>
      <c r="G45" s="14"/>
    </row>
    <row r="46" spans="1:7" ht="16.5" thickTop="1" thickBot="1" x14ac:dyDescent="0.3">
      <c r="A46" s="713">
        <v>18050000</v>
      </c>
      <c r="B46" s="730" t="s">
        <v>90</v>
      </c>
      <c r="C46" s="717">
        <f>SUM(D46,E46)</f>
        <v>387378169</v>
      </c>
      <c r="D46" s="717">
        <f>SUM(D47:D49)</f>
        <v>387378169</v>
      </c>
      <c r="E46" s="728"/>
      <c r="F46" s="728"/>
      <c r="G46" s="14"/>
    </row>
    <row r="47" spans="1:7" ht="16.5" thickTop="1" thickBot="1" x14ac:dyDescent="0.3">
      <c r="A47" s="715">
        <v>18050300</v>
      </c>
      <c r="B47" s="716" t="s">
        <v>1376</v>
      </c>
      <c r="C47" s="712">
        <f t="shared" si="1"/>
        <v>71070000</v>
      </c>
      <c r="D47" s="718">
        <f>5500000+(65570000)</f>
        <v>71070000</v>
      </c>
      <c r="E47" s="718"/>
      <c r="F47" s="718"/>
      <c r="G47" s="14"/>
    </row>
    <row r="48" spans="1:7" ht="15.75" thickTop="1" thickBot="1" x14ac:dyDescent="0.25">
      <c r="A48" s="715">
        <v>18050400</v>
      </c>
      <c r="B48" s="731" t="s">
        <v>91</v>
      </c>
      <c r="C48" s="712">
        <f t="shared" si="1"/>
        <v>312296999</v>
      </c>
      <c r="D48" s="718">
        <f>9500000-3749500+(299857530+5000000)-178700+1867769-100</f>
        <v>312296999</v>
      </c>
      <c r="E48" s="718"/>
      <c r="F48" s="718"/>
      <c r="G48" s="15"/>
    </row>
    <row r="49" spans="1:7" ht="65.25" thickTop="1" thickBot="1" x14ac:dyDescent="0.25">
      <c r="A49" s="715">
        <v>18050500</v>
      </c>
      <c r="B49" s="731" t="s">
        <v>629</v>
      </c>
      <c r="C49" s="712">
        <f t="shared" si="1"/>
        <v>4011170</v>
      </c>
      <c r="D49" s="718">
        <v>4011170</v>
      </c>
      <c r="E49" s="718"/>
      <c r="F49" s="718"/>
      <c r="G49" s="152"/>
    </row>
    <row r="50" spans="1:7" ht="31.5" customHeight="1" thickTop="1" thickBot="1" x14ac:dyDescent="0.25">
      <c r="A50" s="710">
        <v>19000000</v>
      </c>
      <c r="B50" s="732" t="s">
        <v>622</v>
      </c>
      <c r="C50" s="712">
        <f t="shared" si="1"/>
        <v>630900</v>
      </c>
      <c r="D50" s="712"/>
      <c r="E50" s="712">
        <f>SUM(E52:E54)</f>
        <v>630900</v>
      </c>
      <c r="F50" s="718"/>
      <c r="G50" s="15"/>
    </row>
    <row r="51" spans="1:7" ht="16.5" thickTop="1" thickBot="1" x14ac:dyDescent="0.3">
      <c r="A51" s="713">
        <v>1901000</v>
      </c>
      <c r="B51" s="714" t="s">
        <v>92</v>
      </c>
      <c r="C51" s="717">
        <f t="shared" ref="C51:C55" si="3">SUM(D51,E51)</f>
        <v>630900</v>
      </c>
      <c r="D51" s="717">
        <f>SUM(D52:D54)</f>
        <v>0</v>
      </c>
      <c r="E51" s="717">
        <f>SUM(E52:E54)</f>
        <v>630900</v>
      </c>
      <c r="F51" s="717"/>
      <c r="G51" s="14"/>
    </row>
    <row r="52" spans="1:7" ht="65.25" thickTop="1" thickBot="1" x14ac:dyDescent="0.3">
      <c r="A52" s="715">
        <v>19010100</v>
      </c>
      <c r="B52" s="716" t="s">
        <v>623</v>
      </c>
      <c r="C52" s="712">
        <f t="shared" si="3"/>
        <v>255750</v>
      </c>
      <c r="D52" s="718"/>
      <c r="E52" s="718">
        <v>255750</v>
      </c>
      <c r="F52" s="718"/>
      <c r="G52" s="14"/>
    </row>
    <row r="53" spans="1:7" ht="27" thickTop="1" thickBot="1" x14ac:dyDescent="0.25">
      <c r="A53" s="715">
        <v>19010200</v>
      </c>
      <c r="B53" s="716" t="s">
        <v>93</v>
      </c>
      <c r="C53" s="712">
        <f t="shared" si="3"/>
        <v>120000</v>
      </c>
      <c r="D53" s="718"/>
      <c r="E53" s="718">
        <v>120000</v>
      </c>
      <c r="F53" s="718"/>
      <c r="G53" s="17"/>
    </row>
    <row r="54" spans="1:7" ht="52.5" thickTop="1" thickBot="1" x14ac:dyDescent="0.3">
      <c r="A54" s="715">
        <v>19010300</v>
      </c>
      <c r="B54" s="716" t="s">
        <v>94</v>
      </c>
      <c r="C54" s="712">
        <f t="shared" si="3"/>
        <v>255150</v>
      </c>
      <c r="D54" s="718"/>
      <c r="E54" s="718">
        <v>255150</v>
      </c>
      <c r="F54" s="718"/>
      <c r="G54" s="14"/>
    </row>
    <row r="55" spans="1:7" ht="30" customHeight="1" thickTop="1" thickBot="1" x14ac:dyDescent="0.3">
      <c r="A55" s="708">
        <v>20000000</v>
      </c>
      <c r="B55" s="708" t="s">
        <v>95</v>
      </c>
      <c r="C55" s="709">
        <f t="shared" si="3"/>
        <v>219495285</v>
      </c>
      <c r="D55" s="709">
        <f>SUM(D56,D64,D74,D79)</f>
        <v>54977964</v>
      </c>
      <c r="E55" s="709">
        <f>SUM(E56,E64,E74,E79)</f>
        <v>164517321</v>
      </c>
      <c r="F55" s="709">
        <f>SUM(F56,F64,F74,F79)</f>
        <v>5000012</v>
      </c>
      <c r="G55" s="14"/>
    </row>
    <row r="56" spans="1:7" ht="27" thickTop="1" thickBot="1" x14ac:dyDescent="0.3">
      <c r="A56" s="710">
        <v>21000000</v>
      </c>
      <c r="B56" s="710" t="s">
        <v>624</v>
      </c>
      <c r="C56" s="712">
        <f>SUM(D56,E56)</f>
        <v>16626004</v>
      </c>
      <c r="D56" s="712">
        <f>SUM(D57,D60,D59)</f>
        <v>16626004</v>
      </c>
      <c r="E56" s="712"/>
      <c r="F56" s="712"/>
      <c r="G56" s="14"/>
    </row>
    <row r="57" spans="1:7" ht="55.5" thickTop="1" thickBot="1" x14ac:dyDescent="0.3">
      <c r="A57" s="713">
        <v>21010000</v>
      </c>
      <c r="B57" s="725" t="s">
        <v>625</v>
      </c>
      <c r="C57" s="717">
        <f t="shared" si="1"/>
        <v>568800</v>
      </c>
      <c r="D57" s="717">
        <f>D58</f>
        <v>568800</v>
      </c>
      <c r="E57" s="717"/>
      <c r="F57" s="717"/>
      <c r="G57" s="14"/>
    </row>
    <row r="58" spans="1:7" ht="52.5" thickTop="1" thickBot="1" x14ac:dyDescent="0.3">
      <c r="A58" s="715">
        <v>21010300</v>
      </c>
      <c r="B58" s="723" t="s">
        <v>96</v>
      </c>
      <c r="C58" s="712">
        <f t="shared" si="1"/>
        <v>568800</v>
      </c>
      <c r="D58" s="718">
        <v>568800</v>
      </c>
      <c r="E58" s="718"/>
      <c r="F58" s="718"/>
      <c r="G58" s="14"/>
    </row>
    <row r="59" spans="1:7" ht="28.5" thickTop="1" thickBot="1" x14ac:dyDescent="0.3">
      <c r="A59" s="713">
        <v>21050000</v>
      </c>
      <c r="B59" s="725" t="s">
        <v>97</v>
      </c>
      <c r="C59" s="717">
        <f t="shared" si="1"/>
        <v>4000000</v>
      </c>
      <c r="D59" s="717">
        <f>2500000+1500000</f>
        <v>4000000</v>
      </c>
      <c r="E59" s="717"/>
      <c r="F59" s="717"/>
      <c r="G59" s="14"/>
    </row>
    <row r="60" spans="1:7" ht="15" thickTop="1" thickBot="1" x14ac:dyDescent="0.25">
      <c r="A60" s="713">
        <v>21080000</v>
      </c>
      <c r="B60" s="725" t="s">
        <v>1377</v>
      </c>
      <c r="C60" s="717">
        <f t="shared" ref="C60:C65" si="4">SUM(D60,E60)</f>
        <v>12057204</v>
      </c>
      <c r="D60" s="719">
        <f>SUM(D61:D63)</f>
        <v>12057204</v>
      </c>
      <c r="E60" s="717"/>
      <c r="F60" s="717"/>
      <c r="G60" s="17"/>
    </row>
    <row r="61" spans="1:7" ht="16.5" thickTop="1" thickBot="1" x14ac:dyDescent="0.3">
      <c r="A61" s="715">
        <v>21081100</v>
      </c>
      <c r="B61" s="733" t="s">
        <v>98</v>
      </c>
      <c r="C61" s="712">
        <f t="shared" si="4"/>
        <v>1007204</v>
      </c>
      <c r="D61" s="720">
        <f>507204+500000</f>
        <v>1007204</v>
      </c>
      <c r="E61" s="718"/>
      <c r="F61" s="718"/>
      <c r="G61" s="14"/>
    </row>
    <row r="62" spans="1:7" ht="52.5" thickTop="1" thickBot="1" x14ac:dyDescent="0.3">
      <c r="A62" s="715">
        <v>21081500</v>
      </c>
      <c r="B62" s="716" t="s">
        <v>99</v>
      </c>
      <c r="C62" s="712">
        <f t="shared" si="4"/>
        <v>1550000</v>
      </c>
      <c r="D62" s="718">
        <f>800000+750000</f>
        <v>1550000</v>
      </c>
      <c r="E62" s="718"/>
      <c r="F62" s="718"/>
      <c r="G62" s="14"/>
    </row>
    <row r="63" spans="1:7" ht="16.5" thickTop="1" thickBot="1" x14ac:dyDescent="0.3">
      <c r="A63" s="715">
        <v>21081700</v>
      </c>
      <c r="B63" s="716" t="s">
        <v>401</v>
      </c>
      <c r="C63" s="712">
        <f t="shared" si="4"/>
        <v>9500000</v>
      </c>
      <c r="D63" s="720">
        <v>9500000</v>
      </c>
      <c r="E63" s="718"/>
      <c r="F63" s="718"/>
      <c r="G63" s="49"/>
    </row>
    <row r="64" spans="1:7" ht="39.75" thickTop="1" thickBot="1" x14ac:dyDescent="0.3">
      <c r="A64" s="710">
        <v>22000000</v>
      </c>
      <c r="B64" s="710" t="s">
        <v>100</v>
      </c>
      <c r="C64" s="712">
        <f t="shared" si="4"/>
        <v>31391960</v>
      </c>
      <c r="D64" s="712">
        <f>SUM(D65,D69,D71)</f>
        <v>31391960</v>
      </c>
      <c r="E64" s="718"/>
      <c r="F64" s="718"/>
      <c r="G64" s="14"/>
    </row>
    <row r="65" spans="1:7" ht="24.75" customHeight="1" thickTop="1" thickBot="1" x14ac:dyDescent="0.3">
      <c r="A65" s="713">
        <v>22010000</v>
      </c>
      <c r="B65" s="714" t="s">
        <v>626</v>
      </c>
      <c r="C65" s="717">
        <f t="shared" si="4"/>
        <v>20380100</v>
      </c>
      <c r="D65" s="717">
        <f>SUM(D66:D68)</f>
        <v>20380100</v>
      </c>
      <c r="E65" s="717"/>
      <c r="F65" s="717"/>
      <c r="G65" s="14"/>
    </row>
    <row r="66" spans="1:7" ht="52.5" thickTop="1" thickBot="1" x14ac:dyDescent="0.3">
      <c r="A66" s="715">
        <v>22010300</v>
      </c>
      <c r="B66" s="716" t="s">
        <v>161</v>
      </c>
      <c r="C66" s="712">
        <f t="shared" si="1"/>
        <v>1000000</v>
      </c>
      <c r="D66" s="718">
        <v>1000000</v>
      </c>
      <c r="E66" s="718"/>
      <c r="F66" s="718"/>
      <c r="G66" s="14"/>
    </row>
    <row r="67" spans="1:7" ht="27" thickTop="1" thickBot="1" x14ac:dyDescent="0.3">
      <c r="A67" s="715">
        <v>22012500</v>
      </c>
      <c r="B67" s="716" t="s">
        <v>102</v>
      </c>
      <c r="C67" s="712">
        <f t="shared" si="1"/>
        <v>17852400</v>
      </c>
      <c r="D67" s="718">
        <f>16852400+1000000</f>
        <v>17852400</v>
      </c>
      <c r="E67" s="718"/>
      <c r="F67" s="718"/>
      <c r="G67" s="14"/>
    </row>
    <row r="68" spans="1:7" ht="39.75" thickTop="1" thickBot="1" x14ac:dyDescent="0.3">
      <c r="A68" s="715">
        <v>22012600</v>
      </c>
      <c r="B68" s="716" t="s">
        <v>101</v>
      </c>
      <c r="C68" s="712">
        <f>SUM(D68,E68)</f>
        <v>1527700</v>
      </c>
      <c r="D68" s="718">
        <v>1527700</v>
      </c>
      <c r="E68" s="718"/>
      <c r="F68" s="718"/>
      <c r="G68" s="14"/>
    </row>
    <row r="69" spans="1:7" ht="55.5" thickTop="1" thickBot="1" x14ac:dyDescent="0.3">
      <c r="A69" s="713">
        <v>2208000</v>
      </c>
      <c r="B69" s="714" t="s">
        <v>627</v>
      </c>
      <c r="C69" s="717">
        <f t="shared" si="1"/>
        <v>10500000</v>
      </c>
      <c r="D69" s="717">
        <f>D70</f>
        <v>10500000</v>
      </c>
      <c r="E69" s="717"/>
      <c r="F69" s="717"/>
      <c r="G69" s="14"/>
    </row>
    <row r="70" spans="1:7" ht="52.5" thickTop="1" thickBot="1" x14ac:dyDescent="0.3">
      <c r="A70" s="715">
        <v>22080400</v>
      </c>
      <c r="B70" s="733" t="s">
        <v>103</v>
      </c>
      <c r="C70" s="712">
        <f t="shared" si="1"/>
        <v>10500000</v>
      </c>
      <c r="D70" s="718">
        <f>8500000+2000000</f>
        <v>10500000</v>
      </c>
      <c r="E70" s="718"/>
      <c r="F70" s="718"/>
      <c r="G70" s="14"/>
    </row>
    <row r="71" spans="1:7" ht="16.5" thickTop="1" thickBot="1" x14ac:dyDescent="0.3">
      <c r="A71" s="713">
        <v>22090000</v>
      </c>
      <c r="B71" s="736" t="s">
        <v>104</v>
      </c>
      <c r="C71" s="717">
        <f t="shared" si="1"/>
        <v>511860</v>
      </c>
      <c r="D71" s="717">
        <f>SUM(D72:D73)</f>
        <v>511860</v>
      </c>
      <c r="E71" s="717"/>
      <c r="F71" s="717"/>
      <c r="G71" s="14"/>
    </row>
    <row r="72" spans="1:7" ht="52.5" thickTop="1" thickBot="1" x14ac:dyDescent="0.3">
      <c r="A72" s="715">
        <v>22090100</v>
      </c>
      <c r="B72" s="731" t="s">
        <v>105</v>
      </c>
      <c r="C72" s="712">
        <f t="shared" si="1"/>
        <v>400260</v>
      </c>
      <c r="D72" s="718">
        <v>400260</v>
      </c>
      <c r="E72" s="718"/>
      <c r="F72" s="718"/>
      <c r="G72" s="14"/>
    </row>
    <row r="73" spans="1:7" ht="39.75" thickTop="1" thickBot="1" x14ac:dyDescent="0.25">
      <c r="A73" s="715">
        <v>22090400</v>
      </c>
      <c r="B73" s="731" t="s">
        <v>106</v>
      </c>
      <c r="C73" s="712">
        <f t="shared" si="1"/>
        <v>111600</v>
      </c>
      <c r="D73" s="718">
        <v>111600</v>
      </c>
      <c r="E73" s="718"/>
      <c r="F73" s="718"/>
      <c r="G73" s="16"/>
    </row>
    <row r="74" spans="1:7" ht="27" customHeight="1" thickTop="1" thickBot="1" x14ac:dyDescent="0.3">
      <c r="A74" s="710">
        <v>24000000</v>
      </c>
      <c r="B74" s="737" t="s">
        <v>107</v>
      </c>
      <c r="C74" s="712">
        <f t="shared" si="1"/>
        <v>11960012</v>
      </c>
      <c r="D74" s="727">
        <f>D75+D76+D78+D77</f>
        <v>6960000</v>
      </c>
      <c r="E74" s="727">
        <f>E75+E76+E78+E77</f>
        <v>5000012</v>
      </c>
      <c r="F74" s="727">
        <f>F75+F76+F78+F77</f>
        <v>5000012</v>
      </c>
      <c r="G74" s="14"/>
    </row>
    <row r="75" spans="1:7" ht="16.5" thickTop="1" thickBot="1" x14ac:dyDescent="0.3">
      <c r="A75" s="715">
        <v>24060300</v>
      </c>
      <c r="B75" s="716" t="s">
        <v>108</v>
      </c>
      <c r="C75" s="712">
        <f t="shared" si="1"/>
        <v>4500000</v>
      </c>
      <c r="D75" s="720">
        <v>4500000</v>
      </c>
      <c r="E75" s="720"/>
      <c r="F75" s="720"/>
      <c r="G75" s="14"/>
    </row>
    <row r="76" spans="1:7" ht="78" thickTop="1" thickBot="1" x14ac:dyDescent="0.3">
      <c r="A76" s="715">
        <v>24062200</v>
      </c>
      <c r="B76" s="716" t="s">
        <v>402</v>
      </c>
      <c r="C76" s="712">
        <f t="shared" si="1"/>
        <v>2460000</v>
      </c>
      <c r="D76" s="720">
        <v>2460000</v>
      </c>
      <c r="E76" s="720"/>
      <c r="F76" s="720"/>
      <c r="G76" s="14"/>
    </row>
    <row r="77" spans="1:7" ht="39.75" thickTop="1" thickBot="1" x14ac:dyDescent="0.3">
      <c r="A77" s="715">
        <v>24110700</v>
      </c>
      <c r="B77" s="738" t="s">
        <v>721</v>
      </c>
      <c r="C77" s="712">
        <f t="shared" si="1"/>
        <v>12</v>
      </c>
      <c r="D77" s="720"/>
      <c r="E77" s="720">
        <v>12</v>
      </c>
      <c r="F77" s="720">
        <v>12</v>
      </c>
      <c r="G77" s="14"/>
    </row>
    <row r="78" spans="1:7" ht="39.75" thickTop="1" thickBot="1" x14ac:dyDescent="0.25">
      <c r="A78" s="715">
        <v>24170000</v>
      </c>
      <c r="B78" s="723" t="s">
        <v>109</v>
      </c>
      <c r="C78" s="712">
        <f t="shared" ref="C78:C84" si="5">SUM(D78,E78)</f>
        <v>5000000</v>
      </c>
      <c r="D78" s="720"/>
      <c r="E78" s="720">
        <v>5000000</v>
      </c>
      <c r="F78" s="720">
        <v>5000000</v>
      </c>
      <c r="G78" s="15"/>
    </row>
    <row r="79" spans="1:7" ht="16.5" thickTop="1" thickBot="1" x14ac:dyDescent="0.3">
      <c r="A79" s="710">
        <v>25000000</v>
      </c>
      <c r="B79" s="711" t="s">
        <v>110</v>
      </c>
      <c r="C79" s="712">
        <f t="shared" si="5"/>
        <v>159517309</v>
      </c>
      <c r="D79" s="727">
        <f>SUM(D80:D84,)</f>
        <v>0</v>
      </c>
      <c r="E79" s="727">
        <f>SUM(E80)</f>
        <v>159517309</v>
      </c>
      <c r="F79" s="727"/>
      <c r="G79" s="14"/>
    </row>
    <row r="80" spans="1:7" ht="42" thickTop="1" thickBot="1" x14ac:dyDescent="0.3">
      <c r="A80" s="713">
        <v>25010000</v>
      </c>
      <c r="B80" s="725" t="s">
        <v>111</v>
      </c>
      <c r="C80" s="717">
        <f t="shared" si="5"/>
        <v>159517309</v>
      </c>
      <c r="D80" s="719">
        <v>0</v>
      </c>
      <c r="E80" s="719">
        <f>SUM(E81:E84)</f>
        <v>159517309</v>
      </c>
      <c r="F80" s="719"/>
      <c r="G80" s="14"/>
    </row>
    <row r="81" spans="1:7" ht="39.75" thickTop="1" thickBot="1" x14ac:dyDescent="0.3">
      <c r="A81" s="715">
        <v>25010100</v>
      </c>
      <c r="B81" s="723" t="s">
        <v>112</v>
      </c>
      <c r="C81" s="712">
        <f t="shared" si="5"/>
        <v>146284599</v>
      </c>
      <c r="D81" s="720"/>
      <c r="E81" s="720">
        <f>144438629+1845970</f>
        <v>146284599</v>
      </c>
      <c r="F81" s="720"/>
      <c r="G81" s="14"/>
    </row>
    <row r="82" spans="1:7" ht="27" thickTop="1" thickBot="1" x14ac:dyDescent="0.3">
      <c r="A82" s="715">
        <v>25010200</v>
      </c>
      <c r="B82" s="723" t="s">
        <v>113</v>
      </c>
      <c r="C82" s="712">
        <f t="shared" si="5"/>
        <v>10981944</v>
      </c>
      <c r="D82" s="720"/>
      <c r="E82" s="720">
        <f>10585664+396280</f>
        <v>10981944</v>
      </c>
      <c r="F82" s="720"/>
      <c r="G82" s="14"/>
    </row>
    <row r="83" spans="1:7" ht="16.5" thickTop="1" thickBot="1" x14ac:dyDescent="0.3">
      <c r="A83" s="715">
        <v>25010300</v>
      </c>
      <c r="B83" s="723" t="s">
        <v>114</v>
      </c>
      <c r="C83" s="712">
        <f t="shared" si="5"/>
        <v>2197266</v>
      </c>
      <c r="D83" s="720"/>
      <c r="E83" s="720">
        <v>2197266</v>
      </c>
      <c r="F83" s="720"/>
      <c r="G83" s="14"/>
    </row>
    <row r="84" spans="1:7" ht="39.75" thickTop="1" thickBot="1" x14ac:dyDescent="0.3">
      <c r="A84" s="715">
        <v>25010400</v>
      </c>
      <c r="B84" s="723" t="s">
        <v>115</v>
      </c>
      <c r="C84" s="712">
        <f t="shared" si="5"/>
        <v>53500</v>
      </c>
      <c r="D84" s="720"/>
      <c r="E84" s="720">
        <v>53500</v>
      </c>
      <c r="F84" s="720"/>
      <c r="G84" s="14"/>
    </row>
    <row r="85" spans="1:7" ht="29.25" customHeight="1" thickTop="1" thickBot="1" x14ac:dyDescent="0.25">
      <c r="A85" s="708">
        <v>30000000</v>
      </c>
      <c r="B85" s="708" t="s">
        <v>116</v>
      </c>
      <c r="C85" s="709">
        <f t="shared" si="1"/>
        <v>25947343</v>
      </c>
      <c r="D85" s="709">
        <f>SUM(D86)+D90</f>
        <v>25000</v>
      </c>
      <c r="E85" s="709">
        <f>SUM(E86)+E90</f>
        <v>25922343</v>
      </c>
      <c r="F85" s="709">
        <f>SUM(F89:F90)</f>
        <v>25922343</v>
      </c>
      <c r="G85" s="16"/>
    </row>
    <row r="86" spans="1:7" ht="27" customHeight="1" thickTop="1" thickBot="1" x14ac:dyDescent="0.3">
      <c r="A86" s="710">
        <v>31000000</v>
      </c>
      <c r="B86" s="710" t="s">
        <v>117</v>
      </c>
      <c r="C86" s="712">
        <f>SUM(D86,E86)</f>
        <v>10710000</v>
      </c>
      <c r="D86" s="712">
        <f>D87+D89</f>
        <v>25000</v>
      </c>
      <c r="E86" s="712">
        <f>E87+E89</f>
        <v>10685000</v>
      </c>
      <c r="F86" s="712">
        <f>F87+F89</f>
        <v>10685000</v>
      </c>
      <c r="G86" s="14"/>
    </row>
    <row r="87" spans="1:7" ht="82.5" thickTop="1" thickBot="1" x14ac:dyDescent="0.3">
      <c r="A87" s="713">
        <v>3101000</v>
      </c>
      <c r="B87" s="714" t="s">
        <v>628</v>
      </c>
      <c r="C87" s="717">
        <f>SUM(D87,E87)</f>
        <v>25000</v>
      </c>
      <c r="D87" s="719">
        <f>D88</f>
        <v>25000</v>
      </c>
      <c r="E87" s="717"/>
      <c r="F87" s="717"/>
      <c r="G87" s="14"/>
    </row>
    <row r="88" spans="1:7" ht="78" thickTop="1" thickBot="1" x14ac:dyDescent="0.3">
      <c r="A88" s="715">
        <v>31010200</v>
      </c>
      <c r="B88" s="723" t="s">
        <v>118</v>
      </c>
      <c r="C88" s="712">
        <f>SUM(D88,E88)</f>
        <v>25000</v>
      </c>
      <c r="D88" s="720">
        <v>25000</v>
      </c>
      <c r="E88" s="720"/>
      <c r="F88" s="720"/>
      <c r="G88" s="14"/>
    </row>
    <row r="89" spans="1:7" ht="55.5" thickTop="1" thickBot="1" x14ac:dyDescent="0.3">
      <c r="A89" s="713">
        <v>31030000</v>
      </c>
      <c r="B89" s="725" t="s">
        <v>119</v>
      </c>
      <c r="C89" s="719">
        <f t="shared" si="1"/>
        <v>10685000</v>
      </c>
      <c r="D89" s="719"/>
      <c r="E89" s="719">
        <f>3685000+7000000</f>
        <v>10685000</v>
      </c>
      <c r="F89" s="719">
        <f>3685000+7000000</f>
        <v>10685000</v>
      </c>
      <c r="G89" s="14"/>
    </row>
    <row r="90" spans="1:7" ht="27" thickTop="1" thickBot="1" x14ac:dyDescent="0.3">
      <c r="A90" s="710">
        <v>33000000</v>
      </c>
      <c r="B90" s="710" t="s">
        <v>120</v>
      </c>
      <c r="C90" s="712">
        <f t="shared" si="1"/>
        <v>15237343</v>
      </c>
      <c r="D90" s="717"/>
      <c r="E90" s="717">
        <f>SUM(E91)</f>
        <v>15237343</v>
      </c>
      <c r="F90" s="717">
        <f>SUM(F91)</f>
        <v>15237343</v>
      </c>
      <c r="G90" s="14"/>
    </row>
    <row r="91" spans="1:7" ht="16.5" thickTop="1" thickBot="1" x14ac:dyDescent="0.3">
      <c r="A91" s="713">
        <v>33010000</v>
      </c>
      <c r="B91" s="714" t="s">
        <v>121</v>
      </c>
      <c r="C91" s="717">
        <f>SUM(D91,E91)</f>
        <v>15237343</v>
      </c>
      <c r="D91" s="717"/>
      <c r="E91" s="717">
        <f>SUM(E92,E93)</f>
        <v>15237343</v>
      </c>
      <c r="F91" s="717">
        <f>SUM(F92,F93)</f>
        <v>15237343</v>
      </c>
      <c r="G91" s="14"/>
    </row>
    <row r="92" spans="1:7" ht="52.5" thickTop="1" thickBot="1" x14ac:dyDescent="0.3">
      <c r="A92" s="715">
        <v>33010100</v>
      </c>
      <c r="B92" s="723" t="s">
        <v>368</v>
      </c>
      <c r="C92" s="727">
        <f t="shared" si="1"/>
        <v>13977846</v>
      </c>
      <c r="D92" s="720"/>
      <c r="E92" s="720">
        <f>11477846+2500000</f>
        <v>13977846</v>
      </c>
      <c r="F92" s="720">
        <f>11477846+2500000</f>
        <v>13977846</v>
      </c>
      <c r="G92" s="14"/>
    </row>
    <row r="93" spans="1:7" ht="52.5" thickTop="1" thickBot="1" x14ac:dyDescent="0.3">
      <c r="A93" s="715">
        <v>33010200</v>
      </c>
      <c r="B93" s="723" t="s">
        <v>122</v>
      </c>
      <c r="C93" s="727">
        <f>SUM(D93,E93)</f>
        <v>1259497</v>
      </c>
      <c r="D93" s="720"/>
      <c r="E93" s="720">
        <f>1259497</f>
        <v>1259497</v>
      </c>
      <c r="F93" s="720">
        <f>1259497</f>
        <v>1259497</v>
      </c>
      <c r="G93" s="14"/>
    </row>
    <row r="94" spans="1:7" ht="27" customHeight="1" thickTop="1" thickBot="1" x14ac:dyDescent="0.3">
      <c r="A94" s="708">
        <v>50000000</v>
      </c>
      <c r="B94" s="708" t="s">
        <v>532</v>
      </c>
      <c r="C94" s="709">
        <f>SUM(D94,E94)</f>
        <v>7001200</v>
      </c>
      <c r="D94" s="709"/>
      <c r="E94" s="709">
        <f>SUM(E95)</f>
        <v>7001200</v>
      </c>
      <c r="F94" s="709"/>
      <c r="G94" s="14"/>
    </row>
    <row r="95" spans="1:7" ht="52.5" thickTop="1" thickBot="1" x14ac:dyDescent="0.3">
      <c r="A95" s="710">
        <v>50110000</v>
      </c>
      <c r="B95" s="724" t="s">
        <v>123</v>
      </c>
      <c r="C95" s="712">
        <f t="shared" ref="C95:C128" si="6">SUM(D95,E95)</f>
        <v>7001200</v>
      </c>
      <c r="D95" s="718"/>
      <c r="E95" s="712">
        <f>6501200+500000</f>
        <v>7001200</v>
      </c>
      <c r="F95" s="718"/>
      <c r="G95" s="14"/>
    </row>
    <row r="96" spans="1:7" ht="45.75" customHeight="1" thickTop="1" thickBot="1" x14ac:dyDescent="0.25">
      <c r="A96" s="739"/>
      <c r="B96" s="742" t="s">
        <v>533</v>
      </c>
      <c r="C96" s="740">
        <f t="shared" ref="C96:C101" si="7">SUM(D96,E96)</f>
        <v>2564743975</v>
      </c>
      <c r="D96" s="741">
        <f>D94+D85+D55+D11</f>
        <v>2366672211</v>
      </c>
      <c r="E96" s="741">
        <f>E94+E85+E55+E11</f>
        <v>198071764</v>
      </c>
      <c r="F96" s="741">
        <f>F94+F85+F55+F11</f>
        <v>30922355</v>
      </c>
      <c r="G96" s="15"/>
    </row>
    <row r="97" spans="1:7" ht="34.5" customHeight="1" thickTop="1" thickBot="1" x14ac:dyDescent="0.25">
      <c r="A97" s="708">
        <v>40000000</v>
      </c>
      <c r="B97" s="708" t="s">
        <v>455</v>
      </c>
      <c r="C97" s="709">
        <f t="shared" si="7"/>
        <v>876095812.30999994</v>
      </c>
      <c r="D97" s="709">
        <f>SUM(D100,D98)</f>
        <v>849725812.30999994</v>
      </c>
      <c r="E97" s="709">
        <f>SUM(E100,E98)</f>
        <v>26370000</v>
      </c>
      <c r="F97" s="709">
        <f>SUM(F100,F98)</f>
        <v>24670000</v>
      </c>
      <c r="G97" s="15"/>
    </row>
    <row r="98" spans="1:7" ht="27" thickTop="1" thickBot="1" x14ac:dyDescent="0.25">
      <c r="A98" s="710">
        <v>41040000</v>
      </c>
      <c r="B98" s="729" t="s">
        <v>370</v>
      </c>
      <c r="C98" s="712">
        <f t="shared" si="7"/>
        <v>12117934</v>
      </c>
      <c r="D98" s="727">
        <f>D99</f>
        <v>12117934</v>
      </c>
      <c r="E98" s="727"/>
      <c r="F98" s="727"/>
      <c r="G98" s="15"/>
    </row>
    <row r="99" spans="1:7" ht="65.25" thickTop="1" thickBot="1" x14ac:dyDescent="0.25">
      <c r="A99" s="715">
        <v>41040200</v>
      </c>
      <c r="B99" s="723" t="s">
        <v>369</v>
      </c>
      <c r="C99" s="712">
        <f t="shared" si="7"/>
        <v>12117934</v>
      </c>
      <c r="D99" s="720">
        <v>12117934</v>
      </c>
      <c r="E99" s="727"/>
      <c r="F99" s="727"/>
      <c r="G99" s="15"/>
    </row>
    <row r="100" spans="1:7" ht="23.25" customHeight="1" thickTop="1" thickBot="1" x14ac:dyDescent="0.25">
      <c r="A100" s="710">
        <v>41000000</v>
      </c>
      <c r="B100" s="710" t="s">
        <v>124</v>
      </c>
      <c r="C100" s="712">
        <f t="shared" si="7"/>
        <v>863977878.30999994</v>
      </c>
      <c r="D100" s="727">
        <f>SUM(D101,D109)</f>
        <v>837607878.30999994</v>
      </c>
      <c r="E100" s="727">
        <f>SUM(E101,E109)</f>
        <v>26370000</v>
      </c>
      <c r="F100" s="727">
        <f>SUM(F101,F109)</f>
        <v>24670000</v>
      </c>
      <c r="G100" s="15"/>
    </row>
    <row r="101" spans="1:7" ht="27" thickTop="1" thickBot="1" x14ac:dyDescent="0.3">
      <c r="A101" s="710">
        <v>41030000</v>
      </c>
      <c r="B101" s="711" t="s">
        <v>470</v>
      </c>
      <c r="C101" s="712">
        <f t="shared" si="7"/>
        <v>780599835</v>
      </c>
      <c r="D101" s="727">
        <f>SUM(D102:D108)</f>
        <v>779429835</v>
      </c>
      <c r="E101" s="727">
        <f>SUM(E102:E108)</f>
        <v>1170000</v>
      </c>
      <c r="F101" s="727">
        <f>SUM(F102:F108)</f>
        <v>1170000</v>
      </c>
      <c r="G101" s="14"/>
    </row>
    <row r="102" spans="1:7" ht="52.5" thickTop="1" thickBot="1" x14ac:dyDescent="0.3">
      <c r="A102" s="715">
        <v>41032300</v>
      </c>
      <c r="B102" s="716" t="s">
        <v>1282</v>
      </c>
      <c r="C102" s="712">
        <f t="shared" si="6"/>
        <v>45000000</v>
      </c>
      <c r="D102" s="720">
        <f>25000000+20000000</f>
        <v>45000000</v>
      </c>
      <c r="E102" s="727"/>
      <c r="F102" s="720"/>
      <c r="G102" s="14"/>
    </row>
    <row r="103" spans="1:7" ht="52.5" thickTop="1" thickBot="1" x14ac:dyDescent="0.3">
      <c r="A103" s="715">
        <v>41033800</v>
      </c>
      <c r="B103" s="716" t="s">
        <v>1379</v>
      </c>
      <c r="C103" s="712">
        <f t="shared" si="6"/>
        <v>2520000</v>
      </c>
      <c r="D103" s="720">
        <v>2520000</v>
      </c>
      <c r="E103" s="727"/>
      <c r="F103" s="720"/>
      <c r="G103" s="14"/>
    </row>
    <row r="104" spans="1:7" ht="27" thickTop="1" thickBot="1" x14ac:dyDescent="0.3">
      <c r="A104" s="715">
        <v>41033900</v>
      </c>
      <c r="B104" s="716" t="s">
        <v>125</v>
      </c>
      <c r="C104" s="712">
        <f t="shared" si="6"/>
        <v>623112400</v>
      </c>
      <c r="D104" s="718">
        <v>623112400</v>
      </c>
      <c r="E104" s="720"/>
      <c r="F104" s="720"/>
      <c r="G104" s="14"/>
    </row>
    <row r="105" spans="1:7" ht="52.5" thickTop="1" thickBot="1" x14ac:dyDescent="0.3">
      <c r="A105" s="715">
        <v>41034500</v>
      </c>
      <c r="B105" s="716" t="s">
        <v>1380</v>
      </c>
      <c r="C105" s="712">
        <f t="shared" si="6"/>
        <v>4190000</v>
      </c>
      <c r="D105" s="720">
        <f>1820000+1200000</f>
        <v>3020000</v>
      </c>
      <c r="E105" s="720">
        <v>1170000</v>
      </c>
      <c r="F105" s="720">
        <v>1170000</v>
      </c>
      <c r="G105" s="14"/>
    </row>
    <row r="106" spans="1:7" ht="65.25" thickTop="1" thickBot="1" x14ac:dyDescent="0.3">
      <c r="A106" s="715">
        <v>41035500</v>
      </c>
      <c r="B106" s="716" t="s">
        <v>1284</v>
      </c>
      <c r="C106" s="712">
        <f t="shared" si="6"/>
        <v>250000</v>
      </c>
      <c r="D106" s="718">
        <v>250000</v>
      </c>
      <c r="E106" s="720"/>
      <c r="F106" s="720"/>
      <c r="G106" s="14"/>
    </row>
    <row r="107" spans="1:7" ht="65.25" thickTop="1" thickBot="1" x14ac:dyDescent="0.3">
      <c r="A107" s="715">
        <v>41035600</v>
      </c>
      <c r="B107" s="716" t="s">
        <v>1325</v>
      </c>
      <c r="C107" s="712">
        <f t="shared" si="6"/>
        <v>2571595</v>
      </c>
      <c r="D107" s="718">
        <v>2571595</v>
      </c>
      <c r="E107" s="720"/>
      <c r="F107" s="720"/>
      <c r="G107" s="14"/>
    </row>
    <row r="108" spans="1:7" ht="42.75" customHeight="1" thickTop="1" thickBot="1" x14ac:dyDescent="0.3">
      <c r="A108" s="715">
        <v>41035700</v>
      </c>
      <c r="B108" s="716" t="s">
        <v>1271</v>
      </c>
      <c r="C108" s="712">
        <f t="shared" si="6"/>
        <v>102955840</v>
      </c>
      <c r="D108" s="718">
        <f>70000000+32955840</f>
        <v>102955840</v>
      </c>
      <c r="E108" s="720"/>
      <c r="F108" s="720"/>
      <c r="G108" s="14"/>
    </row>
    <row r="109" spans="1:7" ht="36.75" customHeight="1" thickTop="1" thickBot="1" x14ac:dyDescent="0.3">
      <c r="A109" s="710">
        <v>41050000</v>
      </c>
      <c r="B109" s="711" t="s">
        <v>517</v>
      </c>
      <c r="C109" s="712">
        <f t="shared" ref="C109:C116" si="8">SUM(D109,E109)</f>
        <v>83378043.310000002</v>
      </c>
      <c r="D109" s="712">
        <f>SUM(D110:D122)</f>
        <v>58178043.310000002</v>
      </c>
      <c r="E109" s="712">
        <f>SUM(E110:E122)</f>
        <v>25200000</v>
      </c>
      <c r="F109" s="712">
        <f>SUM(F110:F122)</f>
        <v>23500000</v>
      </c>
      <c r="G109" s="14"/>
    </row>
    <row r="110" spans="1:7" ht="282" thickTop="1" thickBot="1" x14ac:dyDescent="0.3">
      <c r="A110" s="715">
        <v>41050400</v>
      </c>
      <c r="B110" s="716" t="s">
        <v>1381</v>
      </c>
      <c r="C110" s="712">
        <f t="shared" si="8"/>
        <v>11298891.529999999</v>
      </c>
      <c r="D110" s="718">
        <v>11298891.529999999</v>
      </c>
      <c r="E110" s="720"/>
      <c r="F110" s="720"/>
      <c r="G110" s="14"/>
    </row>
    <row r="111" spans="1:7" ht="243.75" thickTop="1" thickBot="1" x14ac:dyDescent="0.3">
      <c r="A111" s="715">
        <v>41050500</v>
      </c>
      <c r="B111" s="716" t="s">
        <v>1382</v>
      </c>
      <c r="C111" s="712">
        <f t="shared" si="8"/>
        <v>1093438.78</v>
      </c>
      <c r="D111" s="718">
        <v>1093438.78</v>
      </c>
      <c r="E111" s="720"/>
      <c r="F111" s="720"/>
      <c r="G111" s="14"/>
    </row>
    <row r="112" spans="1:7" ht="345.75" thickTop="1" thickBot="1" x14ac:dyDescent="0.3">
      <c r="A112" s="715">
        <v>41050600</v>
      </c>
      <c r="B112" s="716" t="s">
        <v>1383</v>
      </c>
      <c r="C112" s="712">
        <f t="shared" si="8"/>
        <v>1751965</v>
      </c>
      <c r="D112" s="718">
        <v>1751965</v>
      </c>
      <c r="E112" s="720"/>
      <c r="F112" s="720"/>
      <c r="G112" s="14"/>
    </row>
    <row r="113" spans="1:7" ht="129" thickTop="1" thickBot="1" x14ac:dyDescent="0.3">
      <c r="A113" s="715">
        <v>41050900</v>
      </c>
      <c r="B113" s="716" t="s">
        <v>1384</v>
      </c>
      <c r="C113" s="712">
        <f t="shared" si="8"/>
        <v>3200078</v>
      </c>
      <c r="D113" s="718">
        <f>3577034-376956</f>
        <v>3200078</v>
      </c>
      <c r="E113" s="720"/>
      <c r="F113" s="720"/>
      <c r="G113" s="14"/>
    </row>
    <row r="114" spans="1:7" ht="39.75" thickTop="1" thickBot="1" x14ac:dyDescent="0.3">
      <c r="A114" s="715">
        <v>41051000</v>
      </c>
      <c r="B114" s="716" t="s">
        <v>518</v>
      </c>
      <c r="C114" s="712">
        <f t="shared" si="8"/>
        <v>7340558</v>
      </c>
      <c r="D114" s="718">
        <v>7340558</v>
      </c>
      <c r="E114" s="720"/>
      <c r="F114" s="720"/>
      <c r="G114" s="14"/>
    </row>
    <row r="115" spans="1:7" ht="52.5" thickTop="1" thickBot="1" x14ac:dyDescent="0.3">
      <c r="A115" s="715">
        <v>41051200</v>
      </c>
      <c r="B115" s="716" t="s">
        <v>769</v>
      </c>
      <c r="C115" s="712">
        <f t="shared" si="8"/>
        <v>7118182</v>
      </c>
      <c r="D115" s="718">
        <v>7118182</v>
      </c>
      <c r="E115" s="720"/>
      <c r="F115" s="720"/>
      <c r="G115" s="14"/>
    </row>
    <row r="116" spans="1:7" ht="65.25" thickTop="1" thickBot="1" x14ac:dyDescent="0.3">
      <c r="A116" s="715">
        <v>41051400</v>
      </c>
      <c r="B116" s="716" t="s">
        <v>1287</v>
      </c>
      <c r="C116" s="712">
        <f t="shared" si="8"/>
        <v>6063695</v>
      </c>
      <c r="D116" s="718">
        <v>6063695</v>
      </c>
      <c r="E116" s="720"/>
      <c r="F116" s="720"/>
      <c r="G116" s="14"/>
    </row>
    <row r="117" spans="1:7" ht="65.25" thickTop="1" thickBot="1" x14ac:dyDescent="0.3">
      <c r="A117" s="715">
        <v>41051700</v>
      </c>
      <c r="B117" s="716" t="s">
        <v>1201</v>
      </c>
      <c r="C117" s="712">
        <f t="shared" si="6"/>
        <v>2120589</v>
      </c>
      <c r="D117" s="718">
        <f>1648625+299264+128256+44444</f>
        <v>2120589</v>
      </c>
      <c r="E117" s="720"/>
      <c r="F117" s="720"/>
      <c r="G117" s="14"/>
    </row>
    <row r="118" spans="1:7" ht="103.5" hidden="1" thickTop="1" thickBot="1" x14ac:dyDescent="0.3">
      <c r="A118" s="715">
        <v>41056600</v>
      </c>
      <c r="B118" s="716" t="s">
        <v>1349</v>
      </c>
      <c r="C118" s="712">
        <f t="shared" si="6"/>
        <v>0</v>
      </c>
      <c r="D118" s="718">
        <f>10623233.82-10623233.82</f>
        <v>0</v>
      </c>
      <c r="E118" s="720"/>
      <c r="F118" s="720"/>
      <c r="G118" s="14"/>
    </row>
    <row r="119" spans="1:7" ht="65.25" thickTop="1" thickBot="1" x14ac:dyDescent="0.25">
      <c r="A119" s="715">
        <v>41055000</v>
      </c>
      <c r="B119" s="716" t="s">
        <v>1385</v>
      </c>
      <c r="C119" s="712">
        <f t="shared" si="6"/>
        <v>14254000</v>
      </c>
      <c r="D119" s="718">
        <v>14254000</v>
      </c>
      <c r="E119" s="720"/>
      <c r="F119" s="720"/>
      <c r="G119" s="15"/>
    </row>
    <row r="120" spans="1:7" ht="27" thickTop="1" thickBot="1" x14ac:dyDescent="0.25">
      <c r="A120" s="715">
        <v>41053600</v>
      </c>
      <c r="B120" s="716" t="s">
        <v>1203</v>
      </c>
      <c r="C120" s="712">
        <f t="shared" si="6"/>
        <v>1700000</v>
      </c>
      <c r="D120" s="718"/>
      <c r="E120" s="720">
        <v>1700000</v>
      </c>
      <c r="F120" s="720"/>
      <c r="G120" s="15"/>
    </row>
    <row r="121" spans="1:7" ht="218.25" thickTop="1" thickBot="1" x14ac:dyDescent="0.25">
      <c r="A121" s="715">
        <v>41054200</v>
      </c>
      <c r="B121" s="716" t="s">
        <v>1386</v>
      </c>
      <c r="C121" s="712">
        <f t="shared" si="6"/>
        <v>2429312</v>
      </c>
      <c r="D121" s="718">
        <v>2429312</v>
      </c>
      <c r="E121" s="720"/>
      <c r="F121" s="720"/>
      <c r="G121" s="15"/>
    </row>
    <row r="122" spans="1:7" ht="27" thickTop="1" thickBot="1" x14ac:dyDescent="0.25">
      <c r="A122" s="715">
        <v>41053900</v>
      </c>
      <c r="B122" s="716" t="s">
        <v>1089</v>
      </c>
      <c r="C122" s="712">
        <f t="shared" si="6"/>
        <v>25007334</v>
      </c>
      <c r="D122" s="718">
        <f>SUM(D123:D128)</f>
        <v>1507334</v>
      </c>
      <c r="E122" s="718">
        <f>SUM(E123:E128)</f>
        <v>23500000</v>
      </c>
      <c r="F122" s="718">
        <f>SUM(F123:F128)</f>
        <v>23500000</v>
      </c>
      <c r="G122" s="15"/>
    </row>
    <row r="123" spans="1:7" ht="15.75" thickTop="1" thickBot="1" x14ac:dyDescent="0.25">
      <c r="A123" s="715"/>
      <c r="B123" s="735" t="s">
        <v>1204</v>
      </c>
      <c r="C123" s="717">
        <f>SUM(D123,E123)</f>
        <v>23000000</v>
      </c>
      <c r="D123" s="728"/>
      <c r="E123" s="734">
        <f>20000000+3000000</f>
        <v>23000000</v>
      </c>
      <c r="F123" s="734">
        <f>20000000+3000000</f>
        <v>23000000</v>
      </c>
      <c r="G123" s="15"/>
    </row>
    <row r="124" spans="1:7" ht="39.75" thickTop="1" thickBot="1" x14ac:dyDescent="0.25">
      <c r="A124" s="715"/>
      <c r="B124" s="735" t="s">
        <v>1090</v>
      </c>
      <c r="C124" s="717">
        <f t="shared" si="6"/>
        <v>206796</v>
      </c>
      <c r="D124" s="728">
        <v>206796</v>
      </c>
      <c r="E124" s="734"/>
      <c r="F124" s="734"/>
      <c r="G124" s="15"/>
    </row>
    <row r="125" spans="1:7" ht="52.5" thickTop="1" thickBot="1" x14ac:dyDescent="0.25">
      <c r="A125" s="715"/>
      <c r="B125" s="735" t="s">
        <v>1091</v>
      </c>
      <c r="C125" s="717">
        <f t="shared" si="6"/>
        <v>147491</v>
      </c>
      <c r="D125" s="728">
        <v>147491</v>
      </c>
      <c r="E125" s="734"/>
      <c r="F125" s="734"/>
      <c r="G125" s="15"/>
    </row>
    <row r="126" spans="1:7" ht="27" thickTop="1" thickBot="1" x14ac:dyDescent="0.25">
      <c r="A126" s="715"/>
      <c r="B126" s="735" t="s">
        <v>1092</v>
      </c>
      <c r="C126" s="717">
        <f t="shared" si="6"/>
        <v>353047</v>
      </c>
      <c r="D126" s="728">
        <v>353047</v>
      </c>
      <c r="E126" s="734"/>
      <c r="F126" s="734"/>
      <c r="G126" s="15"/>
    </row>
    <row r="127" spans="1:7" ht="39.75" thickTop="1" thickBot="1" x14ac:dyDescent="0.25">
      <c r="A127" s="715"/>
      <c r="B127" s="735" t="s">
        <v>1443</v>
      </c>
      <c r="C127" s="717">
        <f t="shared" si="6"/>
        <v>800000</v>
      </c>
      <c r="D127" s="728">
        <v>800000</v>
      </c>
      <c r="E127" s="734"/>
      <c r="F127" s="734"/>
      <c r="G127" s="15"/>
    </row>
    <row r="128" spans="1:7" ht="27" thickTop="1" thickBot="1" x14ac:dyDescent="0.25">
      <c r="A128" s="715"/>
      <c r="B128" s="735" t="s">
        <v>1444</v>
      </c>
      <c r="C128" s="717">
        <f t="shared" si="6"/>
        <v>500000</v>
      </c>
      <c r="D128" s="728"/>
      <c r="E128" s="734">
        <v>500000</v>
      </c>
      <c r="F128" s="734">
        <v>500000</v>
      </c>
      <c r="G128" s="15"/>
    </row>
    <row r="129" spans="1:10" ht="41.25" customHeight="1" thickTop="1" thickBot="1" x14ac:dyDescent="0.3">
      <c r="A129" s="739"/>
      <c r="B129" s="742" t="s">
        <v>1373</v>
      </c>
      <c r="C129" s="740">
        <f>SUM(D129,E129)</f>
        <v>3440839787.3099999</v>
      </c>
      <c r="D129" s="741">
        <f>SUM(D96,D97)</f>
        <v>3216398023.3099999</v>
      </c>
      <c r="E129" s="741">
        <f>SUM(E96,E100)</f>
        <v>224441764</v>
      </c>
      <c r="F129" s="741">
        <f>SUM(F96,F100)</f>
        <v>55592355</v>
      </c>
      <c r="G129" s="707" t="b">
        <f>C129=C126+C125+C124+C123+C120+C119+C117+C116+C115+C110+C108+C107+C106+C104+C102+C99+C95+C93+C92+C89+C88+C84+C83+C82+C81+C78+C77+C76+C75+C73+C72+C70+C68+C67+C66+C63+C62+C61+C59+C58+C54+C53+C52+C49+C48+C47+C45+C44+C42+C41+C40+C39+C38+C37+C36+C35+C34+C33+C30+C29+C26+C24+C22+C19+C17+C16+C15+C14+C121+C113+C114+C112+C111+C105+C103+C127+C128</f>
        <v>1</v>
      </c>
      <c r="H129" s="707" t="b">
        <f>D129=D126+D125+D124+D123+D120+D119+D117+D116+D115+D110+D108+D107+D106+D104+D102+D99+D95+D93+D92+D89+D88+D84+D83+D82+D81+D78+D77+D76+D75+D73+D72+D70+D68+D67+D66+D63+D62+D61+D59+D58+D54+D53+D52+D49+D48+D47+D45+D44+D42+D41+D40+D39+D38+D37+D36+D35+D34+D33+D30+D29+D26+D24+D22+D19+D17+D16+D15+D14+D121+D113+D114+D112+D111+D105+D103+D127+D128</f>
        <v>1</v>
      </c>
      <c r="I129" s="707" t="b">
        <f>E129=E126+E125+E124+E123+E120+E119+E117+E116+E115+E110+E108+E107+E106+E104+E102+E99+E95+E93+E92+E89+E88+E84+E83+E82+E81+E78+E77+E76+E75+E73+E72+E70+E68+E67+E66+E63+E62+E61+E59+E58+E54+E53+E52+E49+E48+E47+E45+E44+E42+E41+E40+E39+E38+E37+E36+E35+E34+E33+E30+E29+E26+E24+E22+E19+E17+E16+E15+E14+E121+E113+E114+E112+E111+E105+E103+E127+E128</f>
        <v>1</v>
      </c>
      <c r="J129" s="707" t="b">
        <f>F129=F126+F125+F124+F123+F120+F119+F117+F116+F115+F110+F108+F107+F106+F104+F102+F99+F95+F93+F92+F89+F88+F84+F83+F82+F81+F78+F77+F76+F75+F73+F72+F70+F68+F67+F66+F63+F62+F61+F59+F58+F54+F53+F52+F49+F48+F47+F45+F44+F42+F41+F40+F39+F38+F37+F36+F35+F34+F33+F30+F29+F26+F24+F22+F19+F17+F16+F15+F14+F121+F113+F114+F112+F111+F105+F103+F127+F128</f>
        <v>1</v>
      </c>
    </row>
    <row r="130" spans="1:10" ht="13.5" thickTop="1" x14ac:dyDescent="0.2">
      <c r="B130" s="726"/>
      <c r="G130" s="706"/>
    </row>
    <row r="131" spans="1:10" ht="15.75" x14ac:dyDescent="0.25">
      <c r="B131" s="66"/>
      <c r="E131" s="66"/>
      <c r="G131" s="706"/>
    </row>
    <row r="132" spans="1:10" ht="15.75" x14ac:dyDescent="0.2">
      <c r="B132" s="669" t="s">
        <v>1532</v>
      </c>
      <c r="C132" s="658"/>
      <c r="D132" s="658"/>
      <c r="E132" s="597" t="s">
        <v>1531</v>
      </c>
      <c r="F132" s="669"/>
    </row>
    <row r="133" spans="1:10" ht="15.75" x14ac:dyDescent="0.25">
      <c r="B133" s="66"/>
      <c r="E133" s="66"/>
    </row>
    <row r="134" spans="1:10" ht="15.75" x14ac:dyDescent="0.25">
      <c r="A134" s="18"/>
      <c r="B134" s="66"/>
      <c r="C134" s="66"/>
      <c r="D134" s="66"/>
      <c r="E134" s="66"/>
      <c r="F134" s="18"/>
    </row>
    <row r="137" spans="1:10" x14ac:dyDescent="0.2">
      <c r="C137" s="706"/>
      <c r="D137" s="706"/>
      <c r="E137" s="706"/>
      <c r="F137" s="706"/>
    </row>
  </sheetData>
  <mergeCells count="10">
    <mergeCell ref="D1:G1"/>
    <mergeCell ref="D2:G2"/>
    <mergeCell ref="D3:G3"/>
    <mergeCell ref="A4:E4"/>
    <mergeCell ref="A5:F5"/>
    <mergeCell ref="A8:A9"/>
    <mergeCell ref="B8:B9"/>
    <mergeCell ref="C8:C9"/>
    <mergeCell ref="D8:D9"/>
    <mergeCell ref="E8:F8"/>
  </mergeCells>
  <hyperlinks>
    <hyperlink ref="B86" location="_ftn1" display="_ftn1" xr:uid="{00000000-0004-0000-0000-000000000000}"/>
    <hyperlink ref="B85" location="_ftn1" display="_ftn1" xr:uid="{00000000-0004-0000-0000-000001000000}"/>
    <hyperlink ref="B73" location="_ftn1" display="_ftn1" xr:uid="{00000000-0004-0000-0000-000002000000}"/>
    <hyperlink ref="B16" location="_ftn1" display="_ftn1" xr:uid="{00000000-0004-0000-0000-000003000000}"/>
    <hyperlink ref="B15" location="_ftn1" display="_ftn1" xr:uid="{00000000-0004-0000-0000-000004000000}"/>
    <hyperlink ref="B53" location="_ftn1" display="_ftn1" xr:uid="{00000000-0004-0000-0000-000005000000}"/>
    <hyperlink ref="B90" location="_ftn1" display="_ftn1" xr:uid="{00000000-0004-0000-0000-000006000000}"/>
    <hyperlink ref="B91" location="_ftn1" display="_ftn1" xr:uid="{00000000-0004-0000-0000-000007000000}"/>
    <hyperlink ref="B61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5" max="5" man="1"/>
    <brk id="8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2:T385"/>
  <sheetViews>
    <sheetView view="pageBreakPreview" zoomScale="25" zoomScaleNormal="25" zoomScaleSheetLayoutView="25" zoomScalePageLayoutView="10" workbookViewId="0">
      <pane ySplit="15" topLeftCell="A214" activePane="bottomLeft" state="frozen"/>
      <selection activeCell="K379" sqref="K379"/>
      <selection pane="bottomLeft" activeCell="K379" sqref="K379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855" customWidth="1"/>
    <col min="18" max="18" width="33.85546875" style="855" customWidth="1"/>
    <col min="19" max="19" width="40.140625" style="836" bestFit="1" customWidth="1"/>
    <col min="20" max="20" width="43.5703125" style="836" bestFit="1" customWidth="1"/>
    <col min="21" max="16384" width="9.140625" style="836"/>
  </cols>
  <sheetData>
    <row r="2" spans="1:18" ht="45.75" x14ac:dyDescent="0.2">
      <c r="D2" s="845"/>
      <c r="E2" s="846"/>
      <c r="F2" s="844"/>
      <c r="G2" s="846"/>
      <c r="H2" s="846"/>
      <c r="I2" s="846"/>
      <c r="J2" s="846"/>
      <c r="K2" s="846"/>
      <c r="L2" s="846"/>
      <c r="M2" s="846"/>
      <c r="N2" s="1000" t="s">
        <v>538</v>
      </c>
      <c r="O2" s="951"/>
      <c r="P2" s="951"/>
      <c r="Q2" s="951"/>
    </row>
    <row r="3" spans="1:18" ht="45.75" x14ac:dyDescent="0.2">
      <c r="A3" s="845"/>
      <c r="B3" s="845"/>
      <c r="C3" s="845"/>
      <c r="D3" s="845"/>
      <c r="E3" s="846"/>
      <c r="F3" s="844"/>
      <c r="G3" s="846"/>
      <c r="H3" s="846"/>
      <c r="I3" s="846"/>
      <c r="J3" s="846"/>
      <c r="K3" s="846"/>
      <c r="L3" s="846"/>
      <c r="M3" s="846"/>
      <c r="N3" s="1000" t="s">
        <v>1239</v>
      </c>
      <c r="O3" s="1001"/>
      <c r="P3" s="1001"/>
      <c r="Q3" s="1001"/>
    </row>
    <row r="4" spans="1:18" ht="40.700000000000003" customHeight="1" x14ac:dyDescent="0.2">
      <c r="A4" s="845"/>
      <c r="B4" s="845"/>
      <c r="C4" s="845"/>
      <c r="D4" s="845"/>
      <c r="E4" s="846"/>
      <c r="F4" s="844"/>
      <c r="G4" s="846"/>
      <c r="H4" s="846"/>
      <c r="I4" s="846"/>
      <c r="J4" s="846"/>
      <c r="K4" s="846"/>
      <c r="L4" s="846"/>
      <c r="M4" s="846"/>
      <c r="N4" s="846"/>
      <c r="O4" s="1000"/>
      <c r="P4" s="1002"/>
    </row>
    <row r="5" spans="1:18" ht="45.75" hidden="1" x14ac:dyDescent="0.2">
      <c r="A5" s="845"/>
      <c r="B5" s="845"/>
      <c r="C5" s="845"/>
      <c r="D5" s="845"/>
      <c r="E5" s="846"/>
      <c r="F5" s="844"/>
      <c r="G5" s="846"/>
      <c r="H5" s="846"/>
      <c r="I5" s="846"/>
      <c r="J5" s="846"/>
      <c r="K5" s="846"/>
      <c r="L5" s="846"/>
      <c r="M5" s="846"/>
      <c r="N5" s="846"/>
      <c r="O5" s="845"/>
      <c r="P5" s="844"/>
    </row>
    <row r="6" spans="1:18" ht="45" x14ac:dyDescent="0.2">
      <c r="A6" s="1003" t="s">
        <v>679</v>
      </c>
      <c r="B6" s="1003"/>
      <c r="C6" s="1003"/>
      <c r="D6" s="1003"/>
      <c r="E6" s="1003"/>
      <c r="F6" s="1003"/>
      <c r="G6" s="1003"/>
      <c r="H6" s="1003"/>
      <c r="I6" s="1003"/>
      <c r="J6" s="1003"/>
      <c r="K6" s="1003"/>
      <c r="L6" s="1003"/>
      <c r="M6" s="1003"/>
      <c r="N6" s="1003"/>
      <c r="O6" s="1003"/>
      <c r="P6" s="1003"/>
    </row>
    <row r="7" spans="1:18" ht="45" x14ac:dyDescent="0.2">
      <c r="A7" s="1003" t="s">
        <v>678</v>
      </c>
      <c r="B7" s="1003"/>
      <c r="C7" s="1003"/>
      <c r="D7" s="1003"/>
      <c r="E7" s="1003"/>
      <c r="F7" s="1003"/>
      <c r="G7" s="1003"/>
      <c r="H7" s="1003"/>
      <c r="I7" s="1003"/>
      <c r="J7" s="1003"/>
      <c r="K7" s="1003"/>
      <c r="L7" s="1003"/>
      <c r="M7" s="1003"/>
      <c r="N7" s="1003"/>
      <c r="O7" s="1003"/>
      <c r="P7" s="1003"/>
    </row>
    <row r="8" spans="1:18" ht="45" x14ac:dyDescent="0.2">
      <c r="A8" s="846"/>
      <c r="B8" s="846"/>
      <c r="C8" s="846"/>
      <c r="D8" s="846"/>
      <c r="E8" s="846"/>
      <c r="F8" s="846"/>
      <c r="G8" s="846"/>
      <c r="H8" s="846"/>
      <c r="I8" s="846"/>
      <c r="J8" s="846"/>
      <c r="K8" s="846"/>
      <c r="L8" s="846"/>
      <c r="M8" s="846"/>
      <c r="N8" s="846"/>
      <c r="O8" s="846"/>
      <c r="P8" s="846"/>
    </row>
    <row r="9" spans="1:18" ht="45.75" x14ac:dyDescent="0.65">
      <c r="A9" s="1004">
        <v>22564000000</v>
      </c>
      <c r="B9" s="1005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46"/>
    </row>
    <row r="10" spans="1:18" ht="45.75" x14ac:dyDescent="0.2">
      <c r="A10" s="1009" t="s">
        <v>535</v>
      </c>
      <c r="B10" s="1010"/>
      <c r="C10" s="846"/>
      <c r="D10" s="846"/>
      <c r="E10" s="846"/>
      <c r="F10" s="846"/>
      <c r="G10" s="846"/>
      <c r="H10" s="846"/>
      <c r="I10" s="846"/>
      <c r="J10" s="846"/>
      <c r="K10" s="846"/>
      <c r="L10" s="846"/>
      <c r="M10" s="846"/>
      <c r="N10" s="846"/>
      <c r="O10" s="846"/>
      <c r="P10" s="846"/>
    </row>
    <row r="11" spans="1:18" ht="53.45" customHeight="1" thickBot="1" x14ac:dyDescent="0.25">
      <c r="A11" s="846"/>
      <c r="B11" s="846"/>
      <c r="C11" s="846"/>
      <c r="D11" s="846"/>
      <c r="E11" s="846"/>
      <c r="F11" s="844"/>
      <c r="G11" s="846"/>
      <c r="H11" s="846"/>
      <c r="I11" s="846"/>
      <c r="J11" s="846"/>
      <c r="K11" s="846"/>
      <c r="L11" s="846"/>
      <c r="M11" s="846"/>
      <c r="N11" s="846"/>
      <c r="O11" s="846"/>
      <c r="P11" s="6" t="s">
        <v>431</v>
      </c>
    </row>
    <row r="12" spans="1:18" ht="62.45" customHeight="1" thickTop="1" thickBot="1" x14ac:dyDescent="0.25">
      <c r="A12" s="1008" t="s">
        <v>536</v>
      </c>
      <c r="B12" s="1008" t="s">
        <v>537</v>
      </c>
      <c r="C12" s="1008" t="s">
        <v>417</v>
      </c>
      <c r="D12" s="1008" t="s">
        <v>690</v>
      </c>
      <c r="E12" s="1006" t="s">
        <v>12</v>
      </c>
      <c r="F12" s="1006"/>
      <c r="G12" s="1006"/>
      <c r="H12" s="1006"/>
      <c r="I12" s="1006"/>
      <c r="J12" s="1006" t="s">
        <v>57</v>
      </c>
      <c r="K12" s="1006"/>
      <c r="L12" s="1006"/>
      <c r="M12" s="1006"/>
      <c r="N12" s="1006"/>
      <c r="O12" s="1156"/>
      <c r="P12" s="1006" t="s">
        <v>11</v>
      </c>
    </row>
    <row r="13" spans="1:18" ht="96" customHeight="1" thickTop="1" thickBot="1" x14ac:dyDescent="0.25">
      <c r="A13" s="1006"/>
      <c r="B13" s="1011"/>
      <c r="C13" s="1011"/>
      <c r="D13" s="1006"/>
      <c r="E13" s="1008" t="s">
        <v>411</v>
      </c>
      <c r="F13" s="1008" t="s">
        <v>58</v>
      </c>
      <c r="G13" s="1008" t="s">
        <v>13</v>
      </c>
      <c r="H13" s="1008"/>
      <c r="I13" s="1008" t="s">
        <v>60</v>
      </c>
      <c r="J13" s="1008" t="s">
        <v>411</v>
      </c>
      <c r="K13" s="1008" t="s">
        <v>412</v>
      </c>
      <c r="L13" s="1008" t="s">
        <v>58</v>
      </c>
      <c r="M13" s="1008" t="s">
        <v>13</v>
      </c>
      <c r="N13" s="1008"/>
      <c r="O13" s="1008" t="s">
        <v>60</v>
      </c>
      <c r="P13" s="1006"/>
    </row>
    <row r="14" spans="1:18" ht="328.5" customHeight="1" thickTop="1" thickBot="1" x14ac:dyDescent="0.25">
      <c r="A14" s="1011"/>
      <c r="B14" s="1011"/>
      <c r="C14" s="1011"/>
      <c r="D14" s="1011"/>
      <c r="E14" s="1008"/>
      <c r="F14" s="1008"/>
      <c r="G14" s="847" t="s">
        <v>59</v>
      </c>
      <c r="H14" s="847" t="s">
        <v>15</v>
      </c>
      <c r="I14" s="1008"/>
      <c r="J14" s="1008"/>
      <c r="K14" s="1008"/>
      <c r="L14" s="1008"/>
      <c r="M14" s="847" t="s">
        <v>59</v>
      </c>
      <c r="N14" s="847" t="s">
        <v>15</v>
      </c>
      <c r="O14" s="1008"/>
      <c r="P14" s="1006"/>
    </row>
    <row r="15" spans="1:18" s="2" customFormat="1" ht="47.25" thickTop="1" thickBot="1" x14ac:dyDescent="0.25">
      <c r="A15" s="170" t="s">
        <v>2</v>
      </c>
      <c r="B15" s="170" t="s">
        <v>3</v>
      </c>
      <c r="C15" s="170" t="s">
        <v>14</v>
      </c>
      <c r="D15" s="170" t="s">
        <v>5</v>
      </c>
      <c r="E15" s="170" t="s">
        <v>419</v>
      </c>
      <c r="F15" s="170" t="s">
        <v>420</v>
      </c>
      <c r="G15" s="170" t="s">
        <v>421</v>
      </c>
      <c r="H15" s="170" t="s">
        <v>422</v>
      </c>
      <c r="I15" s="170" t="s">
        <v>423</v>
      </c>
      <c r="J15" s="170" t="s">
        <v>424</v>
      </c>
      <c r="K15" s="170" t="s">
        <v>425</v>
      </c>
      <c r="L15" s="170" t="s">
        <v>426</v>
      </c>
      <c r="M15" s="170" t="s">
        <v>427</v>
      </c>
      <c r="N15" s="170" t="s">
        <v>428</v>
      </c>
      <c r="O15" s="170" t="s">
        <v>429</v>
      </c>
      <c r="P15" s="170" t="s">
        <v>430</v>
      </c>
      <c r="Q15" s="185"/>
      <c r="R15" s="186"/>
    </row>
    <row r="16" spans="1:18" s="2" customFormat="1" ht="136.5" thickTop="1" thickBot="1" x14ac:dyDescent="0.25">
      <c r="A16" s="766" t="s">
        <v>162</v>
      </c>
      <c r="B16" s="766"/>
      <c r="C16" s="766"/>
      <c r="D16" s="767" t="s">
        <v>164</v>
      </c>
      <c r="E16" s="768">
        <f>E17</f>
        <v>133818291.59</v>
      </c>
      <c r="F16" s="769">
        <f t="shared" ref="F16:N16" si="0">F17</f>
        <v>133818291.59</v>
      </c>
      <c r="G16" s="769">
        <f t="shared" si="0"/>
        <v>86332671.030000001</v>
      </c>
      <c r="H16" s="769">
        <f t="shared" si="0"/>
        <v>3506900</v>
      </c>
      <c r="I16" s="769">
        <f t="shared" si="0"/>
        <v>0</v>
      </c>
      <c r="J16" s="768">
        <f t="shared" si="0"/>
        <v>9721144.5800000001</v>
      </c>
      <c r="K16" s="769">
        <f t="shared" si="0"/>
        <v>6046500</v>
      </c>
      <c r="L16" s="769">
        <f t="shared" si="0"/>
        <v>3575644.58</v>
      </c>
      <c r="M16" s="769">
        <f t="shared" si="0"/>
        <v>0</v>
      </c>
      <c r="N16" s="769">
        <f t="shared" si="0"/>
        <v>0</v>
      </c>
      <c r="O16" s="768">
        <f>O17</f>
        <v>6145500</v>
      </c>
      <c r="P16" s="769">
        <f t="shared" ref="P16" si="1">P17</f>
        <v>143539436.17000002</v>
      </c>
      <c r="Q16" s="187"/>
      <c r="R16" s="187"/>
    </row>
    <row r="17" spans="1:18" s="2" customFormat="1" ht="136.5" thickTop="1" thickBot="1" x14ac:dyDescent="0.25">
      <c r="A17" s="863" t="s">
        <v>163</v>
      </c>
      <c r="B17" s="863"/>
      <c r="C17" s="863"/>
      <c r="D17" s="864" t="s">
        <v>165</v>
      </c>
      <c r="E17" s="865">
        <f>E18+E23+E33+E36</f>
        <v>133818291.59</v>
      </c>
      <c r="F17" s="865">
        <f>F18+F23+F33+F36</f>
        <v>133818291.59</v>
      </c>
      <c r="G17" s="865">
        <f t="shared" ref="G17:I17" si="2">G18+G23+G33+G36</f>
        <v>86332671.030000001</v>
      </c>
      <c r="H17" s="865">
        <f t="shared" si="2"/>
        <v>3506900</v>
      </c>
      <c r="I17" s="865">
        <f t="shared" si="2"/>
        <v>0</v>
      </c>
      <c r="J17" s="865">
        <f>L17+O17</f>
        <v>9721144.5800000001</v>
      </c>
      <c r="K17" s="865">
        <f>K18+K23+K33+K36</f>
        <v>6046500</v>
      </c>
      <c r="L17" s="865">
        <f>L18+L23+L33+L36</f>
        <v>3575644.58</v>
      </c>
      <c r="M17" s="865">
        <f t="shared" ref="M17:N17" si="3">M18+M23+M33+M36</f>
        <v>0</v>
      </c>
      <c r="N17" s="865">
        <f t="shared" si="3"/>
        <v>0</v>
      </c>
      <c r="O17" s="865">
        <f>O18+O23+O33+O36</f>
        <v>6145500</v>
      </c>
      <c r="P17" s="865">
        <f>E17+J17</f>
        <v>143539436.17000002</v>
      </c>
      <c r="Q17" s="124" t="b">
        <f>P17=P19+P20+P21+P22+P25+P28+P30+P35+P38+P39+P32+P40+P26</f>
        <v>1</v>
      </c>
      <c r="R17" s="124" t="b">
        <f>K17=[1]d6!J12</f>
        <v>1</v>
      </c>
    </row>
    <row r="18" spans="1:18" s="377" customFormat="1" ht="47.25" thickTop="1" thickBot="1" x14ac:dyDescent="0.25">
      <c r="A18" s="170" t="s">
        <v>839</v>
      </c>
      <c r="B18" s="170" t="s">
        <v>840</v>
      </c>
      <c r="C18" s="170"/>
      <c r="D18" s="170" t="s">
        <v>841</v>
      </c>
      <c r="E18" s="866">
        <f>SUM(E19:E22)</f>
        <v>116755749</v>
      </c>
      <c r="F18" s="866">
        <f>SUM(F19:F22)</f>
        <v>116755749</v>
      </c>
      <c r="G18" s="866">
        <f t="shared" ref="G18:P18" si="4">SUM(G19:G22)</f>
        <v>86332671.030000001</v>
      </c>
      <c r="H18" s="866">
        <f t="shared" si="4"/>
        <v>3506900</v>
      </c>
      <c r="I18" s="866">
        <f t="shared" si="4"/>
        <v>0</v>
      </c>
      <c r="J18" s="866">
        <f t="shared" si="4"/>
        <v>3206500</v>
      </c>
      <c r="K18" s="866">
        <f t="shared" si="4"/>
        <v>3206500</v>
      </c>
      <c r="L18" s="866">
        <f t="shared" si="4"/>
        <v>0</v>
      </c>
      <c r="M18" s="866">
        <f t="shared" si="4"/>
        <v>0</v>
      </c>
      <c r="N18" s="866">
        <f t="shared" si="4"/>
        <v>0</v>
      </c>
      <c r="O18" s="866">
        <f t="shared" si="4"/>
        <v>3206500</v>
      </c>
      <c r="P18" s="866">
        <f t="shared" si="4"/>
        <v>119962249</v>
      </c>
      <c r="Q18" s="348"/>
      <c r="R18" s="348"/>
    </row>
    <row r="19" spans="1:18" ht="321.75" thickTop="1" thickBot="1" x14ac:dyDescent="0.25">
      <c r="A19" s="851" t="s">
        <v>250</v>
      </c>
      <c r="B19" s="851" t="s">
        <v>251</v>
      </c>
      <c r="C19" s="851" t="s">
        <v>252</v>
      </c>
      <c r="D19" s="851" t="s">
        <v>249</v>
      </c>
      <c r="E19" s="866">
        <f t="shared" ref="E19:E40" si="5">F19</f>
        <v>109666000</v>
      </c>
      <c r="F19" s="167">
        <f>6884000+500000-200000-200000+250000-30000-300000+180000+(5000+6000+67000+((77782670+17112190+1242480+3766300+30000+1650000+50000+1400000+159900+80000+800000)-1948540)+80000+49000+250000)</f>
        <v>109666000</v>
      </c>
      <c r="G19" s="167">
        <f>((77782670)-1597170)+6884000</f>
        <v>83069500</v>
      </c>
      <c r="H19" s="167">
        <f>250000-30000-300000+180000+((1650000+50000+1400000+159900+80000)+67000)</f>
        <v>3506900</v>
      </c>
      <c r="I19" s="167"/>
      <c r="J19" s="866">
        <f t="shared" ref="J19:J28" si="6">L19+O19</f>
        <v>3206500</v>
      </c>
      <c r="K19" s="167">
        <f>369667-17667+((977200+330000+15000+241300)+336000+900000+55000)</f>
        <v>3206500</v>
      </c>
      <c r="L19" s="761"/>
      <c r="M19" s="762"/>
      <c r="N19" s="762"/>
      <c r="O19" s="867">
        <f t="shared" ref="O19:O28" si="7">K19</f>
        <v>3206500</v>
      </c>
      <c r="P19" s="866">
        <f>+J19+E19</f>
        <v>112872500</v>
      </c>
      <c r="Q19" s="189"/>
      <c r="R19" s="202" t="b">
        <f>K19=[1]d6!J14+[1]d6!J15</f>
        <v>1</v>
      </c>
    </row>
    <row r="20" spans="1:18" ht="230.25" thickTop="1" thickBot="1" x14ac:dyDescent="0.25">
      <c r="A20" s="851" t="s">
        <v>706</v>
      </c>
      <c r="B20" s="851" t="s">
        <v>254</v>
      </c>
      <c r="C20" s="851" t="s">
        <v>252</v>
      </c>
      <c r="D20" s="851" t="s">
        <v>253</v>
      </c>
      <c r="E20" s="866">
        <f t="shared" si="5"/>
        <v>4104999</v>
      </c>
      <c r="F20" s="167">
        <f>(4305000+1948540)-2148541</f>
        <v>4104999</v>
      </c>
      <c r="G20" s="167">
        <f>((2460000)+1597170)-793998.97</f>
        <v>3263171.0300000003</v>
      </c>
      <c r="H20" s="167"/>
      <c r="I20" s="167"/>
      <c r="J20" s="866">
        <f t="shared" si="6"/>
        <v>0</v>
      </c>
      <c r="K20" s="167"/>
      <c r="L20" s="761"/>
      <c r="M20" s="762"/>
      <c r="N20" s="762"/>
      <c r="O20" s="867">
        <f t="shared" si="7"/>
        <v>0</v>
      </c>
      <c r="P20" s="866">
        <f>+J20+E20</f>
        <v>4104999</v>
      </c>
      <c r="Q20" s="189"/>
      <c r="R20" s="202"/>
    </row>
    <row r="21" spans="1:18" ht="184.5" thickTop="1" thickBot="1" x14ac:dyDescent="0.25">
      <c r="A21" s="852" t="s">
        <v>774</v>
      </c>
      <c r="B21" s="852" t="s">
        <v>388</v>
      </c>
      <c r="C21" s="852" t="s">
        <v>775</v>
      </c>
      <c r="D21" s="852" t="s">
        <v>776</v>
      </c>
      <c r="E21" s="868">
        <f t="shared" si="5"/>
        <v>49000</v>
      </c>
      <c r="F21" s="300">
        <v>49000</v>
      </c>
      <c r="G21" s="300"/>
      <c r="H21" s="300"/>
      <c r="I21" s="300"/>
      <c r="J21" s="868">
        <f t="shared" si="6"/>
        <v>0</v>
      </c>
      <c r="K21" s="300"/>
      <c r="L21" s="763"/>
      <c r="M21" s="764"/>
      <c r="N21" s="764"/>
      <c r="O21" s="869">
        <f t="shared" si="7"/>
        <v>0</v>
      </c>
      <c r="P21" s="868">
        <f>+J21+E21</f>
        <v>49000</v>
      </c>
      <c r="Q21" s="189"/>
      <c r="R21" s="188"/>
    </row>
    <row r="22" spans="1:18" ht="93" thickTop="1" thickBot="1" x14ac:dyDescent="0.25">
      <c r="A22" s="852" t="s">
        <v>265</v>
      </c>
      <c r="B22" s="852" t="s">
        <v>45</v>
      </c>
      <c r="C22" s="852" t="s">
        <v>44</v>
      </c>
      <c r="D22" s="852" t="s">
        <v>266</v>
      </c>
      <c r="E22" s="868">
        <f t="shared" si="5"/>
        <v>2935750</v>
      </c>
      <c r="F22" s="870">
        <f>-200000+((3159750-49000)+25000)</f>
        <v>2935750</v>
      </c>
      <c r="G22" s="870"/>
      <c r="H22" s="870"/>
      <c r="I22" s="870"/>
      <c r="J22" s="868">
        <f t="shared" si="6"/>
        <v>0</v>
      </c>
      <c r="K22" s="870"/>
      <c r="L22" s="870"/>
      <c r="M22" s="870"/>
      <c r="N22" s="870"/>
      <c r="O22" s="869">
        <f t="shared" si="7"/>
        <v>0</v>
      </c>
      <c r="P22" s="868">
        <f>E22+J22</f>
        <v>2935750</v>
      </c>
      <c r="Q22" s="189"/>
      <c r="R22" s="188"/>
    </row>
    <row r="23" spans="1:18" s="377" customFormat="1" ht="47.25" thickTop="1" thickBot="1" x14ac:dyDescent="0.3">
      <c r="A23" s="170" t="s">
        <v>904</v>
      </c>
      <c r="B23" s="871" t="s">
        <v>905</v>
      </c>
      <c r="C23" s="871"/>
      <c r="D23" s="871" t="s">
        <v>906</v>
      </c>
      <c r="E23" s="868">
        <f t="shared" ref="E23:P23" si="8">SUM(E24:E32)-E24-E27-E29</f>
        <v>6533142.5899999999</v>
      </c>
      <c r="F23" s="868">
        <f t="shared" si="8"/>
        <v>6533142.5899999999</v>
      </c>
      <c r="G23" s="868">
        <f t="shared" si="8"/>
        <v>0</v>
      </c>
      <c r="H23" s="868">
        <f t="shared" si="8"/>
        <v>0</v>
      </c>
      <c r="I23" s="868">
        <f t="shared" si="8"/>
        <v>0</v>
      </c>
      <c r="J23" s="868">
        <f t="shared" si="8"/>
        <v>5174644.58</v>
      </c>
      <c r="K23" s="868">
        <f t="shared" si="8"/>
        <v>1500000</v>
      </c>
      <c r="L23" s="868">
        <f t="shared" si="8"/>
        <v>3575644.58</v>
      </c>
      <c r="M23" s="868">
        <f t="shared" si="8"/>
        <v>0</v>
      </c>
      <c r="N23" s="868">
        <f t="shared" si="8"/>
        <v>0</v>
      </c>
      <c r="O23" s="868">
        <f t="shared" si="8"/>
        <v>1599000</v>
      </c>
      <c r="P23" s="868">
        <f t="shared" si="8"/>
        <v>11707787.170000004</v>
      </c>
      <c r="Q23" s="423"/>
      <c r="R23" s="424"/>
    </row>
    <row r="24" spans="1:18" s="39" customFormat="1" ht="91.5" thickTop="1" thickBot="1" x14ac:dyDescent="0.25">
      <c r="A24" s="872" t="s">
        <v>842</v>
      </c>
      <c r="B24" s="872" t="s">
        <v>843</v>
      </c>
      <c r="C24" s="872"/>
      <c r="D24" s="872" t="s">
        <v>844</v>
      </c>
      <c r="E24" s="873">
        <f t="shared" ref="E24:P24" si="9">SUM(E25:E26)</f>
        <v>4642400</v>
      </c>
      <c r="F24" s="873">
        <f t="shared" si="9"/>
        <v>4642400</v>
      </c>
      <c r="G24" s="873">
        <f t="shared" si="9"/>
        <v>0</v>
      </c>
      <c r="H24" s="873">
        <f t="shared" si="9"/>
        <v>0</v>
      </c>
      <c r="I24" s="873">
        <f t="shared" si="9"/>
        <v>0</v>
      </c>
      <c r="J24" s="873">
        <f t="shared" si="9"/>
        <v>1500000</v>
      </c>
      <c r="K24" s="873">
        <f t="shared" si="9"/>
        <v>1500000</v>
      </c>
      <c r="L24" s="873">
        <f t="shared" si="9"/>
        <v>0</v>
      </c>
      <c r="M24" s="873">
        <f t="shared" si="9"/>
        <v>0</v>
      </c>
      <c r="N24" s="873">
        <f t="shared" si="9"/>
        <v>0</v>
      </c>
      <c r="O24" s="873">
        <f t="shared" si="9"/>
        <v>1500000</v>
      </c>
      <c r="P24" s="873">
        <f t="shared" si="9"/>
        <v>6142400</v>
      </c>
      <c r="Q24" s="425"/>
      <c r="R24" s="426"/>
    </row>
    <row r="25" spans="1:18" ht="93" thickTop="1" thickBot="1" x14ac:dyDescent="0.25">
      <c r="A25" s="852" t="s">
        <v>256</v>
      </c>
      <c r="B25" s="852" t="s">
        <v>257</v>
      </c>
      <c r="C25" s="852" t="s">
        <v>258</v>
      </c>
      <c r="D25" s="852" t="s">
        <v>255</v>
      </c>
      <c r="E25" s="868">
        <f t="shared" si="5"/>
        <v>4392400</v>
      </c>
      <c r="F25" s="870">
        <v>4392400</v>
      </c>
      <c r="G25" s="870"/>
      <c r="H25" s="870"/>
      <c r="I25" s="870"/>
      <c r="J25" s="868">
        <f t="shared" si="6"/>
        <v>1500000</v>
      </c>
      <c r="K25" s="870">
        <v>1500000</v>
      </c>
      <c r="L25" s="870"/>
      <c r="M25" s="870"/>
      <c r="N25" s="870"/>
      <c r="O25" s="869">
        <f t="shared" si="7"/>
        <v>1500000</v>
      </c>
      <c r="P25" s="868">
        <f>+J25+E25</f>
        <v>5892400</v>
      </c>
      <c r="Q25" s="189"/>
      <c r="R25" s="202" t="b">
        <f>K25=[1]d6!J16</f>
        <v>1</v>
      </c>
    </row>
    <row r="26" spans="1:18" ht="230.25" thickTop="1" thickBot="1" x14ac:dyDescent="0.25">
      <c r="A26" s="852" t="s">
        <v>1276</v>
      </c>
      <c r="B26" s="852" t="s">
        <v>1277</v>
      </c>
      <c r="C26" s="852" t="s">
        <v>258</v>
      </c>
      <c r="D26" s="852" t="s">
        <v>1278</v>
      </c>
      <c r="E26" s="868">
        <f t="shared" si="5"/>
        <v>250000</v>
      </c>
      <c r="F26" s="870">
        <v>250000</v>
      </c>
      <c r="G26" s="870"/>
      <c r="H26" s="870"/>
      <c r="I26" s="870"/>
      <c r="J26" s="868">
        <f t="shared" si="6"/>
        <v>0</v>
      </c>
      <c r="K26" s="870"/>
      <c r="L26" s="870"/>
      <c r="M26" s="870"/>
      <c r="N26" s="870"/>
      <c r="O26" s="869"/>
      <c r="P26" s="868">
        <f>+J26+E26</f>
        <v>250000</v>
      </c>
      <c r="Q26" s="189"/>
      <c r="R26" s="202"/>
    </row>
    <row r="27" spans="1:18" ht="136.5" thickTop="1" thickBot="1" x14ac:dyDescent="0.25">
      <c r="A27" s="874" t="s">
        <v>846</v>
      </c>
      <c r="B27" s="874" t="s">
        <v>847</v>
      </c>
      <c r="C27" s="874"/>
      <c r="D27" s="874" t="s">
        <v>845</v>
      </c>
      <c r="E27" s="873">
        <f>SUM(E28)+E29</f>
        <v>1890742.59</v>
      </c>
      <c r="F27" s="873">
        <f t="shared" ref="F27:P27" si="10">SUM(F28)+F29</f>
        <v>1890742.59</v>
      </c>
      <c r="G27" s="873">
        <f t="shared" si="10"/>
        <v>0</v>
      </c>
      <c r="H27" s="873">
        <f t="shared" si="10"/>
        <v>0</v>
      </c>
      <c r="I27" s="873">
        <f t="shared" si="10"/>
        <v>0</v>
      </c>
      <c r="J27" s="873">
        <f t="shared" si="10"/>
        <v>3674644.58</v>
      </c>
      <c r="K27" s="873">
        <f t="shared" si="10"/>
        <v>0</v>
      </c>
      <c r="L27" s="873">
        <f t="shared" si="10"/>
        <v>3575644.58</v>
      </c>
      <c r="M27" s="873">
        <f t="shared" si="10"/>
        <v>0</v>
      </c>
      <c r="N27" s="873">
        <f t="shared" si="10"/>
        <v>0</v>
      </c>
      <c r="O27" s="873">
        <f t="shared" si="10"/>
        <v>99000</v>
      </c>
      <c r="P27" s="873">
        <f t="shared" si="10"/>
        <v>5565387.1699999999</v>
      </c>
      <c r="Q27" s="383"/>
      <c r="R27" s="427"/>
    </row>
    <row r="28" spans="1:18" ht="138.75" thickTop="1" thickBot="1" x14ac:dyDescent="0.25">
      <c r="A28" s="852" t="s">
        <v>318</v>
      </c>
      <c r="B28" s="852" t="s">
        <v>319</v>
      </c>
      <c r="C28" s="852" t="s">
        <v>184</v>
      </c>
      <c r="D28" s="852" t="s">
        <v>475</v>
      </c>
      <c r="E28" s="868">
        <f t="shared" si="5"/>
        <v>290200</v>
      </c>
      <c r="F28" s="870">
        <v>290200</v>
      </c>
      <c r="G28" s="870"/>
      <c r="H28" s="870"/>
      <c r="I28" s="870"/>
      <c r="J28" s="868">
        <f t="shared" si="6"/>
        <v>0</v>
      </c>
      <c r="K28" s="870"/>
      <c r="L28" s="870"/>
      <c r="M28" s="870"/>
      <c r="N28" s="870"/>
      <c r="O28" s="869">
        <f t="shared" si="7"/>
        <v>0</v>
      </c>
      <c r="P28" s="868">
        <f>+J28+E28</f>
        <v>290200</v>
      </c>
      <c r="Q28" s="189"/>
      <c r="R28" s="188"/>
    </row>
    <row r="29" spans="1:18" ht="48" thickTop="1" thickBot="1" x14ac:dyDescent="0.25">
      <c r="A29" s="875" t="s">
        <v>849</v>
      </c>
      <c r="B29" s="875" t="s">
        <v>850</v>
      </c>
      <c r="C29" s="875"/>
      <c r="D29" s="876" t="s">
        <v>848</v>
      </c>
      <c r="E29" s="877">
        <f>SUM(E30:E32)</f>
        <v>1600542.59</v>
      </c>
      <c r="F29" s="877">
        <f t="shared" ref="F29:O29" si="11">SUM(F30:F32)</f>
        <v>1600542.59</v>
      </c>
      <c r="G29" s="877">
        <f t="shared" si="11"/>
        <v>0</v>
      </c>
      <c r="H29" s="877">
        <f t="shared" si="11"/>
        <v>0</v>
      </c>
      <c r="I29" s="877">
        <f t="shared" si="11"/>
        <v>0</v>
      </c>
      <c r="J29" s="877">
        <f t="shared" si="11"/>
        <v>3674644.58</v>
      </c>
      <c r="K29" s="877">
        <f t="shared" si="11"/>
        <v>0</v>
      </c>
      <c r="L29" s="877">
        <f t="shared" si="11"/>
        <v>3575644.58</v>
      </c>
      <c r="M29" s="877">
        <f t="shared" si="11"/>
        <v>0</v>
      </c>
      <c r="N29" s="877">
        <f t="shared" si="11"/>
        <v>0</v>
      </c>
      <c r="O29" s="877">
        <f t="shared" si="11"/>
        <v>99000</v>
      </c>
      <c r="P29" s="877">
        <f>E29+J29</f>
        <v>5275187.17</v>
      </c>
      <c r="Q29" s="383"/>
      <c r="R29" s="384"/>
    </row>
    <row r="30" spans="1:18" s="39" customFormat="1" ht="361.5" customHeight="1" thickTop="1" thickBot="1" x14ac:dyDescent="0.7">
      <c r="A30" s="1101" t="s">
        <v>364</v>
      </c>
      <c r="B30" s="1101" t="s">
        <v>363</v>
      </c>
      <c r="C30" s="1101" t="s">
        <v>184</v>
      </c>
      <c r="D30" s="303" t="s">
        <v>473</v>
      </c>
      <c r="E30" s="1163">
        <f t="shared" si="5"/>
        <v>0</v>
      </c>
      <c r="F30" s="1103"/>
      <c r="G30" s="1103"/>
      <c r="H30" s="1103"/>
      <c r="I30" s="1103"/>
      <c r="J30" s="1164">
        <f>L30+O30</f>
        <v>3674644.58</v>
      </c>
      <c r="K30" s="1103"/>
      <c r="L30" s="1103">
        <f>((1308600+69000+601000+1471600)+1155966.58)-450000-580522</f>
        <v>3575644.58</v>
      </c>
      <c r="M30" s="1103"/>
      <c r="N30" s="1103"/>
      <c r="O30" s="1158">
        <f>(49000)+50000</f>
        <v>99000</v>
      </c>
      <c r="P30" s="1160">
        <f>E30+J30</f>
        <v>3674644.58</v>
      </c>
      <c r="Q30" s="190"/>
      <c r="R30" s="191"/>
    </row>
    <row r="31" spans="1:18" s="39" customFormat="1" ht="184.5" thickTop="1" thickBot="1" x14ac:dyDescent="0.25">
      <c r="A31" s="1162"/>
      <c r="B31" s="1102"/>
      <c r="C31" s="1162"/>
      <c r="D31" s="304" t="s">
        <v>474</v>
      </c>
      <c r="E31" s="1162"/>
      <c r="F31" s="1157"/>
      <c r="G31" s="1157"/>
      <c r="H31" s="1157"/>
      <c r="I31" s="1157"/>
      <c r="J31" s="1165"/>
      <c r="K31" s="1157"/>
      <c r="L31" s="1157"/>
      <c r="M31" s="1157"/>
      <c r="N31" s="1157"/>
      <c r="O31" s="1159"/>
      <c r="P31" s="1161"/>
      <c r="Q31" s="191"/>
      <c r="R31" s="191"/>
    </row>
    <row r="32" spans="1:18" s="39" customFormat="1" ht="93" thickTop="1" thickBot="1" x14ac:dyDescent="0.25">
      <c r="A32" s="851" t="s">
        <v>1119</v>
      </c>
      <c r="B32" s="851" t="s">
        <v>275</v>
      </c>
      <c r="C32" s="851" t="s">
        <v>184</v>
      </c>
      <c r="D32" s="851" t="s">
        <v>273</v>
      </c>
      <c r="E32" s="868">
        <f>F32</f>
        <v>1600542.59</v>
      </c>
      <c r="F32" s="870">
        <v>1600542.59</v>
      </c>
      <c r="G32" s="870"/>
      <c r="H32" s="870"/>
      <c r="I32" s="870"/>
      <c r="J32" s="868">
        <f>L32+O32</f>
        <v>0</v>
      </c>
      <c r="K32" s="870"/>
      <c r="L32" s="870"/>
      <c r="M32" s="870"/>
      <c r="N32" s="870"/>
      <c r="O32" s="869"/>
      <c r="P32" s="868">
        <f>E32+J32</f>
        <v>1600542.59</v>
      </c>
      <c r="Q32" s="191"/>
      <c r="R32" s="191"/>
    </row>
    <row r="33" spans="1:20" s="39" customFormat="1" ht="46.5" customHeight="1" thickTop="1" thickBot="1" x14ac:dyDescent="0.25">
      <c r="A33" s="170" t="s">
        <v>851</v>
      </c>
      <c r="B33" s="170" t="s">
        <v>852</v>
      </c>
      <c r="C33" s="170"/>
      <c r="D33" s="170" t="s">
        <v>853</v>
      </c>
      <c r="E33" s="866">
        <f>E34</f>
        <v>6359300</v>
      </c>
      <c r="F33" s="866">
        <f t="shared" ref="F33:O33" si="12">F34</f>
        <v>6359300</v>
      </c>
      <c r="G33" s="866">
        <f t="shared" si="12"/>
        <v>0</v>
      </c>
      <c r="H33" s="866">
        <f t="shared" si="12"/>
        <v>0</v>
      </c>
      <c r="I33" s="866">
        <f t="shared" si="12"/>
        <v>0</v>
      </c>
      <c r="J33" s="866">
        <f t="shared" si="12"/>
        <v>0</v>
      </c>
      <c r="K33" s="866">
        <f t="shared" si="12"/>
        <v>0</v>
      </c>
      <c r="L33" s="866">
        <f t="shared" si="12"/>
        <v>0</v>
      </c>
      <c r="M33" s="866">
        <f t="shared" si="12"/>
        <v>0</v>
      </c>
      <c r="N33" s="866">
        <f t="shared" si="12"/>
        <v>0</v>
      </c>
      <c r="O33" s="866">
        <f t="shared" si="12"/>
        <v>0</v>
      </c>
      <c r="P33" s="866">
        <f>P34</f>
        <v>6359300</v>
      </c>
      <c r="Q33" s="191"/>
      <c r="R33" s="191"/>
    </row>
    <row r="34" spans="1:20" s="39" customFormat="1" ht="47.25" thickTop="1" thickBot="1" x14ac:dyDescent="0.25">
      <c r="A34" s="872" t="s">
        <v>854</v>
      </c>
      <c r="B34" s="872" t="s">
        <v>855</v>
      </c>
      <c r="C34" s="872"/>
      <c r="D34" s="872" t="s">
        <v>856</v>
      </c>
      <c r="E34" s="873">
        <f>SUM(E35)</f>
        <v>6359300</v>
      </c>
      <c r="F34" s="873">
        <f t="shared" ref="F34:P34" si="13">SUM(F35)</f>
        <v>6359300</v>
      </c>
      <c r="G34" s="873">
        <f t="shared" si="13"/>
        <v>0</v>
      </c>
      <c r="H34" s="873">
        <f t="shared" si="13"/>
        <v>0</v>
      </c>
      <c r="I34" s="873">
        <f t="shared" si="13"/>
        <v>0</v>
      </c>
      <c r="J34" s="873">
        <f t="shared" si="13"/>
        <v>0</v>
      </c>
      <c r="K34" s="873">
        <f t="shared" si="13"/>
        <v>0</v>
      </c>
      <c r="L34" s="873">
        <f t="shared" si="13"/>
        <v>0</v>
      </c>
      <c r="M34" s="873">
        <f t="shared" si="13"/>
        <v>0</v>
      </c>
      <c r="N34" s="873">
        <f t="shared" si="13"/>
        <v>0</v>
      </c>
      <c r="O34" s="873">
        <f t="shared" si="13"/>
        <v>0</v>
      </c>
      <c r="P34" s="873">
        <f t="shared" si="13"/>
        <v>6359300</v>
      </c>
    </row>
    <row r="35" spans="1:20" ht="93" thickTop="1" thickBot="1" x14ac:dyDescent="0.25">
      <c r="A35" s="852" t="s">
        <v>259</v>
      </c>
      <c r="B35" s="852" t="s">
        <v>260</v>
      </c>
      <c r="C35" s="852" t="s">
        <v>261</v>
      </c>
      <c r="D35" s="852" t="s">
        <v>262</v>
      </c>
      <c r="E35" s="868">
        <f>F35</f>
        <v>6359300</v>
      </c>
      <c r="F35" s="870">
        <v>6359300</v>
      </c>
      <c r="G35" s="870"/>
      <c r="H35" s="870"/>
      <c r="I35" s="870"/>
      <c r="J35" s="868">
        <f>L35+O35</f>
        <v>0</v>
      </c>
      <c r="K35" s="870"/>
      <c r="L35" s="870"/>
      <c r="M35" s="870"/>
      <c r="N35" s="870"/>
      <c r="O35" s="869">
        <f>K35</f>
        <v>0</v>
      </c>
      <c r="P35" s="868">
        <f>E35+J35</f>
        <v>6359300</v>
      </c>
    </row>
    <row r="36" spans="1:20" ht="47.25" thickTop="1" thickBot="1" x14ac:dyDescent="0.25">
      <c r="A36" s="170" t="s">
        <v>857</v>
      </c>
      <c r="B36" s="170" t="s">
        <v>858</v>
      </c>
      <c r="C36" s="170"/>
      <c r="D36" s="170" t="s">
        <v>859</v>
      </c>
      <c r="E36" s="866">
        <f t="shared" ref="E36:P36" si="14">E37+E40</f>
        <v>4170100</v>
      </c>
      <c r="F36" s="866">
        <f t="shared" si="14"/>
        <v>4170100</v>
      </c>
      <c r="G36" s="866">
        <f t="shared" si="14"/>
        <v>0</v>
      </c>
      <c r="H36" s="866">
        <f t="shared" si="14"/>
        <v>0</v>
      </c>
      <c r="I36" s="866">
        <f t="shared" si="14"/>
        <v>0</v>
      </c>
      <c r="J36" s="866">
        <f t="shared" si="14"/>
        <v>1340000</v>
      </c>
      <c r="K36" s="866">
        <f t="shared" si="14"/>
        <v>1340000</v>
      </c>
      <c r="L36" s="866">
        <f t="shared" si="14"/>
        <v>0</v>
      </c>
      <c r="M36" s="866">
        <f t="shared" si="14"/>
        <v>0</v>
      </c>
      <c r="N36" s="866">
        <f t="shared" si="14"/>
        <v>0</v>
      </c>
      <c r="O36" s="866">
        <f t="shared" si="14"/>
        <v>1340000</v>
      </c>
      <c r="P36" s="866">
        <f t="shared" si="14"/>
        <v>5510100</v>
      </c>
    </row>
    <row r="37" spans="1:20" s="39" customFormat="1" ht="271.5" thickTop="1" thickBot="1" x14ac:dyDescent="0.25">
      <c r="A37" s="872" t="s">
        <v>860</v>
      </c>
      <c r="B37" s="872" t="s">
        <v>861</v>
      </c>
      <c r="C37" s="872"/>
      <c r="D37" s="872" t="s">
        <v>862</v>
      </c>
      <c r="E37" s="873">
        <f>SUM(E38:E39)</f>
        <v>420100</v>
      </c>
      <c r="F37" s="873">
        <f t="shared" ref="F37:P37" si="15">SUM(F38:F39)</f>
        <v>420100</v>
      </c>
      <c r="G37" s="873">
        <f t="shared" si="15"/>
        <v>0</v>
      </c>
      <c r="H37" s="873">
        <f t="shared" si="15"/>
        <v>0</v>
      </c>
      <c r="I37" s="873">
        <f t="shared" si="15"/>
        <v>0</v>
      </c>
      <c r="J37" s="873">
        <f t="shared" si="15"/>
        <v>0</v>
      </c>
      <c r="K37" s="873">
        <f t="shared" si="15"/>
        <v>0</v>
      </c>
      <c r="L37" s="873">
        <f t="shared" si="15"/>
        <v>0</v>
      </c>
      <c r="M37" s="873">
        <f t="shared" si="15"/>
        <v>0</v>
      </c>
      <c r="N37" s="873">
        <f t="shared" si="15"/>
        <v>0</v>
      </c>
      <c r="O37" s="873">
        <f t="shared" si="15"/>
        <v>0</v>
      </c>
      <c r="P37" s="873">
        <f t="shared" si="15"/>
        <v>420100</v>
      </c>
      <c r="Q37" s="191"/>
      <c r="R37" s="191"/>
    </row>
    <row r="38" spans="1:20" ht="276" thickTop="1" thickBot="1" x14ac:dyDescent="0.25">
      <c r="A38" s="851" t="s">
        <v>263</v>
      </c>
      <c r="B38" s="851" t="s">
        <v>264</v>
      </c>
      <c r="C38" s="851" t="s">
        <v>45</v>
      </c>
      <c r="D38" s="851" t="s">
        <v>476</v>
      </c>
      <c r="E38" s="866">
        <f t="shared" si="5"/>
        <v>300000</v>
      </c>
      <c r="F38" s="878">
        <v>300000</v>
      </c>
      <c r="G38" s="878"/>
      <c r="H38" s="878"/>
      <c r="I38" s="878"/>
      <c r="J38" s="866">
        <f>L38+O38</f>
        <v>0</v>
      </c>
      <c r="K38" s="878"/>
      <c r="L38" s="878"/>
      <c r="M38" s="878"/>
      <c r="N38" s="878"/>
      <c r="O38" s="867">
        <f>K38</f>
        <v>0</v>
      </c>
      <c r="P38" s="866">
        <f>E38+J38</f>
        <v>300000</v>
      </c>
    </row>
    <row r="39" spans="1:20" ht="93" thickTop="1" thickBot="1" x14ac:dyDescent="0.25">
      <c r="A39" s="851" t="s">
        <v>694</v>
      </c>
      <c r="B39" s="851" t="s">
        <v>389</v>
      </c>
      <c r="C39" s="851" t="s">
        <v>45</v>
      </c>
      <c r="D39" s="851" t="s">
        <v>390</v>
      </c>
      <c r="E39" s="866">
        <f t="shared" si="5"/>
        <v>120100</v>
      </c>
      <c r="F39" s="878">
        <v>120100</v>
      </c>
      <c r="G39" s="878"/>
      <c r="H39" s="878"/>
      <c r="I39" s="878"/>
      <c r="J39" s="866">
        <f>L39+O39</f>
        <v>0</v>
      </c>
      <c r="K39" s="878"/>
      <c r="L39" s="878"/>
      <c r="M39" s="878"/>
      <c r="N39" s="878"/>
      <c r="O39" s="867">
        <f>K39</f>
        <v>0</v>
      </c>
      <c r="P39" s="866">
        <f>E39+J39</f>
        <v>120100</v>
      </c>
    </row>
    <row r="40" spans="1:20" ht="271.5" thickTop="1" thickBot="1" x14ac:dyDescent="0.25">
      <c r="A40" s="872" t="s">
        <v>560</v>
      </c>
      <c r="B40" s="872" t="s">
        <v>561</v>
      </c>
      <c r="C40" s="872" t="s">
        <v>45</v>
      </c>
      <c r="D40" s="872" t="s">
        <v>562</v>
      </c>
      <c r="E40" s="873">
        <f t="shared" si="5"/>
        <v>3750000</v>
      </c>
      <c r="F40" s="873">
        <f>120000+(500000+300000+80000+50000+(500000+400000+80000+400000+80000+60000+200000+80000+300000+500000+100000))</f>
        <v>3750000</v>
      </c>
      <c r="G40" s="873"/>
      <c r="H40" s="873"/>
      <c r="I40" s="873"/>
      <c r="J40" s="873">
        <f>L40+O40</f>
        <v>1340000</v>
      </c>
      <c r="K40" s="870">
        <f>380000+(80000+300000+500000+80000)</f>
        <v>1340000</v>
      </c>
      <c r="L40" s="873"/>
      <c r="M40" s="873"/>
      <c r="N40" s="873"/>
      <c r="O40" s="873">
        <f>K40</f>
        <v>1340000</v>
      </c>
      <c r="P40" s="873">
        <f>E40+J40</f>
        <v>5090000</v>
      </c>
      <c r="R40" s="124" t="b">
        <f>K40=[1]d6!J18+[1]d6!J17</f>
        <v>1</v>
      </c>
    </row>
    <row r="41" spans="1:20" ht="136.5" thickTop="1" thickBot="1" x14ac:dyDescent="0.25">
      <c r="A41" s="766" t="s">
        <v>166</v>
      </c>
      <c r="B41" s="766"/>
      <c r="C41" s="766"/>
      <c r="D41" s="767" t="s">
        <v>0</v>
      </c>
      <c r="E41" s="768">
        <f>E42</f>
        <v>1620548372.95</v>
      </c>
      <c r="F41" s="769">
        <f t="shared" ref="F41" si="16">F42</f>
        <v>1620548372.95</v>
      </c>
      <c r="G41" s="769">
        <f>G42</f>
        <v>1116100054.47</v>
      </c>
      <c r="H41" s="769">
        <f>H42</f>
        <v>118906983.78999999</v>
      </c>
      <c r="I41" s="769">
        <f t="shared" ref="I41" si="17">I42</f>
        <v>0</v>
      </c>
      <c r="J41" s="768">
        <f>J42</f>
        <v>206975060.25</v>
      </c>
      <c r="K41" s="769">
        <f>K42</f>
        <v>59509396.250000007</v>
      </c>
      <c r="L41" s="769">
        <f>L42</f>
        <v>145883030</v>
      </c>
      <c r="M41" s="769">
        <f t="shared" ref="M41" si="18">M42</f>
        <v>42570629</v>
      </c>
      <c r="N41" s="769">
        <f>N42</f>
        <v>13673760</v>
      </c>
      <c r="O41" s="768">
        <f>O42</f>
        <v>61092030.250000007</v>
      </c>
      <c r="P41" s="769">
        <f t="shared" ref="P41" si="19">P42</f>
        <v>1827523433.2</v>
      </c>
    </row>
    <row r="42" spans="1:20" ht="136.5" thickTop="1" thickBot="1" x14ac:dyDescent="0.25">
      <c r="A42" s="863" t="s">
        <v>167</v>
      </c>
      <c r="B42" s="863"/>
      <c r="C42" s="863"/>
      <c r="D42" s="864" t="s">
        <v>1</v>
      </c>
      <c r="E42" s="865">
        <f>E43+E74+E85+E79</f>
        <v>1620548372.95</v>
      </c>
      <c r="F42" s="865">
        <f>F43+F74+F85+F79</f>
        <v>1620548372.95</v>
      </c>
      <c r="G42" s="865">
        <f>G43+G74+G85+G79</f>
        <v>1116100054.47</v>
      </c>
      <c r="H42" s="865">
        <f>H43+H74+H85+H79</f>
        <v>118906983.78999999</v>
      </c>
      <c r="I42" s="865">
        <f>I43+I74+I85+I79</f>
        <v>0</v>
      </c>
      <c r="J42" s="865">
        <f>L42+O42</f>
        <v>206975060.25</v>
      </c>
      <c r="K42" s="865">
        <f>K43+K74+K85+K79</f>
        <v>59509396.250000007</v>
      </c>
      <c r="L42" s="865">
        <f>L43+L74+L85+L79</f>
        <v>145883030</v>
      </c>
      <c r="M42" s="865">
        <f>M43+M74+M85+M79</f>
        <v>42570629</v>
      </c>
      <c r="N42" s="865">
        <f>N43+N74+N85+N79</f>
        <v>13673760</v>
      </c>
      <c r="O42" s="865">
        <f>O43+O74+O85+O79</f>
        <v>61092030.250000007</v>
      </c>
      <c r="P42" s="865">
        <f>E42+J42</f>
        <v>1827523433.2</v>
      </c>
      <c r="Q42" s="124" t="b">
        <f>P42=P44+P46+P47+P50+P54+P56+P57+P59+P60+P62+P63+P64+P66+P72+P75+P53+P73+P48+P67+P69+P77+P70+P87+P78+P82+P84</f>
        <v>1</v>
      </c>
      <c r="R42" s="124" t="b">
        <f>K42=[1]d6!J20</f>
        <v>1</v>
      </c>
    </row>
    <row r="43" spans="1:20" ht="47.25" thickTop="1" thickBot="1" x14ac:dyDescent="0.25">
      <c r="A43" s="170" t="s">
        <v>863</v>
      </c>
      <c r="B43" s="170" t="s">
        <v>864</v>
      </c>
      <c r="C43" s="170"/>
      <c r="D43" s="170" t="s">
        <v>865</v>
      </c>
      <c r="E43" s="866">
        <f>E44+E45+E49+E54+E55+E58+E61+E64+E65+E72+E51+E73+E68+E76</f>
        <v>1620464195.95</v>
      </c>
      <c r="F43" s="866">
        <f t="shared" ref="F43:P43" si="20">F44+F45+F49+F54+F55+F58+F61+F64+F65+F72+F51+F73+F68+F76</f>
        <v>1620464195.95</v>
      </c>
      <c r="G43" s="866">
        <f t="shared" si="20"/>
        <v>1116100054.47</v>
      </c>
      <c r="H43" s="866">
        <f t="shared" si="20"/>
        <v>118906983.78999999</v>
      </c>
      <c r="I43" s="866">
        <f t="shared" si="20"/>
        <v>0</v>
      </c>
      <c r="J43" s="866">
        <f t="shared" si="20"/>
        <v>202072072.25</v>
      </c>
      <c r="K43" s="866">
        <f t="shared" si="20"/>
        <v>54606408.250000007</v>
      </c>
      <c r="L43" s="866">
        <f t="shared" si="20"/>
        <v>145883030</v>
      </c>
      <c r="M43" s="866">
        <f t="shared" si="20"/>
        <v>42570629</v>
      </c>
      <c r="N43" s="866">
        <f t="shared" si="20"/>
        <v>13673760</v>
      </c>
      <c r="O43" s="866">
        <f t="shared" si="20"/>
        <v>56189042.250000007</v>
      </c>
      <c r="P43" s="866">
        <f t="shared" si="20"/>
        <v>1822536268.2</v>
      </c>
      <c r="Q43" s="124"/>
      <c r="R43" s="124"/>
    </row>
    <row r="44" spans="1:20" ht="99" customHeight="1" thickTop="1" thickBot="1" x14ac:dyDescent="0.6">
      <c r="A44" s="851" t="s">
        <v>216</v>
      </c>
      <c r="B44" s="851" t="s">
        <v>217</v>
      </c>
      <c r="C44" s="851" t="s">
        <v>219</v>
      </c>
      <c r="D44" s="851" t="s">
        <v>220</v>
      </c>
      <c r="E44" s="866">
        <f>F44</f>
        <v>477496842</v>
      </c>
      <c r="F44" s="878">
        <f>186032+29939+130281+49999+9245600+48500+200000+864900+8600-3000000-140000+(236775-228977.94+274310.94+46235+566500+40000+5100+37560+((372491460+6155150+631440+29930200+2557000+20309300+734740+914480+6850060+1542435+90625+530000+37683.94+102316.06+90274+29393+150000+101020+33980+1000000+18794374+1868908)-1600000-400000+14500+180000+1400000-19760+20000)+3760945+85400+18800+490764)</f>
        <v>477496842</v>
      </c>
      <c r="G44" s="878">
        <f>(((305204300+12733230+1420850)-1600000)+3760945+85400)-3000000</f>
        <v>318604725</v>
      </c>
      <c r="H44" s="878">
        <f>9245600+48500+200000+864900+8600+((20309300+734740+914480+6850060+1542435+1159227+80427)+1400000-19760)+613864+30400+246500-200000-200000</f>
        <v>43829273</v>
      </c>
      <c r="I44" s="878"/>
      <c r="J44" s="866">
        <f t="shared" ref="J44:J67" si="21">L44+O44</f>
        <v>72874415.370000005</v>
      </c>
      <c r="K44" s="878">
        <f>1000000-45333+((800000+3100000+160000+440000+130000+30333+15000+300000+1172122-1172122)+48000+542134.23+700000+500000+500000+59561.14+49000)</f>
        <v>8328695.3700000001</v>
      </c>
      <c r="L44" s="878">
        <f>-19221-4519-100016-1600-1723318-78200-5650-2000-5800+2000000+(69500+12950-19800-38600-1650-400+(12568180+2758370+5329340+76070+37006700+2376280+17030+812980+26200+2000+18400+2848150))</f>
        <v>63921376</v>
      </c>
      <c r="M44" s="878">
        <f>-19221+(69500+(12568180+803420))</f>
        <v>13421879</v>
      </c>
      <c r="N44" s="878">
        <f>2000000+(222380+222120+356490+1320+10670+30130)</f>
        <v>2843110</v>
      </c>
      <c r="O44" s="867">
        <f>-59676+(-22000+(K44+667020+39000))</f>
        <v>8953039.370000001</v>
      </c>
      <c r="P44" s="866">
        <f t="shared" ref="P44:P57" si="22">E44+J44</f>
        <v>550371257.37</v>
      </c>
      <c r="Q44" s="192"/>
      <c r="R44" s="124" t="b">
        <f>K44=[1]d6!J21+[1]d6!J22+[1]d6!J23+[1]d6!J24+[1]d6!J25+[1]d6!J26+[1]d6!J28+[1]d6!J29+[1]d6!J30+[1]d6!J31</f>
        <v>1</v>
      </c>
    </row>
    <row r="45" spans="1:20" ht="138.75" thickTop="1" thickBot="1" x14ac:dyDescent="0.6">
      <c r="A45" s="879" t="s">
        <v>221</v>
      </c>
      <c r="B45" s="879" t="s">
        <v>218</v>
      </c>
      <c r="C45" s="879"/>
      <c r="D45" s="879" t="s">
        <v>799</v>
      </c>
      <c r="E45" s="877">
        <f>E46+E47+E48</f>
        <v>322845698.95999998</v>
      </c>
      <c r="F45" s="877">
        <f t="shared" ref="F45:O45" si="23">F46+F47+F48</f>
        <v>322845698.95999998</v>
      </c>
      <c r="G45" s="877">
        <f t="shared" si="23"/>
        <v>170344377</v>
      </c>
      <c r="H45" s="877">
        <f t="shared" si="23"/>
        <v>56911170.789999999</v>
      </c>
      <c r="I45" s="877">
        <f t="shared" si="23"/>
        <v>0</v>
      </c>
      <c r="J45" s="877">
        <f t="shared" si="23"/>
        <v>78534267.890000001</v>
      </c>
      <c r="K45" s="877">
        <f t="shared" si="23"/>
        <v>25737347.890000004</v>
      </c>
      <c r="L45" s="877">
        <f t="shared" si="23"/>
        <v>52179630</v>
      </c>
      <c r="M45" s="877">
        <f t="shared" si="23"/>
        <v>19898430</v>
      </c>
      <c r="N45" s="877">
        <f t="shared" si="23"/>
        <v>1839250</v>
      </c>
      <c r="O45" s="877">
        <f t="shared" si="23"/>
        <v>26354637.890000004</v>
      </c>
      <c r="P45" s="877">
        <f>E45+J45</f>
        <v>401379966.84999996</v>
      </c>
      <c r="Q45" s="192"/>
      <c r="R45" s="48"/>
    </row>
    <row r="46" spans="1:20" ht="138.75" thickTop="1" thickBot="1" x14ac:dyDescent="0.6">
      <c r="A46" s="851" t="s">
        <v>796</v>
      </c>
      <c r="B46" s="851" t="s">
        <v>797</v>
      </c>
      <c r="C46" s="851" t="s">
        <v>222</v>
      </c>
      <c r="D46" s="851" t="s">
        <v>798</v>
      </c>
      <c r="E46" s="866">
        <f t="shared" ref="E46:E57" si="24">F46</f>
        <v>293855234.13999999</v>
      </c>
      <c r="F46" s="878">
        <f>-186032+87835+45127+93550+49933+28685+190802-27700-9262+9262-11926+11926-43880+199000+49900+262000+58000+650010+6700+29730+302720+2562+4500+2680-47400+11682900+16400-1400000+1795700+67000-9200000+(5100+46200+199000-10500+90000-90000-12600-99400+250000+((293431677)+314737.33-3489794.54-2700000-2424285.65+35000+199620+70000+155500+5000+5000+85000+126230+99400+45000+150000+50000+20000+40000+49900+662500+80000+34010+1101400+17170-165000-635000+200000+795970)-410000-90000+46650+751028+100000)</f>
        <v>293855234.13999999</v>
      </c>
      <c r="G46" s="878">
        <f>262000-6000000+((665932900-12733230-496181500)-410000)</f>
        <v>150870170</v>
      </c>
      <c r="H46" s="878">
        <f>302720+2562+4500+2680+11682900+16400-1400000+1795700+67000+((28409070+505115+696000+1555400+9873130+1177895-1159227+6058967)+314737.33-3489794.54-2700000+662500-165000-635000+200000)+46000+977800-200000-200000+127228</f>
        <v>54529282.789999999</v>
      </c>
      <c r="I46" s="878"/>
      <c r="J46" s="866">
        <f t="shared" si="21"/>
        <v>77616914.890000001</v>
      </c>
      <c r="K46" s="878">
        <f>900000+17667+343190+81373+13800-93500-250000+37800+1000000+32821-160000-33000-176100+40000+(4930406+10500+93500+12600+86900+274000-73565+69862+((548818+750000+750000+1000000+200000+750000+400000+2000000+3000000+1970000+500000+500000+50000+50000+300000+92450+1224076-1224076-1970000)+400000+17500+75000+42000+48000+1738790+1007090+500000+292490.88+49000+110000+78000+220000+250000+250000+49000+49000+1261682+92850.01+291970))</f>
        <v>24871894.890000004</v>
      </c>
      <c r="L46" s="878">
        <f>-9400-8730-184120-5000-260450-55000-25750-8100-1500+894130+(450580+91432-275800-180000-28937-1405-2000-1070+(20260670+4446400+3714280+69930+22978640+1904840+107920+944650+28110+4600+143360-2848150)-16400)</f>
        <v>52127730</v>
      </c>
      <c r="M46" s="878">
        <f>-9400+(450580+(20260670-803420))</f>
        <v>19898430</v>
      </c>
      <c r="N46" s="878">
        <f>894130+(315710+155250+435040+38650-30130)</f>
        <v>1808650</v>
      </c>
      <c r="O46" s="867">
        <f>-148110-52800+((K46+840800-39000)+16400)</f>
        <v>25489184.890000004</v>
      </c>
      <c r="P46" s="866">
        <f t="shared" si="22"/>
        <v>371472149.02999997</v>
      </c>
      <c r="Q46" s="192"/>
      <c r="R46" s="124" t="b">
        <f>K46=[1]d6!J32+[1]d6!J34+[1]d6!J35+[1]d6!J36+[1]d6!J37+[1]d6!J39+[1]d6!J40+[1]d6!J41+[1]d6!J42+[1]d6!J43+[1]d6!J44+[1]d6!J45+[1]d6!J46+[1]d6!J47+[1]d6!J48+[1]d6!J49+[1]d6!J50+[1]d6!J51+[1]d6!J38+[1]d6!J53+[1]d6!J54+[1]d6!J55+[1]d6!J56+[1]d6!J57+[1]d6!J58+[1]d6!J59+[1]d6!J60+[1]d6!J61+[1]d6!J62+[1]d6!J33+[1]d6!J52</f>
        <v>1</v>
      </c>
      <c r="T46" s="232"/>
    </row>
    <row r="47" spans="1:20" ht="276" thickTop="1" thickBot="1" x14ac:dyDescent="0.25">
      <c r="A47" s="851" t="s">
        <v>806</v>
      </c>
      <c r="B47" s="851" t="s">
        <v>807</v>
      </c>
      <c r="C47" s="851" t="s">
        <v>225</v>
      </c>
      <c r="D47" s="851" t="s">
        <v>543</v>
      </c>
      <c r="E47" s="866">
        <f t="shared" si="24"/>
        <v>20335732</v>
      </c>
      <c r="F47" s="878">
        <f>1950+145500-2813600+(((21983082)+14000-38115-8385)+818000+193300+30000+10000)</f>
        <v>20335732</v>
      </c>
      <c r="G47" s="878">
        <f>-150000-2178000+(((18140130-1420850)-38115)+818000)</f>
        <v>15171165</v>
      </c>
      <c r="H47" s="878">
        <f>161500-10000-6000+(((779700+14900+108615+22080-80427)+14000)+192900+400)</f>
        <v>1197668</v>
      </c>
      <c r="I47" s="878"/>
      <c r="J47" s="866">
        <f t="shared" si="21"/>
        <v>917353</v>
      </c>
      <c r="K47" s="878">
        <f>-29400+(-54288+((300000+100000+120000+38430+59425+30000-30000)+16386+314900))</f>
        <v>865453</v>
      </c>
      <c r="L47" s="878">
        <f>(10100+6900+2500+30600+1800)</f>
        <v>51900</v>
      </c>
      <c r="M47" s="878"/>
      <c r="N47" s="878">
        <f>(18600+800+10600+600)</f>
        <v>30600</v>
      </c>
      <c r="O47" s="867">
        <f>K47</f>
        <v>865453</v>
      </c>
      <c r="P47" s="866">
        <f t="shared" si="22"/>
        <v>21253085</v>
      </c>
      <c r="R47" s="348" t="b">
        <f>K47=[1]d6!J63+[1]d6!J64</f>
        <v>1</v>
      </c>
    </row>
    <row r="48" spans="1:20" ht="184.5" thickTop="1" thickBot="1" x14ac:dyDescent="0.25">
      <c r="A48" s="851" t="s">
        <v>1306</v>
      </c>
      <c r="B48" s="851" t="s">
        <v>1307</v>
      </c>
      <c r="C48" s="851" t="s">
        <v>225</v>
      </c>
      <c r="D48" s="851" t="s">
        <v>1308</v>
      </c>
      <c r="E48" s="866">
        <f t="shared" si="24"/>
        <v>8654732.8200000003</v>
      </c>
      <c r="F48" s="878">
        <f>2676050+583050+393085+1755+12377+687450+1005+20870+3555+650+(1626992+355000+25000+1600+1764440+13500+293420+37415+137520+2985+28053.82-11040)</f>
        <v>8654732.8200000003</v>
      </c>
      <c r="G48" s="878">
        <f>1626992+2676050</f>
        <v>4303042</v>
      </c>
      <c r="H48" s="878">
        <f>687450+1005+20870+3555+(293420+37415+137520+2985)</f>
        <v>1184220</v>
      </c>
      <c r="I48" s="878"/>
      <c r="J48" s="866">
        <f t="shared" si="21"/>
        <v>0</v>
      </c>
      <c r="K48" s="878"/>
      <c r="L48" s="878"/>
      <c r="M48" s="878"/>
      <c r="N48" s="878"/>
      <c r="O48" s="867">
        <f>K48</f>
        <v>0</v>
      </c>
      <c r="P48" s="866">
        <f t="shared" si="22"/>
        <v>8654732.8200000003</v>
      </c>
      <c r="R48" s="348"/>
    </row>
    <row r="49" spans="1:18" ht="138.75" thickTop="1" thickBot="1" x14ac:dyDescent="0.25">
      <c r="A49" s="879" t="s">
        <v>544</v>
      </c>
      <c r="B49" s="879" t="s">
        <v>223</v>
      </c>
      <c r="C49" s="879"/>
      <c r="D49" s="879" t="s">
        <v>814</v>
      </c>
      <c r="E49" s="877">
        <f>E50</f>
        <v>608795058</v>
      </c>
      <c r="F49" s="877">
        <f>F50</f>
        <v>608795058</v>
      </c>
      <c r="G49" s="877">
        <f t="shared" ref="G49:P49" si="25">G50</f>
        <v>496181500</v>
      </c>
      <c r="H49" s="877">
        <f t="shared" si="25"/>
        <v>0</v>
      </c>
      <c r="I49" s="877">
        <f t="shared" si="25"/>
        <v>0</v>
      </c>
      <c r="J49" s="877">
        <f t="shared" si="25"/>
        <v>0</v>
      </c>
      <c r="K49" s="877">
        <f t="shared" si="25"/>
        <v>0</v>
      </c>
      <c r="L49" s="877">
        <f t="shared" si="25"/>
        <v>0</v>
      </c>
      <c r="M49" s="877">
        <f t="shared" si="25"/>
        <v>0</v>
      </c>
      <c r="N49" s="877">
        <f t="shared" si="25"/>
        <v>0</v>
      </c>
      <c r="O49" s="877">
        <f t="shared" si="25"/>
        <v>0</v>
      </c>
      <c r="P49" s="877">
        <f t="shared" si="25"/>
        <v>608795058</v>
      </c>
      <c r="R49" s="384"/>
    </row>
    <row r="50" spans="1:18" ht="138.75" thickTop="1" thickBot="1" x14ac:dyDescent="0.25">
      <c r="A50" s="851" t="s">
        <v>815</v>
      </c>
      <c r="B50" s="851" t="s">
        <v>816</v>
      </c>
      <c r="C50" s="851" t="s">
        <v>222</v>
      </c>
      <c r="D50" s="851" t="s">
        <v>798</v>
      </c>
      <c r="E50" s="866">
        <f t="shared" ref="E50" si="26">F50</f>
        <v>608795058</v>
      </c>
      <c r="F50" s="878">
        <v>608795058</v>
      </c>
      <c r="G50" s="878">
        <v>496181500</v>
      </c>
      <c r="H50" s="878"/>
      <c r="I50" s="878"/>
      <c r="J50" s="866">
        <f t="shared" ref="J50" si="27">L50+O50</f>
        <v>0</v>
      </c>
      <c r="K50" s="878"/>
      <c r="L50" s="878"/>
      <c r="M50" s="878"/>
      <c r="N50" s="878"/>
      <c r="O50" s="867">
        <f>K50</f>
        <v>0</v>
      </c>
      <c r="P50" s="866">
        <f t="shared" ref="P50:P53" si="28">E50+J50</f>
        <v>608795058</v>
      </c>
      <c r="R50" s="188"/>
    </row>
    <row r="51" spans="1:18" ht="409.6" thickTop="1" x14ac:dyDescent="0.65">
      <c r="A51" s="1168" t="s">
        <v>1157</v>
      </c>
      <c r="B51" s="1168" t="s">
        <v>52</v>
      </c>
      <c r="C51" s="1168"/>
      <c r="D51" s="880" t="s">
        <v>1160</v>
      </c>
      <c r="E51" s="1166">
        <f t="shared" ref="E51:O51" si="29">E53</f>
        <v>0</v>
      </c>
      <c r="F51" s="1166">
        <f t="shared" si="29"/>
        <v>0</v>
      </c>
      <c r="G51" s="1166">
        <f t="shared" si="29"/>
        <v>0</v>
      </c>
      <c r="H51" s="1166">
        <f t="shared" si="29"/>
        <v>0</v>
      </c>
      <c r="I51" s="1166">
        <f t="shared" si="29"/>
        <v>0</v>
      </c>
      <c r="J51" s="1166">
        <f t="shared" si="29"/>
        <v>6197509.9900000002</v>
      </c>
      <c r="K51" s="1166">
        <f t="shared" si="29"/>
        <v>6197509.9900000002</v>
      </c>
      <c r="L51" s="1166">
        <f t="shared" si="29"/>
        <v>0</v>
      </c>
      <c r="M51" s="1166">
        <f t="shared" si="29"/>
        <v>0</v>
      </c>
      <c r="N51" s="1166">
        <f t="shared" si="29"/>
        <v>0</v>
      </c>
      <c r="O51" s="1166">
        <f t="shared" si="29"/>
        <v>6197509.9900000002</v>
      </c>
      <c r="P51" s="1166">
        <f>E51+J51</f>
        <v>6197509.9900000002</v>
      </c>
      <c r="R51" s="188"/>
    </row>
    <row r="52" spans="1:18" ht="183.75" thickBot="1" x14ac:dyDescent="0.25">
      <c r="A52" s="1064"/>
      <c r="B52" s="1064"/>
      <c r="C52" s="1064"/>
      <c r="D52" s="881" t="s">
        <v>1161</v>
      </c>
      <c r="E52" s="1064"/>
      <c r="F52" s="1064"/>
      <c r="G52" s="1064"/>
      <c r="H52" s="1064"/>
      <c r="I52" s="1064"/>
      <c r="J52" s="1064"/>
      <c r="K52" s="1064"/>
      <c r="L52" s="1064"/>
      <c r="M52" s="1064"/>
      <c r="N52" s="1064"/>
      <c r="O52" s="1064"/>
      <c r="P52" s="1064"/>
      <c r="R52" s="188"/>
    </row>
    <row r="53" spans="1:18" ht="138.75" thickTop="1" thickBot="1" x14ac:dyDescent="0.25">
      <c r="A53" s="851" t="s">
        <v>1158</v>
      </c>
      <c r="B53" s="851" t="s">
        <v>1159</v>
      </c>
      <c r="C53" s="851" t="s">
        <v>222</v>
      </c>
      <c r="D53" s="851" t="s">
        <v>1162</v>
      </c>
      <c r="E53" s="866">
        <f t="shared" ref="E53" si="30">F53</f>
        <v>0</v>
      </c>
      <c r="F53" s="878"/>
      <c r="G53" s="878"/>
      <c r="H53" s="878"/>
      <c r="I53" s="878"/>
      <c r="J53" s="866">
        <f t="shared" ref="J53" si="31">L53+O53</f>
        <v>6197509.9900000002</v>
      </c>
      <c r="K53" s="878">
        <f>700000+700000+2000000+700000+500000+107149.99+400000+400000+690360</f>
        <v>6197509.9900000002</v>
      </c>
      <c r="L53" s="878"/>
      <c r="M53" s="878"/>
      <c r="N53" s="878"/>
      <c r="O53" s="867">
        <f>K53</f>
        <v>6197509.9900000002</v>
      </c>
      <c r="P53" s="866">
        <f t="shared" si="28"/>
        <v>6197509.9900000002</v>
      </c>
      <c r="R53" s="124" t="b">
        <f>K53=[1]d6!J65+[1]d6!J66+[1]d6!J67+[1]d6!J68+[1]d6!J69+[1]d6!J70+[1]d6!J71+[1]d6!J72+[1]d6!J73</f>
        <v>1</v>
      </c>
    </row>
    <row r="54" spans="1:18" ht="184.5" thickTop="1" thickBot="1" x14ac:dyDescent="0.25">
      <c r="A54" s="851" t="s">
        <v>817</v>
      </c>
      <c r="B54" s="851" t="s">
        <v>224</v>
      </c>
      <c r="C54" s="851" t="s">
        <v>199</v>
      </c>
      <c r="D54" s="851" t="s">
        <v>545</v>
      </c>
      <c r="E54" s="866">
        <f t="shared" si="24"/>
        <v>32055658</v>
      </c>
      <c r="F54" s="878">
        <f>-6110-60810-321070-159054-1511+370725-1070000+(36000-31000+198000+43600+210+3420+16600+3720+(((27590745+205730+10500+221500+130820+1620460+33365+388480+37100+8875+121133)+56500+75000+918750+1201665+264366+22418+49800+391485+31000+93850+328696)-542300-257700+30700))</f>
        <v>32055658</v>
      </c>
      <c r="G54" s="878">
        <f>-890000+((((22671115)+1201665)-542300)+198000)</f>
        <v>22638480</v>
      </c>
      <c r="H54" s="878">
        <f>459700-100000+9525+1500+((((1620460+33365+388480+37100)+56500)+30700)+210+3420+16600)</f>
        <v>2557560</v>
      </c>
      <c r="I54" s="878"/>
      <c r="J54" s="866">
        <f t="shared" si="21"/>
        <v>7128900</v>
      </c>
      <c r="K54" s="878">
        <f>-87345-1000000+(-352450+31000+((761045)+177100+2000000))</f>
        <v>1529350</v>
      </c>
      <c r="L54" s="878">
        <f>(1398310+307720+983700+48960+1732500+659140+33260+245150+4900+64910)</f>
        <v>5478550</v>
      </c>
      <c r="M54" s="878">
        <v>1398310</v>
      </c>
      <c r="N54" s="878">
        <f>(14930+1030+228040+1150)+74960</f>
        <v>320110</v>
      </c>
      <c r="O54" s="867">
        <f>K54+121000</f>
        <v>1650350</v>
      </c>
      <c r="P54" s="866">
        <f t="shared" si="22"/>
        <v>39184558</v>
      </c>
      <c r="R54" s="124" t="b">
        <f>K54=[1]d6!J74+[1]d6!J75</f>
        <v>1</v>
      </c>
    </row>
    <row r="55" spans="1:18" ht="184.5" thickTop="1" thickBot="1" x14ac:dyDescent="0.25">
      <c r="A55" s="879" t="s">
        <v>226</v>
      </c>
      <c r="B55" s="879" t="s">
        <v>209</v>
      </c>
      <c r="C55" s="879"/>
      <c r="D55" s="879" t="s">
        <v>547</v>
      </c>
      <c r="E55" s="877">
        <f>E56+E57</f>
        <v>130730172.98999999</v>
      </c>
      <c r="F55" s="877">
        <f t="shared" ref="F55:O55" si="32">F56+F57</f>
        <v>130730172.98999999</v>
      </c>
      <c r="G55" s="877">
        <f t="shared" si="32"/>
        <v>79121648.469999999</v>
      </c>
      <c r="H55" s="877">
        <f t="shared" si="32"/>
        <v>14455050</v>
      </c>
      <c r="I55" s="877">
        <f t="shared" si="32"/>
        <v>0</v>
      </c>
      <c r="J55" s="877">
        <f t="shared" si="32"/>
        <v>26157091</v>
      </c>
      <c r="K55" s="877">
        <f t="shared" si="32"/>
        <v>2048217</v>
      </c>
      <c r="L55" s="877">
        <f t="shared" si="32"/>
        <v>23888874</v>
      </c>
      <c r="M55" s="877">
        <f t="shared" si="32"/>
        <v>7659590</v>
      </c>
      <c r="N55" s="877">
        <f t="shared" si="32"/>
        <v>8619380</v>
      </c>
      <c r="O55" s="877">
        <f t="shared" si="32"/>
        <v>2268217</v>
      </c>
      <c r="P55" s="877">
        <f t="shared" si="22"/>
        <v>156887263.99000001</v>
      </c>
      <c r="R55" s="384"/>
    </row>
    <row r="56" spans="1:18" ht="230.25" thickTop="1" thickBot="1" x14ac:dyDescent="0.25">
      <c r="A56" s="851" t="s">
        <v>818</v>
      </c>
      <c r="B56" s="851" t="s">
        <v>819</v>
      </c>
      <c r="C56" s="851" t="s">
        <v>227</v>
      </c>
      <c r="D56" s="851" t="s">
        <v>820</v>
      </c>
      <c r="E56" s="866">
        <f t="shared" si="24"/>
        <v>112959072.98999999</v>
      </c>
      <c r="F56" s="878">
        <f>49000-500000-500000+3200000-19200+138400-4000+5030340+1339000+(((99149586)+227750+30185+47050+160945+1806575+765263-2155895.53-398189.48-455467-6740-34278-840305)+4460413+788636+680005)</f>
        <v>112959072.98999999</v>
      </c>
      <c r="G56" s="878">
        <f>5030340+(((71786791-14686900)-2155895.53)+4460413)</f>
        <v>64434748.469999999</v>
      </c>
      <c r="H56" s="878">
        <f>3200000-19200+138400-4000+((6850730+76600+19000+3448900+561100)-455467-6740-34278)+680005</f>
        <v>14455050</v>
      </c>
      <c r="I56" s="878"/>
      <c r="J56" s="866">
        <f>L56+O56</f>
        <v>26157091</v>
      </c>
      <c r="K56" s="878">
        <f>20000+(300000+(1170637+15000+542580))</f>
        <v>2048217</v>
      </c>
      <c r="L56" s="878">
        <f>10000+500-20000-22000-12000-6000+237000+21500+45300+605000+216880+275000+20000+13600+530000+79500+((((6797480+1421290+1203730+12000+1235200+849000+70500+6568900+81500+2101880+60940+71000)+95000)+332110+74064)+320000+300000+290290+9710)</f>
        <v>23888874</v>
      </c>
      <c r="M56" s="878">
        <f>530000+((6797480)+332110)</f>
        <v>7659590</v>
      </c>
      <c r="N56" s="878">
        <f>605000+216880+275000+20000+13600+(3761200+749500+1883100+35000+140100)+320000+300000+290290+9710</f>
        <v>8619380</v>
      </c>
      <c r="O56" s="867">
        <f>60000+(K56+160000)</f>
        <v>2268217</v>
      </c>
      <c r="P56" s="866">
        <f t="shared" si="22"/>
        <v>139116163.99000001</v>
      </c>
      <c r="R56" s="124" t="b">
        <f>K56=[1]d6!J76+[1]d6!J77+[1]d6!J78</f>
        <v>1</v>
      </c>
    </row>
    <row r="57" spans="1:18" ht="230.25" thickTop="1" thickBot="1" x14ac:dyDescent="0.25">
      <c r="A57" s="851" t="s">
        <v>822</v>
      </c>
      <c r="B57" s="851" t="s">
        <v>821</v>
      </c>
      <c r="C57" s="851" t="s">
        <v>227</v>
      </c>
      <c r="D57" s="851" t="s">
        <v>823</v>
      </c>
      <c r="E57" s="866">
        <f t="shared" si="24"/>
        <v>17771100</v>
      </c>
      <c r="F57" s="878">
        <v>17771100</v>
      </c>
      <c r="G57" s="878">
        <v>14686900</v>
      </c>
      <c r="H57" s="878"/>
      <c r="I57" s="878"/>
      <c r="J57" s="866">
        <f>L57+O57</f>
        <v>0</v>
      </c>
      <c r="K57" s="878"/>
      <c r="L57" s="878"/>
      <c r="M57" s="878"/>
      <c r="N57" s="878"/>
      <c r="O57" s="867"/>
      <c r="P57" s="866">
        <f t="shared" si="22"/>
        <v>17771100</v>
      </c>
      <c r="R57" s="188"/>
    </row>
    <row r="58" spans="1:18" ht="93" thickTop="1" thickBot="1" x14ac:dyDescent="0.25">
      <c r="A58" s="879" t="s">
        <v>825</v>
      </c>
      <c r="B58" s="879" t="s">
        <v>824</v>
      </c>
      <c r="C58" s="879"/>
      <c r="D58" s="879" t="s">
        <v>826</v>
      </c>
      <c r="E58" s="877">
        <f>E59+E60</f>
        <v>26615682</v>
      </c>
      <c r="F58" s="877">
        <f t="shared" ref="F58:O58" si="33">F59+F60</f>
        <v>26615682</v>
      </c>
      <c r="G58" s="877">
        <f t="shared" si="33"/>
        <v>19288662</v>
      </c>
      <c r="H58" s="877">
        <f t="shared" si="33"/>
        <v>983425</v>
      </c>
      <c r="I58" s="877">
        <f t="shared" si="33"/>
        <v>0</v>
      </c>
      <c r="J58" s="877">
        <f t="shared" si="33"/>
        <v>414600</v>
      </c>
      <c r="K58" s="877">
        <f t="shared" si="33"/>
        <v>0</v>
      </c>
      <c r="L58" s="877">
        <f t="shared" si="33"/>
        <v>414600</v>
      </c>
      <c r="M58" s="877">
        <f t="shared" si="33"/>
        <v>192420</v>
      </c>
      <c r="N58" s="877">
        <f t="shared" si="33"/>
        <v>51910</v>
      </c>
      <c r="O58" s="877">
        <f t="shared" si="33"/>
        <v>0</v>
      </c>
      <c r="P58" s="877">
        <f>E58+J58</f>
        <v>27030282</v>
      </c>
      <c r="R58" s="384"/>
    </row>
    <row r="59" spans="1:18" ht="93" thickTop="1" thickBot="1" x14ac:dyDescent="0.25">
      <c r="A59" s="851" t="s">
        <v>827</v>
      </c>
      <c r="B59" s="851" t="s">
        <v>828</v>
      </c>
      <c r="C59" s="851" t="s">
        <v>228</v>
      </c>
      <c r="D59" s="851" t="s">
        <v>548</v>
      </c>
      <c r="E59" s="866">
        <f>F59</f>
        <v>26408442</v>
      </c>
      <c r="F59" s="878">
        <f>7000-20000+145610-1815000+(((27876650+503000+1370+1193900+45500+638560+11800+2700+192610+15890+5070+2700+300+50000-2996350)+53000+151800+63100+20000)+97700+95700+29200+25000+11632)</f>
        <v>26408442</v>
      </c>
      <c r="G59" s="878">
        <f>-1380000+(22849710-2181048)</f>
        <v>19288662</v>
      </c>
      <c r="H59" s="878">
        <f>141300+2110+2200+((638560+11800+2700+192610+15890-174445)+53000)+17000+2600+77000+1100</f>
        <v>983425</v>
      </c>
      <c r="I59" s="878"/>
      <c r="J59" s="866">
        <f>L59+O59</f>
        <v>414600</v>
      </c>
      <c r="K59" s="878"/>
      <c r="L59" s="878">
        <f>(192420+42340+66010+2500+46010+1210+51910+3000+9200)</f>
        <v>414600</v>
      </c>
      <c r="M59" s="878">
        <v>192420</v>
      </c>
      <c r="N59" s="878">
        <f>(45600+2540+3440+330)</f>
        <v>51910</v>
      </c>
      <c r="O59" s="867">
        <f>K59</f>
        <v>0</v>
      </c>
      <c r="P59" s="866">
        <f>E59+J59</f>
        <v>26823042</v>
      </c>
      <c r="R59" s="188"/>
    </row>
    <row r="60" spans="1:18" ht="93" thickTop="1" thickBot="1" x14ac:dyDescent="0.25">
      <c r="A60" s="851" t="s">
        <v>829</v>
      </c>
      <c r="B60" s="851" t="s">
        <v>830</v>
      </c>
      <c r="C60" s="851" t="s">
        <v>228</v>
      </c>
      <c r="D60" s="851" t="s">
        <v>362</v>
      </c>
      <c r="E60" s="866">
        <f>F60</f>
        <v>207240</v>
      </c>
      <c r="F60" s="878">
        <f>(200000)+7240</f>
        <v>207240</v>
      </c>
      <c r="G60" s="878"/>
      <c r="H60" s="878"/>
      <c r="I60" s="878"/>
      <c r="J60" s="866">
        <f>L60+O60</f>
        <v>0</v>
      </c>
      <c r="K60" s="878"/>
      <c r="L60" s="878"/>
      <c r="M60" s="878"/>
      <c r="N60" s="878"/>
      <c r="O60" s="867">
        <f>K60</f>
        <v>0</v>
      </c>
      <c r="P60" s="866">
        <f>E60+J60</f>
        <v>207240</v>
      </c>
      <c r="R60" s="188"/>
    </row>
    <row r="61" spans="1:18" ht="93" thickTop="1" thickBot="1" x14ac:dyDescent="0.25">
      <c r="A61" s="879" t="s">
        <v>831</v>
      </c>
      <c r="B61" s="879" t="s">
        <v>832</v>
      </c>
      <c r="C61" s="879"/>
      <c r="D61" s="879" t="s">
        <v>459</v>
      </c>
      <c r="E61" s="877">
        <f>E62+E63</f>
        <v>4937485</v>
      </c>
      <c r="F61" s="877">
        <f>F62+F63</f>
        <v>4937485</v>
      </c>
      <c r="G61" s="877">
        <f t="shared" ref="G61:O61" si="34">G62+G63</f>
        <v>3686490</v>
      </c>
      <c r="H61" s="877">
        <f t="shared" si="34"/>
        <v>87755</v>
      </c>
      <c r="I61" s="877">
        <f t="shared" si="34"/>
        <v>0</v>
      </c>
      <c r="J61" s="877">
        <f t="shared" si="34"/>
        <v>50000</v>
      </c>
      <c r="K61" s="877">
        <f t="shared" si="34"/>
        <v>50000</v>
      </c>
      <c r="L61" s="877">
        <f t="shared" si="34"/>
        <v>0</v>
      </c>
      <c r="M61" s="877">
        <f t="shared" si="34"/>
        <v>0</v>
      </c>
      <c r="N61" s="877">
        <f t="shared" si="34"/>
        <v>0</v>
      </c>
      <c r="O61" s="877">
        <f t="shared" si="34"/>
        <v>50000</v>
      </c>
      <c r="P61" s="877">
        <f>E61+J61</f>
        <v>4987485</v>
      </c>
      <c r="R61" s="384"/>
    </row>
    <row r="62" spans="1:18" ht="184.5" thickTop="1" thickBot="1" x14ac:dyDescent="0.25">
      <c r="A62" s="851" t="s">
        <v>833</v>
      </c>
      <c r="B62" s="851" t="s">
        <v>834</v>
      </c>
      <c r="C62" s="851" t="s">
        <v>228</v>
      </c>
      <c r="D62" s="851" t="s">
        <v>835</v>
      </c>
      <c r="E62" s="866">
        <f>F62</f>
        <v>1050685</v>
      </c>
      <c r="F62" s="878">
        <f>-97000+((708190+179200+39200+15020+76200+1430+6000+4125+2320)+116000)</f>
        <v>1050685</v>
      </c>
      <c r="G62" s="878">
        <f>-80000+(580490)</f>
        <v>500490</v>
      </c>
      <c r="H62" s="878">
        <f>(76200+1430+6000+4125)</f>
        <v>87755</v>
      </c>
      <c r="I62" s="878"/>
      <c r="J62" s="866">
        <f>L62+O62</f>
        <v>50000</v>
      </c>
      <c r="K62" s="878">
        <v>50000</v>
      </c>
      <c r="L62" s="878"/>
      <c r="M62" s="878"/>
      <c r="N62" s="878"/>
      <c r="O62" s="867">
        <f>K62</f>
        <v>50000</v>
      </c>
      <c r="P62" s="866">
        <f>E62+J62</f>
        <v>1100685</v>
      </c>
      <c r="R62" s="124" t="b">
        <f>K62=[1]d6!J79</f>
        <v>1</v>
      </c>
    </row>
    <row r="63" spans="1:18" ht="138.75" thickTop="1" thickBot="1" x14ac:dyDescent="0.25">
      <c r="A63" s="851" t="s">
        <v>836</v>
      </c>
      <c r="B63" s="851" t="s">
        <v>837</v>
      </c>
      <c r="C63" s="851" t="s">
        <v>228</v>
      </c>
      <c r="D63" s="851" t="s">
        <v>838</v>
      </c>
      <c r="E63" s="866">
        <f>F63</f>
        <v>3886800</v>
      </c>
      <c r="F63" s="878">
        <f>(3886800)</f>
        <v>3886800</v>
      </c>
      <c r="G63" s="878">
        <f>(3186000)</f>
        <v>3186000</v>
      </c>
      <c r="H63" s="878"/>
      <c r="I63" s="878"/>
      <c r="J63" s="866">
        <f t="shared" ref="J63:J64" si="35">L63+O63</f>
        <v>0</v>
      </c>
      <c r="K63" s="878"/>
      <c r="L63" s="878"/>
      <c r="M63" s="878"/>
      <c r="N63" s="878"/>
      <c r="O63" s="867">
        <f t="shared" ref="O63:O64" si="36">K63</f>
        <v>0</v>
      </c>
      <c r="P63" s="866">
        <f t="shared" ref="P63:P70" si="37">E63+J63</f>
        <v>3886800</v>
      </c>
      <c r="R63" s="188"/>
    </row>
    <row r="64" spans="1:18" ht="138.75" thickTop="1" thickBot="1" x14ac:dyDescent="0.25">
      <c r="A64" s="851" t="s">
        <v>803</v>
      </c>
      <c r="B64" s="851" t="s">
        <v>804</v>
      </c>
      <c r="C64" s="851" t="s">
        <v>228</v>
      </c>
      <c r="D64" s="851" t="s">
        <v>805</v>
      </c>
      <c r="E64" s="866">
        <f t="shared" ref="E64:E78" si="38">F64</f>
        <v>1850615</v>
      </c>
      <c r="F64" s="878">
        <f>-209800+((2996350)-692000-152240-80795-2000-8900)</f>
        <v>1850615</v>
      </c>
      <c r="G64" s="878">
        <f>-172000+((2181048)-692000)</f>
        <v>1317048</v>
      </c>
      <c r="H64" s="878">
        <f>(174445)-80795-2000-8900</f>
        <v>82750</v>
      </c>
      <c r="I64" s="878"/>
      <c r="J64" s="866">
        <f t="shared" si="35"/>
        <v>50000</v>
      </c>
      <c r="K64" s="878">
        <v>50000</v>
      </c>
      <c r="L64" s="878"/>
      <c r="M64" s="878"/>
      <c r="N64" s="878"/>
      <c r="O64" s="867">
        <f t="shared" si="36"/>
        <v>50000</v>
      </c>
      <c r="P64" s="866">
        <f t="shared" si="37"/>
        <v>1900615</v>
      </c>
      <c r="R64" s="124" t="b">
        <f>K64=[1]d6!J80</f>
        <v>1</v>
      </c>
    </row>
    <row r="65" spans="1:18" s="39" customFormat="1" ht="230.25" thickTop="1" thickBot="1" x14ac:dyDescent="0.25">
      <c r="A65" s="879" t="s">
        <v>808</v>
      </c>
      <c r="B65" s="879" t="s">
        <v>809</v>
      </c>
      <c r="C65" s="879"/>
      <c r="D65" s="879" t="s">
        <v>810</v>
      </c>
      <c r="E65" s="877">
        <f t="shared" si="38"/>
        <v>9043301</v>
      </c>
      <c r="F65" s="877">
        <f>SUM(F66:F67)</f>
        <v>9043301</v>
      </c>
      <c r="G65" s="877">
        <f t="shared" ref="G65:I65" si="39">SUM(G66:G67)</f>
        <v>0</v>
      </c>
      <c r="H65" s="877">
        <f t="shared" si="39"/>
        <v>0</v>
      </c>
      <c r="I65" s="877">
        <f t="shared" si="39"/>
        <v>0</v>
      </c>
      <c r="J65" s="877">
        <f t="shared" si="21"/>
        <v>3500200</v>
      </c>
      <c r="K65" s="877">
        <f>SUM(K66:K67)</f>
        <v>3500200</v>
      </c>
      <c r="L65" s="877">
        <f t="shared" ref="L65:N65" si="40">SUM(L66:L67)</f>
        <v>0</v>
      </c>
      <c r="M65" s="877">
        <f t="shared" si="40"/>
        <v>0</v>
      </c>
      <c r="N65" s="877">
        <f t="shared" si="40"/>
        <v>0</v>
      </c>
      <c r="O65" s="877">
        <f>SUM(O66:O67)</f>
        <v>3500200</v>
      </c>
      <c r="P65" s="877">
        <f t="shared" si="37"/>
        <v>12543501</v>
      </c>
      <c r="Q65" s="191"/>
      <c r="R65" s="48"/>
    </row>
    <row r="66" spans="1:18" s="39" customFormat="1" ht="367.5" thickTop="1" thickBot="1" x14ac:dyDescent="0.25">
      <c r="A66" s="851" t="s">
        <v>811</v>
      </c>
      <c r="B66" s="851" t="s">
        <v>812</v>
      </c>
      <c r="C66" s="851" t="s">
        <v>228</v>
      </c>
      <c r="D66" s="851" t="s">
        <v>813</v>
      </c>
      <c r="E66" s="866">
        <f t="shared" si="38"/>
        <v>4362735</v>
      </c>
      <c r="F66" s="878">
        <f>(2300000+600000)+1462735</f>
        <v>4362735</v>
      </c>
      <c r="G66" s="878"/>
      <c r="H66" s="878"/>
      <c r="I66" s="878"/>
      <c r="J66" s="866">
        <f t="shared" si="21"/>
        <v>2117071</v>
      </c>
      <c r="K66" s="878">
        <f>117071+(2000000)</f>
        <v>2117071</v>
      </c>
      <c r="L66" s="878"/>
      <c r="M66" s="878"/>
      <c r="N66" s="878"/>
      <c r="O66" s="867">
        <f t="shared" ref="O66:O67" si="41">K66</f>
        <v>2117071</v>
      </c>
      <c r="P66" s="866">
        <f t="shared" si="37"/>
        <v>6479806</v>
      </c>
      <c r="Q66" s="191"/>
      <c r="R66" s="124" t="b">
        <f>K66=[1]d6!J81</f>
        <v>1</v>
      </c>
    </row>
    <row r="67" spans="1:18" s="39" customFormat="1" ht="367.5" thickTop="1" thickBot="1" x14ac:dyDescent="0.25">
      <c r="A67" s="851" t="s">
        <v>1279</v>
      </c>
      <c r="B67" s="851" t="s">
        <v>1280</v>
      </c>
      <c r="C67" s="851" t="s">
        <v>228</v>
      </c>
      <c r="D67" s="851" t="s">
        <v>1281</v>
      </c>
      <c r="E67" s="866">
        <f t="shared" si="38"/>
        <v>4680566</v>
      </c>
      <c r="F67" s="878">
        <v>4680566</v>
      </c>
      <c r="G67" s="878"/>
      <c r="H67" s="878"/>
      <c r="I67" s="878"/>
      <c r="J67" s="866">
        <f t="shared" si="21"/>
        <v>1383129</v>
      </c>
      <c r="K67" s="878">
        <v>1383129</v>
      </c>
      <c r="L67" s="878"/>
      <c r="M67" s="878"/>
      <c r="N67" s="878"/>
      <c r="O67" s="867">
        <f t="shared" si="41"/>
        <v>1383129</v>
      </c>
      <c r="P67" s="866">
        <f t="shared" si="37"/>
        <v>6063695</v>
      </c>
      <c r="Q67" s="191"/>
      <c r="R67" s="124" t="b">
        <f>K67=[1]d6!J82</f>
        <v>1</v>
      </c>
    </row>
    <row r="68" spans="1:18" s="39" customFormat="1" ht="409.6" hidden="1" thickTop="1" thickBot="1" x14ac:dyDescent="0.25">
      <c r="A68" s="879" t="s">
        <v>1309</v>
      </c>
      <c r="B68" s="879" t="s">
        <v>1311</v>
      </c>
      <c r="C68" s="879"/>
      <c r="D68" s="879" t="s">
        <v>1313</v>
      </c>
      <c r="E68" s="877">
        <f>E69+E70</f>
        <v>0</v>
      </c>
      <c r="F68" s="877">
        <f>F69+F70</f>
        <v>0</v>
      </c>
      <c r="G68" s="877">
        <f t="shared" ref="G68:I68" si="42">G69+G70</f>
        <v>0</v>
      </c>
      <c r="H68" s="877">
        <f t="shared" si="42"/>
        <v>0</v>
      </c>
      <c r="I68" s="877">
        <f t="shared" si="42"/>
        <v>0</v>
      </c>
      <c r="J68" s="882">
        <f>L68+O68</f>
        <v>0</v>
      </c>
      <c r="K68" s="882">
        <f t="shared" ref="K68:O68" si="43">K69+K70</f>
        <v>0</v>
      </c>
      <c r="L68" s="882">
        <f t="shared" si="43"/>
        <v>0</v>
      </c>
      <c r="M68" s="882">
        <f t="shared" si="43"/>
        <v>0</v>
      </c>
      <c r="N68" s="882">
        <f t="shared" si="43"/>
        <v>0</v>
      </c>
      <c r="O68" s="882">
        <f t="shared" si="43"/>
        <v>0</v>
      </c>
      <c r="P68" s="882">
        <f t="shared" si="37"/>
        <v>0</v>
      </c>
      <c r="Q68" s="191"/>
      <c r="R68" s="124"/>
    </row>
    <row r="69" spans="1:18" s="39" customFormat="1" ht="409.6" hidden="1" thickTop="1" thickBot="1" x14ac:dyDescent="0.25">
      <c r="A69" s="851" t="s">
        <v>1310</v>
      </c>
      <c r="B69" s="851" t="s">
        <v>1312</v>
      </c>
      <c r="C69" s="851" t="s">
        <v>228</v>
      </c>
      <c r="D69" s="851" t="s">
        <v>1314</v>
      </c>
      <c r="E69" s="866">
        <f t="shared" ref="E69:E70" si="44">F69</f>
        <v>0</v>
      </c>
      <c r="F69" s="878"/>
      <c r="G69" s="878"/>
      <c r="H69" s="878"/>
      <c r="I69" s="878"/>
      <c r="J69" s="883">
        <f t="shared" ref="J69:J70" si="45">L69+O69</f>
        <v>0</v>
      </c>
      <c r="K69" s="884">
        <f>4547046.18-4547046.18</f>
        <v>0</v>
      </c>
      <c r="L69" s="884"/>
      <c r="M69" s="884"/>
      <c r="N69" s="884"/>
      <c r="O69" s="885">
        <f t="shared" ref="O69:O70" si="46">K69</f>
        <v>0</v>
      </c>
      <c r="P69" s="883">
        <f t="shared" si="37"/>
        <v>0</v>
      </c>
      <c r="Q69" s="191"/>
      <c r="R69" s="124" t="b">
        <f>K69=[1]d6!J83</f>
        <v>1</v>
      </c>
    </row>
    <row r="70" spans="1:18" s="39" customFormat="1" ht="312" hidden="1" customHeight="1" thickTop="1" x14ac:dyDescent="0.2">
      <c r="A70" s="1095" t="s">
        <v>1337</v>
      </c>
      <c r="B70" s="1095" t="s">
        <v>1338</v>
      </c>
      <c r="C70" s="1095" t="s">
        <v>228</v>
      </c>
      <c r="D70" s="1095" t="s">
        <v>1339</v>
      </c>
      <c r="E70" s="1167">
        <f t="shared" si="44"/>
        <v>0</v>
      </c>
      <c r="F70" s="1167"/>
      <c r="G70" s="1167"/>
      <c r="H70" s="1167"/>
      <c r="I70" s="1167"/>
      <c r="J70" s="1169">
        <f t="shared" si="45"/>
        <v>0</v>
      </c>
      <c r="K70" s="1171">
        <f>10623233.82-10623233.82</f>
        <v>0</v>
      </c>
      <c r="L70" s="1169"/>
      <c r="M70" s="1169"/>
      <c r="N70" s="1169"/>
      <c r="O70" s="1171">
        <f t="shared" si="46"/>
        <v>0</v>
      </c>
      <c r="P70" s="1169">
        <f t="shared" si="37"/>
        <v>0</v>
      </c>
      <c r="Q70" s="191"/>
      <c r="R70" s="124" t="b">
        <f>K70=[1]d6!J84</f>
        <v>1</v>
      </c>
    </row>
    <row r="71" spans="1:18" s="39" customFormat="1" ht="195" hidden="1" customHeight="1" thickBot="1" x14ac:dyDescent="0.25">
      <c r="A71" s="1064"/>
      <c r="B71" s="1064"/>
      <c r="C71" s="1064"/>
      <c r="D71" s="1064"/>
      <c r="E71" s="1064"/>
      <c r="F71" s="1064"/>
      <c r="G71" s="1064"/>
      <c r="H71" s="1064"/>
      <c r="I71" s="1064"/>
      <c r="J71" s="1170"/>
      <c r="K71" s="1170"/>
      <c r="L71" s="1170"/>
      <c r="M71" s="1170"/>
      <c r="N71" s="1170"/>
      <c r="O71" s="1170"/>
      <c r="P71" s="1170"/>
      <c r="Q71" s="191"/>
      <c r="R71" s="124"/>
    </row>
    <row r="72" spans="1:18" s="39" customFormat="1" ht="321.75" thickTop="1" thickBot="1" x14ac:dyDescent="0.25">
      <c r="A72" s="851" t="s">
        <v>800</v>
      </c>
      <c r="B72" s="851" t="s">
        <v>801</v>
      </c>
      <c r="C72" s="851" t="s">
        <v>228</v>
      </c>
      <c r="D72" s="851" t="s">
        <v>802</v>
      </c>
      <c r="E72" s="866">
        <f t="shared" si="38"/>
        <v>4721984</v>
      </c>
      <c r="F72" s="878">
        <f>4721984</f>
        <v>4721984</v>
      </c>
      <c r="G72" s="878">
        <f>(1855198+1937278)</f>
        <v>3792476</v>
      </c>
      <c r="H72" s="878"/>
      <c r="I72" s="878"/>
      <c r="J72" s="866">
        <f t="shared" ref="J72:J73" si="47">L72+O72</f>
        <v>2396198</v>
      </c>
      <c r="K72" s="878">
        <v>2396198</v>
      </c>
      <c r="L72" s="878"/>
      <c r="M72" s="878"/>
      <c r="N72" s="878"/>
      <c r="O72" s="867">
        <f t="shared" ref="O72:O73" si="48">K72</f>
        <v>2396198</v>
      </c>
      <c r="P72" s="866">
        <f t="shared" ref="P72:P73" si="49">E72+J72</f>
        <v>7118182</v>
      </c>
      <c r="Q72" s="191"/>
      <c r="R72" s="124" t="b">
        <f>K72=[1]d6!J86</f>
        <v>1</v>
      </c>
    </row>
    <row r="73" spans="1:18" s="39" customFormat="1" ht="321.75" thickTop="1" thickBot="1" x14ac:dyDescent="0.25">
      <c r="A73" s="851" t="s">
        <v>1195</v>
      </c>
      <c r="B73" s="851" t="s">
        <v>1196</v>
      </c>
      <c r="C73" s="851" t="s">
        <v>228</v>
      </c>
      <c r="D73" s="851" t="s">
        <v>1197</v>
      </c>
      <c r="E73" s="866">
        <f t="shared" si="38"/>
        <v>1371699</v>
      </c>
      <c r="F73" s="878">
        <f>(879350+193085)+245298+53966</f>
        <v>1371699</v>
      </c>
      <c r="G73" s="878">
        <f>(879350)+245298</f>
        <v>1124648</v>
      </c>
      <c r="H73" s="878"/>
      <c r="I73" s="878"/>
      <c r="J73" s="866">
        <f t="shared" si="47"/>
        <v>748890</v>
      </c>
      <c r="K73" s="878">
        <f>(576190)+172700</f>
        <v>748890</v>
      </c>
      <c r="L73" s="878"/>
      <c r="M73" s="878"/>
      <c r="N73" s="878"/>
      <c r="O73" s="867">
        <f t="shared" si="48"/>
        <v>748890</v>
      </c>
      <c r="P73" s="866">
        <f t="shared" si="49"/>
        <v>2120589</v>
      </c>
      <c r="Q73" s="191"/>
      <c r="R73" s="124" t="b">
        <f>K73=[1]d6!J87</f>
        <v>1</v>
      </c>
    </row>
    <row r="74" spans="1:18" s="39" customFormat="1" ht="91.5" hidden="1" thickTop="1" thickBot="1" x14ac:dyDescent="0.25">
      <c r="A74" s="170" t="s">
        <v>866</v>
      </c>
      <c r="B74" s="170" t="s">
        <v>867</v>
      </c>
      <c r="C74" s="170"/>
      <c r="D74" s="170" t="s">
        <v>868</v>
      </c>
      <c r="E74" s="866">
        <f>SUM(E75)</f>
        <v>0</v>
      </c>
      <c r="F74" s="866">
        <f t="shared" ref="F74:O74" si="50">SUM(F75)</f>
        <v>0</v>
      </c>
      <c r="G74" s="866">
        <f t="shared" si="50"/>
        <v>0</v>
      </c>
      <c r="H74" s="866">
        <f t="shared" si="50"/>
        <v>0</v>
      </c>
      <c r="I74" s="866">
        <f t="shared" si="50"/>
        <v>0</v>
      </c>
      <c r="J74" s="883">
        <f t="shared" si="50"/>
        <v>0</v>
      </c>
      <c r="K74" s="883">
        <f t="shared" si="50"/>
        <v>0</v>
      </c>
      <c r="L74" s="883">
        <f t="shared" si="50"/>
        <v>0</v>
      </c>
      <c r="M74" s="883">
        <f t="shared" si="50"/>
        <v>0</v>
      </c>
      <c r="N74" s="883">
        <f t="shared" si="50"/>
        <v>0</v>
      </c>
      <c r="O74" s="883">
        <f t="shared" si="50"/>
        <v>0</v>
      </c>
      <c r="P74" s="883">
        <f>SUM(P75)</f>
        <v>0</v>
      </c>
      <c r="Q74" s="191"/>
      <c r="R74" s="124"/>
    </row>
    <row r="75" spans="1:18" s="39" customFormat="1" ht="367.5" hidden="1" thickTop="1" thickBot="1" x14ac:dyDescent="0.25">
      <c r="A75" s="851" t="s">
        <v>461</v>
      </c>
      <c r="B75" s="851" t="s">
        <v>462</v>
      </c>
      <c r="C75" s="851" t="s">
        <v>203</v>
      </c>
      <c r="D75" s="851" t="s">
        <v>460</v>
      </c>
      <c r="E75" s="866">
        <f t="shared" si="38"/>
        <v>0</v>
      </c>
      <c r="F75" s="878">
        <f>(2688000)-2688000</f>
        <v>0</v>
      </c>
      <c r="G75" s="878"/>
      <c r="H75" s="878"/>
      <c r="I75" s="878"/>
      <c r="J75" s="883">
        <f>L75+O75</f>
        <v>0</v>
      </c>
      <c r="K75" s="884"/>
      <c r="L75" s="884"/>
      <c r="M75" s="884"/>
      <c r="N75" s="884"/>
      <c r="O75" s="885">
        <f>K75</f>
        <v>0</v>
      </c>
      <c r="P75" s="883">
        <f>E75+J75</f>
        <v>0</v>
      </c>
      <c r="Q75" s="191"/>
      <c r="R75" s="193"/>
    </row>
    <row r="76" spans="1:18" s="39" customFormat="1" ht="230.25" thickTop="1" thickBot="1" x14ac:dyDescent="0.25">
      <c r="A76" s="879" t="s">
        <v>1315</v>
      </c>
      <c r="B76" s="879" t="s">
        <v>1317</v>
      </c>
      <c r="C76" s="879"/>
      <c r="D76" s="879" t="s">
        <v>1319</v>
      </c>
      <c r="E76" s="877">
        <f t="shared" si="38"/>
        <v>0</v>
      </c>
      <c r="F76" s="877">
        <f>SUM(F77:F78)</f>
        <v>0</v>
      </c>
      <c r="G76" s="877">
        <f>SUM(G77:G78)</f>
        <v>0</v>
      </c>
      <c r="H76" s="877">
        <f>SUM(H77:H78)</f>
        <v>0</v>
      </c>
      <c r="I76" s="877">
        <f>SUM(I77:I78)</f>
        <v>0</v>
      </c>
      <c r="J76" s="877">
        <f>L76+O76</f>
        <v>4020000</v>
      </c>
      <c r="K76" s="877">
        <f>SUM(K77:K78)</f>
        <v>4020000</v>
      </c>
      <c r="L76" s="877">
        <f>SUM(L77:L78)</f>
        <v>0</v>
      </c>
      <c r="M76" s="877">
        <f>SUM(M77:M78)</f>
        <v>0</v>
      </c>
      <c r="N76" s="877">
        <f>SUM(N77:N78)</f>
        <v>0</v>
      </c>
      <c r="O76" s="877">
        <f>SUM(O77:O78)</f>
        <v>4020000</v>
      </c>
      <c r="P76" s="877">
        <f>E76+J76</f>
        <v>4020000</v>
      </c>
      <c r="Q76" s="191"/>
      <c r="R76" s="193"/>
    </row>
    <row r="77" spans="1:18" s="39" customFormat="1" ht="367.5" thickTop="1" thickBot="1" x14ac:dyDescent="0.25">
      <c r="A77" s="851" t="s">
        <v>1316</v>
      </c>
      <c r="B77" s="851" t="s">
        <v>1318</v>
      </c>
      <c r="C77" s="851" t="s">
        <v>228</v>
      </c>
      <c r="D77" s="851" t="s">
        <v>1320</v>
      </c>
      <c r="E77" s="866">
        <f t="shared" si="38"/>
        <v>0</v>
      </c>
      <c r="F77" s="878"/>
      <c r="G77" s="878"/>
      <c r="H77" s="878"/>
      <c r="I77" s="878"/>
      <c r="J77" s="866">
        <f t="shared" ref="J77:J78" si="51">L77+O77</f>
        <v>1500000</v>
      </c>
      <c r="K77" s="878">
        <f>100000+1400000</f>
        <v>1500000</v>
      </c>
      <c r="L77" s="878"/>
      <c r="M77" s="878"/>
      <c r="N77" s="878"/>
      <c r="O77" s="867">
        <f t="shared" ref="O77:O78" si="52">K77</f>
        <v>1500000</v>
      </c>
      <c r="P77" s="866">
        <f>E77+J77</f>
        <v>1500000</v>
      </c>
      <c r="Q77" s="191"/>
      <c r="R77" s="124" t="b">
        <f>K77=[1]d6!J88+[1]d6!J89</f>
        <v>1</v>
      </c>
    </row>
    <row r="78" spans="1:18" s="39" customFormat="1" ht="321.75" thickTop="1" thickBot="1" x14ac:dyDescent="0.25">
      <c r="A78" s="851" t="s">
        <v>1388</v>
      </c>
      <c r="B78" s="851" t="s">
        <v>1389</v>
      </c>
      <c r="C78" s="851" t="s">
        <v>228</v>
      </c>
      <c r="D78" s="851" t="s">
        <v>1387</v>
      </c>
      <c r="E78" s="866">
        <f t="shared" si="38"/>
        <v>0</v>
      </c>
      <c r="F78" s="878">
        <f>(553900)-553900</f>
        <v>0</v>
      </c>
      <c r="G78" s="878"/>
      <c r="H78" s="878"/>
      <c r="I78" s="878"/>
      <c r="J78" s="866">
        <f t="shared" si="51"/>
        <v>2520000</v>
      </c>
      <c r="K78" s="878">
        <f>(1966100)+553900</f>
        <v>2520000</v>
      </c>
      <c r="L78" s="878"/>
      <c r="M78" s="878"/>
      <c r="N78" s="878"/>
      <c r="O78" s="867">
        <f t="shared" si="52"/>
        <v>2520000</v>
      </c>
      <c r="P78" s="866">
        <f>E78+J78</f>
        <v>2520000</v>
      </c>
      <c r="Q78" s="191"/>
      <c r="R78" s="124" t="b">
        <f>K78=[1]d6!J90</f>
        <v>1</v>
      </c>
    </row>
    <row r="79" spans="1:18" s="39" customFormat="1" ht="47.25" thickTop="1" thickBot="1" x14ac:dyDescent="0.25">
      <c r="A79" s="170" t="s">
        <v>1450</v>
      </c>
      <c r="B79" s="170" t="s">
        <v>905</v>
      </c>
      <c r="C79" s="170"/>
      <c r="D79" s="170" t="s">
        <v>1449</v>
      </c>
      <c r="E79" s="866">
        <f>E80+E83</f>
        <v>84177</v>
      </c>
      <c r="F79" s="866">
        <f t="shared" ref="F79:P79" si="53">F80+F83</f>
        <v>84177</v>
      </c>
      <c r="G79" s="866">
        <f t="shared" si="53"/>
        <v>0</v>
      </c>
      <c r="H79" s="866">
        <f t="shared" si="53"/>
        <v>0</v>
      </c>
      <c r="I79" s="866">
        <f t="shared" si="53"/>
        <v>0</v>
      </c>
      <c r="J79" s="866">
        <f t="shared" si="53"/>
        <v>200000</v>
      </c>
      <c r="K79" s="866">
        <f t="shared" si="53"/>
        <v>200000</v>
      </c>
      <c r="L79" s="866">
        <f t="shared" si="53"/>
        <v>0</v>
      </c>
      <c r="M79" s="866">
        <f t="shared" si="53"/>
        <v>0</v>
      </c>
      <c r="N79" s="866">
        <f t="shared" si="53"/>
        <v>0</v>
      </c>
      <c r="O79" s="866">
        <f t="shared" si="53"/>
        <v>200000</v>
      </c>
      <c r="P79" s="866">
        <f t="shared" si="53"/>
        <v>284177</v>
      </c>
      <c r="Q79" s="191"/>
      <c r="R79" s="124"/>
    </row>
    <row r="80" spans="1:18" s="39" customFormat="1" ht="91.5" thickTop="1" thickBot="1" x14ac:dyDescent="0.25">
      <c r="A80" s="872" t="s">
        <v>1448</v>
      </c>
      <c r="B80" s="872" t="s">
        <v>961</v>
      </c>
      <c r="C80" s="872"/>
      <c r="D80" s="872" t="s">
        <v>962</v>
      </c>
      <c r="E80" s="873">
        <f>E81</f>
        <v>0</v>
      </c>
      <c r="F80" s="873">
        <f t="shared" ref="F80:P81" si="54">F81</f>
        <v>0</v>
      </c>
      <c r="G80" s="873">
        <f t="shared" si="54"/>
        <v>0</v>
      </c>
      <c r="H80" s="873">
        <f t="shared" si="54"/>
        <v>0</v>
      </c>
      <c r="I80" s="873">
        <f t="shared" si="54"/>
        <v>0</v>
      </c>
      <c r="J80" s="873">
        <f t="shared" si="54"/>
        <v>200000</v>
      </c>
      <c r="K80" s="873">
        <f t="shared" si="54"/>
        <v>200000</v>
      </c>
      <c r="L80" s="873">
        <f t="shared" si="54"/>
        <v>0</v>
      </c>
      <c r="M80" s="873">
        <f t="shared" si="54"/>
        <v>0</v>
      </c>
      <c r="N80" s="873">
        <f t="shared" si="54"/>
        <v>0</v>
      </c>
      <c r="O80" s="873">
        <f t="shared" si="54"/>
        <v>200000</v>
      </c>
      <c r="P80" s="873">
        <f t="shared" si="54"/>
        <v>200000</v>
      </c>
      <c r="Q80" s="191"/>
      <c r="R80" s="124"/>
    </row>
    <row r="81" spans="1:18" s="39" customFormat="1" ht="145.5" thickTop="1" thickBot="1" x14ac:dyDescent="0.25">
      <c r="A81" s="879" t="s">
        <v>1451</v>
      </c>
      <c r="B81" s="879" t="s">
        <v>980</v>
      </c>
      <c r="C81" s="879"/>
      <c r="D81" s="879" t="s">
        <v>1452</v>
      </c>
      <c r="E81" s="877">
        <f>E82</f>
        <v>0</v>
      </c>
      <c r="F81" s="877">
        <f t="shared" si="54"/>
        <v>0</v>
      </c>
      <c r="G81" s="877">
        <f t="shared" si="54"/>
        <v>0</v>
      </c>
      <c r="H81" s="877">
        <f t="shared" si="54"/>
        <v>0</v>
      </c>
      <c r="I81" s="877">
        <f t="shared" si="54"/>
        <v>0</v>
      </c>
      <c r="J81" s="877">
        <f t="shared" si="54"/>
        <v>200000</v>
      </c>
      <c r="K81" s="877">
        <f t="shared" si="54"/>
        <v>200000</v>
      </c>
      <c r="L81" s="877">
        <f t="shared" si="54"/>
        <v>0</v>
      </c>
      <c r="M81" s="877">
        <f t="shared" si="54"/>
        <v>0</v>
      </c>
      <c r="N81" s="877">
        <f t="shared" si="54"/>
        <v>0</v>
      </c>
      <c r="O81" s="877">
        <f t="shared" si="54"/>
        <v>200000</v>
      </c>
      <c r="P81" s="877">
        <f t="shared" si="54"/>
        <v>200000</v>
      </c>
      <c r="Q81" s="191"/>
      <c r="R81" s="124"/>
    </row>
    <row r="82" spans="1:18" s="39" customFormat="1" ht="99.75" thickTop="1" thickBot="1" x14ac:dyDescent="0.25">
      <c r="A82" s="851" t="s">
        <v>1469</v>
      </c>
      <c r="B82" s="879" t="s">
        <v>334</v>
      </c>
      <c r="C82" s="851" t="s">
        <v>323</v>
      </c>
      <c r="D82" s="851" t="s">
        <v>778</v>
      </c>
      <c r="E82" s="866">
        <f t="shared" ref="E82" si="55">F82</f>
        <v>0</v>
      </c>
      <c r="F82" s="878"/>
      <c r="G82" s="878"/>
      <c r="H82" s="878"/>
      <c r="I82" s="878"/>
      <c r="J82" s="866">
        <f t="shared" ref="J82" si="56">L82+O82</f>
        <v>200000</v>
      </c>
      <c r="K82" s="878">
        <v>200000</v>
      </c>
      <c r="L82" s="878"/>
      <c r="M82" s="878"/>
      <c r="N82" s="878"/>
      <c r="O82" s="867">
        <f t="shared" ref="O82" si="57">K82</f>
        <v>200000</v>
      </c>
      <c r="P82" s="866">
        <f>E82+J82</f>
        <v>200000</v>
      </c>
      <c r="Q82" s="124"/>
      <c r="R82" s="124" t="b">
        <f>K82=[1]d6!J91</f>
        <v>1</v>
      </c>
    </row>
    <row r="83" spans="1:18" s="39" customFormat="1" ht="136.5" thickTop="1" thickBot="1" x14ac:dyDescent="0.25">
      <c r="A83" s="872" t="s">
        <v>1455</v>
      </c>
      <c r="B83" s="872" t="s">
        <v>847</v>
      </c>
      <c r="C83" s="872"/>
      <c r="D83" s="872" t="s">
        <v>845</v>
      </c>
      <c r="E83" s="873">
        <f>E84</f>
        <v>84177</v>
      </c>
      <c r="F83" s="873">
        <f t="shared" ref="F83:P83" si="58">F84</f>
        <v>84177</v>
      </c>
      <c r="G83" s="873">
        <f t="shared" si="58"/>
        <v>0</v>
      </c>
      <c r="H83" s="873">
        <f t="shared" si="58"/>
        <v>0</v>
      </c>
      <c r="I83" s="873">
        <f t="shared" si="58"/>
        <v>0</v>
      </c>
      <c r="J83" s="873">
        <f t="shared" si="58"/>
        <v>0</v>
      </c>
      <c r="K83" s="873">
        <f t="shared" si="58"/>
        <v>0</v>
      </c>
      <c r="L83" s="873">
        <f t="shared" si="58"/>
        <v>0</v>
      </c>
      <c r="M83" s="873">
        <f t="shared" si="58"/>
        <v>0</v>
      </c>
      <c r="N83" s="873">
        <f t="shared" si="58"/>
        <v>0</v>
      </c>
      <c r="O83" s="873">
        <f t="shared" si="58"/>
        <v>0</v>
      </c>
      <c r="P83" s="873">
        <f t="shared" si="58"/>
        <v>84177</v>
      </c>
      <c r="Q83" s="124"/>
      <c r="R83" s="124"/>
    </row>
    <row r="84" spans="1:18" s="39" customFormat="1" ht="48" thickTop="1" thickBot="1" x14ac:dyDescent="0.25">
      <c r="A84" s="851" t="s">
        <v>1456</v>
      </c>
      <c r="B84" s="879" t="s">
        <v>230</v>
      </c>
      <c r="C84" s="851" t="s">
        <v>231</v>
      </c>
      <c r="D84" s="851" t="s">
        <v>43</v>
      </c>
      <c r="E84" s="866">
        <f t="shared" ref="E84" si="59">F84</f>
        <v>84177</v>
      </c>
      <c r="F84" s="878">
        <f>8177+76000</f>
        <v>84177</v>
      </c>
      <c r="G84" s="878"/>
      <c r="H84" s="878"/>
      <c r="I84" s="878"/>
      <c r="J84" s="866">
        <f t="shared" ref="J84" si="60">L84+O84</f>
        <v>0</v>
      </c>
      <c r="K84" s="878"/>
      <c r="L84" s="878"/>
      <c r="M84" s="878"/>
      <c r="N84" s="878"/>
      <c r="O84" s="867">
        <f t="shared" ref="O84" si="61">K84</f>
        <v>0</v>
      </c>
      <c r="P84" s="866">
        <f>E84+J84</f>
        <v>84177</v>
      </c>
      <c r="Q84" s="124"/>
      <c r="R84" s="124"/>
    </row>
    <row r="85" spans="1:18" s="39" customFormat="1" ht="47.25" thickTop="1" thickBot="1" x14ac:dyDescent="0.25">
      <c r="A85" s="170" t="s">
        <v>1359</v>
      </c>
      <c r="B85" s="170" t="s">
        <v>858</v>
      </c>
      <c r="C85" s="170"/>
      <c r="D85" s="170" t="s">
        <v>859</v>
      </c>
      <c r="E85" s="866">
        <f>E86</f>
        <v>0</v>
      </c>
      <c r="F85" s="866">
        <f t="shared" ref="F85:P86" si="62">F86</f>
        <v>0</v>
      </c>
      <c r="G85" s="866">
        <f t="shared" si="62"/>
        <v>0</v>
      </c>
      <c r="H85" s="866">
        <f t="shared" si="62"/>
        <v>0</v>
      </c>
      <c r="I85" s="866">
        <f t="shared" si="62"/>
        <v>0</v>
      </c>
      <c r="J85" s="866">
        <f t="shared" si="62"/>
        <v>4702988</v>
      </c>
      <c r="K85" s="866">
        <f t="shared" si="62"/>
        <v>4702988</v>
      </c>
      <c r="L85" s="866">
        <f t="shared" si="62"/>
        <v>0</v>
      </c>
      <c r="M85" s="866">
        <f t="shared" si="62"/>
        <v>0</v>
      </c>
      <c r="N85" s="866">
        <f t="shared" si="62"/>
        <v>0</v>
      </c>
      <c r="O85" s="866">
        <f t="shared" si="62"/>
        <v>4702988</v>
      </c>
      <c r="P85" s="866">
        <f t="shared" si="62"/>
        <v>4702988</v>
      </c>
      <c r="Q85" s="191"/>
      <c r="R85" s="124"/>
    </row>
    <row r="86" spans="1:18" s="39" customFormat="1" ht="271.5" thickTop="1" thickBot="1" x14ac:dyDescent="0.25">
      <c r="A86" s="872" t="s">
        <v>1360</v>
      </c>
      <c r="B86" s="872" t="s">
        <v>861</v>
      </c>
      <c r="C86" s="872"/>
      <c r="D86" s="872" t="s">
        <v>862</v>
      </c>
      <c r="E86" s="873">
        <f>E87</f>
        <v>0</v>
      </c>
      <c r="F86" s="873">
        <f t="shared" si="62"/>
        <v>0</v>
      </c>
      <c r="G86" s="873">
        <f t="shared" si="62"/>
        <v>0</v>
      </c>
      <c r="H86" s="873">
        <f t="shared" si="62"/>
        <v>0</v>
      </c>
      <c r="I86" s="873">
        <f t="shared" si="62"/>
        <v>0</v>
      </c>
      <c r="J86" s="873">
        <f t="shared" si="62"/>
        <v>4702988</v>
      </c>
      <c r="K86" s="873">
        <f t="shared" si="62"/>
        <v>4702988</v>
      </c>
      <c r="L86" s="873">
        <f t="shared" si="62"/>
        <v>0</v>
      </c>
      <c r="M86" s="873">
        <f t="shared" si="62"/>
        <v>0</v>
      </c>
      <c r="N86" s="873">
        <f t="shared" si="62"/>
        <v>0</v>
      </c>
      <c r="O86" s="873">
        <f t="shared" si="62"/>
        <v>4702988</v>
      </c>
      <c r="P86" s="873">
        <f t="shared" si="62"/>
        <v>4702988</v>
      </c>
      <c r="Q86" s="191"/>
      <c r="R86" s="124"/>
    </row>
    <row r="87" spans="1:18" s="39" customFormat="1" ht="93" thickTop="1" thickBot="1" x14ac:dyDescent="0.25">
      <c r="A87" s="851" t="s">
        <v>1361</v>
      </c>
      <c r="B87" s="851" t="s">
        <v>389</v>
      </c>
      <c r="C87" s="851" t="s">
        <v>45</v>
      </c>
      <c r="D87" s="851" t="s">
        <v>390</v>
      </c>
      <c r="E87" s="866">
        <f t="shared" ref="E87" si="63">F87</f>
        <v>0</v>
      </c>
      <c r="F87" s="878"/>
      <c r="G87" s="878"/>
      <c r="H87" s="878"/>
      <c r="I87" s="878"/>
      <c r="J87" s="866">
        <f>L87+O87</f>
        <v>4702988</v>
      </c>
      <c r="K87" s="878">
        <f>(4547046.18)+155941.82</f>
        <v>4702988</v>
      </c>
      <c r="L87" s="878"/>
      <c r="M87" s="878"/>
      <c r="N87" s="878"/>
      <c r="O87" s="867">
        <f>K87</f>
        <v>4702988</v>
      </c>
      <c r="P87" s="866">
        <f>E87+J87</f>
        <v>4702988</v>
      </c>
      <c r="Q87" s="191"/>
      <c r="R87" s="124" t="b">
        <f>K87=[1]d6!J92</f>
        <v>1</v>
      </c>
    </row>
    <row r="88" spans="1:18" ht="136.5" thickTop="1" thickBot="1" x14ac:dyDescent="0.25">
      <c r="A88" s="766" t="s">
        <v>168</v>
      </c>
      <c r="B88" s="766"/>
      <c r="C88" s="766"/>
      <c r="D88" s="767" t="s">
        <v>18</v>
      </c>
      <c r="E88" s="768">
        <f>E89</f>
        <v>83985402</v>
      </c>
      <c r="F88" s="769">
        <f t="shared" ref="F88:G88" si="64">F89</f>
        <v>83985402</v>
      </c>
      <c r="G88" s="769">
        <f t="shared" si="64"/>
        <v>4293600</v>
      </c>
      <c r="H88" s="769">
        <f>H89</f>
        <v>201540</v>
      </c>
      <c r="I88" s="769">
        <f t="shared" ref="I88" si="65">I89</f>
        <v>0</v>
      </c>
      <c r="J88" s="768">
        <f>J89</f>
        <v>25204420</v>
      </c>
      <c r="K88" s="769">
        <f>K89</f>
        <v>25182420</v>
      </c>
      <c r="L88" s="769">
        <f>L89</f>
        <v>22000</v>
      </c>
      <c r="M88" s="769">
        <f t="shared" ref="M88" si="66">M89</f>
        <v>0</v>
      </c>
      <c r="N88" s="769">
        <f>N89</f>
        <v>0</v>
      </c>
      <c r="O88" s="768">
        <f>O89</f>
        <v>25182420</v>
      </c>
      <c r="P88" s="769">
        <f>P89</f>
        <v>109189822</v>
      </c>
    </row>
    <row r="89" spans="1:18" ht="181.5" thickTop="1" thickBot="1" x14ac:dyDescent="0.25">
      <c r="A89" s="863" t="s">
        <v>169</v>
      </c>
      <c r="B89" s="863"/>
      <c r="C89" s="863"/>
      <c r="D89" s="864" t="s">
        <v>38</v>
      </c>
      <c r="E89" s="865">
        <f>E90+E92+E105</f>
        <v>83985402</v>
      </c>
      <c r="F89" s="865">
        <f t="shared" ref="F89:I89" si="67">F90+F92+F105</f>
        <v>83985402</v>
      </c>
      <c r="G89" s="865">
        <f t="shared" si="67"/>
        <v>4293600</v>
      </c>
      <c r="H89" s="865">
        <f t="shared" si="67"/>
        <v>201540</v>
      </c>
      <c r="I89" s="865">
        <f t="shared" si="67"/>
        <v>0</v>
      </c>
      <c r="J89" s="865">
        <f>L89+O89</f>
        <v>25204420</v>
      </c>
      <c r="K89" s="865">
        <f t="shared" ref="K89:O89" si="68">K90+K92+K105</f>
        <v>25182420</v>
      </c>
      <c r="L89" s="865">
        <f t="shared" si="68"/>
        <v>22000</v>
      </c>
      <c r="M89" s="865">
        <f t="shared" si="68"/>
        <v>0</v>
      </c>
      <c r="N89" s="865">
        <f t="shared" si="68"/>
        <v>0</v>
      </c>
      <c r="O89" s="865">
        <f t="shared" si="68"/>
        <v>25182420</v>
      </c>
      <c r="P89" s="865">
        <f t="shared" ref="P89:P111" si="69">E89+J89</f>
        <v>109189822</v>
      </c>
      <c r="Q89" s="124" t="b">
        <f>P89=P91+P93+P94+P95+P96+P97+P99+P101+P103+P104+P110+P108</f>
        <v>1</v>
      </c>
      <c r="R89" s="124" t="b">
        <f>K89=[1]d6!J94</f>
        <v>1</v>
      </c>
    </row>
    <row r="90" spans="1:18" ht="47.25" thickTop="1" thickBot="1" x14ac:dyDescent="0.25">
      <c r="A90" s="170" t="s">
        <v>869</v>
      </c>
      <c r="B90" s="170" t="s">
        <v>840</v>
      </c>
      <c r="C90" s="170"/>
      <c r="D90" s="170" t="s">
        <v>841</v>
      </c>
      <c r="E90" s="866">
        <f>SUM(E91)</f>
        <v>2578825</v>
      </c>
      <c r="F90" s="866">
        <f t="shared" ref="F90:O90" si="70">SUM(F91)</f>
        <v>2578825</v>
      </c>
      <c r="G90" s="866">
        <f t="shared" si="70"/>
        <v>1928600</v>
      </c>
      <c r="H90" s="866">
        <f t="shared" si="70"/>
        <v>110635</v>
      </c>
      <c r="I90" s="866">
        <f t="shared" si="70"/>
        <v>0</v>
      </c>
      <c r="J90" s="866">
        <f t="shared" si="70"/>
        <v>100000</v>
      </c>
      <c r="K90" s="866">
        <f t="shared" si="70"/>
        <v>100000</v>
      </c>
      <c r="L90" s="866">
        <f t="shared" si="70"/>
        <v>0</v>
      </c>
      <c r="M90" s="866">
        <f t="shared" si="70"/>
        <v>0</v>
      </c>
      <c r="N90" s="866">
        <f t="shared" si="70"/>
        <v>0</v>
      </c>
      <c r="O90" s="866">
        <f t="shared" si="70"/>
        <v>100000</v>
      </c>
      <c r="P90" s="866">
        <f>SUM(P91)</f>
        <v>2678825</v>
      </c>
      <c r="Q90" s="124"/>
      <c r="R90" s="124"/>
    </row>
    <row r="91" spans="1:18" ht="230.25" thickTop="1" thickBot="1" x14ac:dyDescent="0.25">
      <c r="A91" s="851" t="s">
        <v>444</v>
      </c>
      <c r="B91" s="851" t="s">
        <v>254</v>
      </c>
      <c r="C91" s="851" t="s">
        <v>252</v>
      </c>
      <c r="D91" s="851" t="s">
        <v>253</v>
      </c>
      <c r="E91" s="866">
        <f>F91</f>
        <v>2578825</v>
      </c>
      <c r="F91" s="878">
        <f>107000+24000+((1821600+400750+56870+45495+11375+110635+1100))</f>
        <v>2578825</v>
      </c>
      <c r="G91" s="878">
        <f>107000+(1821600)</f>
        <v>1928600</v>
      </c>
      <c r="H91" s="878">
        <f>(1900+27000+81735)</f>
        <v>110635</v>
      </c>
      <c r="I91" s="878"/>
      <c r="J91" s="866">
        <f t="shared" ref="J91:J111" si="71">L91+O91</f>
        <v>100000</v>
      </c>
      <c r="K91" s="878">
        <v>100000</v>
      </c>
      <c r="L91" s="878"/>
      <c r="M91" s="878"/>
      <c r="N91" s="878"/>
      <c r="O91" s="867">
        <f>K91</f>
        <v>100000</v>
      </c>
      <c r="P91" s="866">
        <f t="shared" si="69"/>
        <v>2678825</v>
      </c>
      <c r="Q91" s="193"/>
      <c r="R91" s="124" t="b">
        <f>K91=[1]d6!J95</f>
        <v>1</v>
      </c>
    </row>
    <row r="92" spans="1:18" ht="47.25" thickTop="1" thickBot="1" x14ac:dyDescent="0.25">
      <c r="A92" s="170" t="s">
        <v>870</v>
      </c>
      <c r="B92" s="170" t="s">
        <v>871</v>
      </c>
      <c r="C92" s="170"/>
      <c r="D92" s="170" t="s">
        <v>872</v>
      </c>
      <c r="E92" s="866">
        <f>SUM(E93:E104)-E98-E100-E102</f>
        <v>81406577</v>
      </c>
      <c r="F92" s="866">
        <f t="shared" ref="F92:P92" si="72">SUM(F93:F104)-F98-F100-F102</f>
        <v>81406577</v>
      </c>
      <c r="G92" s="866">
        <f t="shared" si="72"/>
        <v>2365000</v>
      </c>
      <c r="H92" s="866">
        <f t="shared" si="72"/>
        <v>90905</v>
      </c>
      <c r="I92" s="866">
        <f t="shared" si="72"/>
        <v>0</v>
      </c>
      <c r="J92" s="866">
        <f t="shared" si="72"/>
        <v>46000</v>
      </c>
      <c r="K92" s="866">
        <f t="shared" si="72"/>
        <v>24000</v>
      </c>
      <c r="L92" s="866">
        <f t="shared" si="72"/>
        <v>22000</v>
      </c>
      <c r="M92" s="866">
        <f t="shared" si="72"/>
        <v>0</v>
      </c>
      <c r="N92" s="866">
        <f t="shared" si="72"/>
        <v>0</v>
      </c>
      <c r="O92" s="866">
        <f t="shared" si="72"/>
        <v>24000</v>
      </c>
      <c r="P92" s="866">
        <f t="shared" si="72"/>
        <v>81452577</v>
      </c>
      <c r="Q92" s="193"/>
      <c r="R92" s="193"/>
    </row>
    <row r="93" spans="1:18" ht="93" thickTop="1" thickBot="1" x14ac:dyDescent="0.25">
      <c r="A93" s="851" t="s">
        <v>232</v>
      </c>
      <c r="B93" s="851" t="s">
        <v>229</v>
      </c>
      <c r="C93" s="851" t="s">
        <v>233</v>
      </c>
      <c r="D93" s="851" t="s">
        <v>19</v>
      </c>
      <c r="E93" s="866">
        <f>F93</f>
        <v>17173455</v>
      </c>
      <c r="F93" s="878">
        <f>1444000+480000+((14263455+200000+78000)+508000+200000)</f>
        <v>17173455</v>
      </c>
      <c r="G93" s="878"/>
      <c r="H93" s="878"/>
      <c r="I93" s="878"/>
      <c r="J93" s="866">
        <f t="shared" si="71"/>
        <v>0</v>
      </c>
      <c r="K93" s="878"/>
      <c r="L93" s="878"/>
      <c r="M93" s="878"/>
      <c r="N93" s="878"/>
      <c r="O93" s="867">
        <f>K93</f>
        <v>0</v>
      </c>
      <c r="P93" s="866">
        <f t="shared" si="69"/>
        <v>17173455</v>
      </c>
      <c r="R93" s="188"/>
    </row>
    <row r="94" spans="1:18" ht="93" thickTop="1" thickBot="1" x14ac:dyDescent="0.25">
      <c r="A94" s="851" t="s">
        <v>552</v>
      </c>
      <c r="B94" s="851" t="s">
        <v>555</v>
      </c>
      <c r="C94" s="851" t="s">
        <v>554</v>
      </c>
      <c r="D94" s="851" t="s">
        <v>553</v>
      </c>
      <c r="E94" s="866">
        <f>F94</f>
        <v>7867407</v>
      </c>
      <c r="F94" s="878">
        <f>1100000-80000-900000+(((6277220+100000+165100)+122207+973902)+58283+50695)</f>
        <v>7867407</v>
      </c>
      <c r="G94" s="878"/>
      <c r="H94" s="878"/>
      <c r="I94" s="878"/>
      <c r="J94" s="866">
        <f t="shared" si="71"/>
        <v>0</v>
      </c>
      <c r="K94" s="878"/>
      <c r="L94" s="878"/>
      <c r="M94" s="878"/>
      <c r="N94" s="878"/>
      <c r="O94" s="867"/>
      <c r="P94" s="866">
        <f t="shared" si="69"/>
        <v>7867407</v>
      </c>
      <c r="R94" s="193"/>
    </row>
    <row r="95" spans="1:18" ht="138.75" thickTop="1" thickBot="1" x14ac:dyDescent="0.25">
      <c r="A95" s="851" t="s">
        <v>234</v>
      </c>
      <c r="B95" s="851" t="s">
        <v>235</v>
      </c>
      <c r="C95" s="851" t="s">
        <v>236</v>
      </c>
      <c r="D95" s="851" t="s">
        <v>237</v>
      </c>
      <c r="E95" s="866">
        <f t="shared" ref="E95:E111" si="73">F95</f>
        <v>6699850</v>
      </c>
      <c r="F95" s="878">
        <f>1280000+350000-221350+((4320000+100000+31200)+840000)</f>
        <v>6699850</v>
      </c>
      <c r="G95" s="878"/>
      <c r="H95" s="878"/>
      <c r="I95" s="878"/>
      <c r="J95" s="866">
        <f t="shared" si="71"/>
        <v>0</v>
      </c>
      <c r="K95" s="878"/>
      <c r="L95" s="878"/>
      <c r="M95" s="878"/>
      <c r="N95" s="878"/>
      <c r="O95" s="867">
        <f>K95</f>
        <v>0</v>
      </c>
      <c r="P95" s="866">
        <f t="shared" si="69"/>
        <v>6699850</v>
      </c>
      <c r="R95" s="193"/>
    </row>
    <row r="96" spans="1:18" ht="138.75" thickTop="1" thickBot="1" x14ac:dyDescent="0.25">
      <c r="A96" s="851" t="s">
        <v>238</v>
      </c>
      <c r="B96" s="851" t="s">
        <v>239</v>
      </c>
      <c r="C96" s="851" t="s">
        <v>240</v>
      </c>
      <c r="D96" s="851" t="s">
        <v>371</v>
      </c>
      <c r="E96" s="866">
        <f t="shared" si="73"/>
        <v>10948590</v>
      </c>
      <c r="F96" s="878">
        <f>-75000+1107500-80000-300000-700000+(((7180650+300000+100000+9100)+748920+336950+50000+265000+705470)+1200000+600000-500000)</f>
        <v>10948590</v>
      </c>
      <c r="G96" s="878"/>
      <c r="H96" s="878"/>
      <c r="I96" s="878"/>
      <c r="J96" s="866">
        <f t="shared" si="71"/>
        <v>0</v>
      </c>
      <c r="K96" s="878"/>
      <c r="L96" s="878"/>
      <c r="M96" s="878"/>
      <c r="N96" s="878"/>
      <c r="O96" s="867">
        <f>K96</f>
        <v>0</v>
      </c>
      <c r="P96" s="866">
        <f t="shared" si="69"/>
        <v>10948590</v>
      </c>
      <c r="R96" s="193"/>
    </row>
    <row r="97" spans="1:18" ht="93" thickTop="1" thickBot="1" x14ac:dyDescent="0.25">
      <c r="A97" s="851" t="s">
        <v>241</v>
      </c>
      <c r="B97" s="851" t="s">
        <v>242</v>
      </c>
      <c r="C97" s="851" t="s">
        <v>243</v>
      </c>
      <c r="D97" s="851" t="s">
        <v>244</v>
      </c>
      <c r="E97" s="866">
        <f t="shared" si="73"/>
        <v>7063935</v>
      </c>
      <c r="F97" s="878">
        <f>(6881935)+182000</f>
        <v>7063935</v>
      </c>
      <c r="G97" s="878"/>
      <c r="H97" s="878"/>
      <c r="I97" s="878"/>
      <c r="J97" s="866">
        <f t="shared" si="71"/>
        <v>0</v>
      </c>
      <c r="K97" s="878"/>
      <c r="L97" s="878"/>
      <c r="M97" s="878"/>
      <c r="N97" s="878"/>
      <c r="O97" s="867">
        <f>K97</f>
        <v>0</v>
      </c>
      <c r="P97" s="866">
        <f t="shared" si="69"/>
        <v>7063935</v>
      </c>
      <c r="R97" s="193"/>
    </row>
    <row r="98" spans="1:18" ht="93" thickTop="1" thickBot="1" x14ac:dyDescent="0.25">
      <c r="A98" s="879" t="s">
        <v>873</v>
      </c>
      <c r="B98" s="879" t="s">
        <v>874</v>
      </c>
      <c r="C98" s="879"/>
      <c r="D98" s="879" t="s">
        <v>875</v>
      </c>
      <c r="E98" s="877">
        <f>E99</f>
        <v>10853915</v>
      </c>
      <c r="F98" s="877">
        <f t="shared" ref="F98:P98" si="74">F99</f>
        <v>10853915</v>
      </c>
      <c r="G98" s="877">
        <f t="shared" si="74"/>
        <v>0</v>
      </c>
      <c r="H98" s="877">
        <f t="shared" si="74"/>
        <v>0</v>
      </c>
      <c r="I98" s="877">
        <f t="shared" si="74"/>
        <v>0</v>
      </c>
      <c r="J98" s="877">
        <f t="shared" si="74"/>
        <v>0</v>
      </c>
      <c r="K98" s="877">
        <f t="shared" si="74"/>
        <v>0</v>
      </c>
      <c r="L98" s="877">
        <f t="shared" si="74"/>
        <v>0</v>
      </c>
      <c r="M98" s="877">
        <f t="shared" si="74"/>
        <v>0</v>
      </c>
      <c r="N98" s="877">
        <f t="shared" si="74"/>
        <v>0</v>
      </c>
      <c r="O98" s="877">
        <f t="shared" si="74"/>
        <v>0</v>
      </c>
      <c r="P98" s="877">
        <f t="shared" si="74"/>
        <v>10853915</v>
      </c>
      <c r="R98" s="193"/>
    </row>
    <row r="99" spans="1:18" ht="184.5" thickTop="1" thickBot="1" x14ac:dyDescent="0.25">
      <c r="A99" s="851" t="s">
        <v>245</v>
      </c>
      <c r="B99" s="851" t="s">
        <v>246</v>
      </c>
      <c r="C99" s="851" t="s">
        <v>372</v>
      </c>
      <c r="D99" s="851" t="s">
        <v>247</v>
      </c>
      <c r="E99" s="866">
        <f t="shared" si="73"/>
        <v>10853915</v>
      </c>
      <c r="F99" s="878">
        <f>620000-100000+86400+((10788065+359450)-300000-100000-500000)</f>
        <v>10853915</v>
      </c>
      <c r="G99" s="878"/>
      <c r="H99" s="878"/>
      <c r="I99" s="878"/>
      <c r="J99" s="866">
        <f t="shared" si="71"/>
        <v>0</v>
      </c>
      <c r="K99" s="878"/>
      <c r="L99" s="878"/>
      <c r="M99" s="878"/>
      <c r="N99" s="878"/>
      <c r="O99" s="867">
        <f t="shared" ref="O99:O111" si="75">K99</f>
        <v>0</v>
      </c>
      <c r="P99" s="866">
        <f t="shared" si="69"/>
        <v>10853915</v>
      </c>
      <c r="R99" s="193"/>
    </row>
    <row r="100" spans="1:18" ht="138.75" thickTop="1" thickBot="1" x14ac:dyDescent="0.25">
      <c r="A100" s="879" t="s">
        <v>876</v>
      </c>
      <c r="B100" s="879" t="s">
        <v>877</v>
      </c>
      <c r="C100" s="879"/>
      <c r="D100" s="879" t="s">
        <v>878</v>
      </c>
      <c r="E100" s="877">
        <f>E101</f>
        <v>14254000</v>
      </c>
      <c r="F100" s="877">
        <f t="shared" ref="F100:P100" si="76">F101</f>
        <v>14254000</v>
      </c>
      <c r="G100" s="877">
        <f t="shared" si="76"/>
        <v>0</v>
      </c>
      <c r="H100" s="877">
        <f t="shared" si="76"/>
        <v>0</v>
      </c>
      <c r="I100" s="877">
        <f t="shared" si="76"/>
        <v>0</v>
      </c>
      <c r="J100" s="877">
        <f t="shared" si="76"/>
        <v>0</v>
      </c>
      <c r="K100" s="877">
        <f t="shared" si="76"/>
        <v>0</v>
      </c>
      <c r="L100" s="877">
        <f t="shared" si="76"/>
        <v>0</v>
      </c>
      <c r="M100" s="877">
        <f t="shared" si="76"/>
        <v>0</v>
      </c>
      <c r="N100" s="877">
        <f t="shared" si="76"/>
        <v>0</v>
      </c>
      <c r="O100" s="877">
        <f t="shared" si="76"/>
        <v>0</v>
      </c>
      <c r="P100" s="877">
        <f t="shared" si="76"/>
        <v>14254000</v>
      </c>
      <c r="R100" s="193"/>
    </row>
    <row r="101" spans="1:18" ht="138.75" thickTop="1" thickBot="1" x14ac:dyDescent="0.25">
      <c r="A101" s="851" t="s">
        <v>519</v>
      </c>
      <c r="B101" s="851" t="s">
        <v>520</v>
      </c>
      <c r="C101" s="851" t="s">
        <v>248</v>
      </c>
      <c r="D101" s="851" t="s">
        <v>521</v>
      </c>
      <c r="E101" s="866">
        <f t="shared" si="73"/>
        <v>14254000</v>
      </c>
      <c r="F101" s="878">
        <f>((9137200)+334400)+4782400</f>
        <v>14254000</v>
      </c>
      <c r="G101" s="878"/>
      <c r="H101" s="878"/>
      <c r="I101" s="878"/>
      <c r="J101" s="866">
        <f t="shared" si="71"/>
        <v>0</v>
      </c>
      <c r="K101" s="878"/>
      <c r="L101" s="878"/>
      <c r="M101" s="878"/>
      <c r="N101" s="878"/>
      <c r="O101" s="867">
        <f t="shared" si="75"/>
        <v>0</v>
      </c>
      <c r="P101" s="866">
        <f t="shared" si="69"/>
        <v>14254000</v>
      </c>
      <c r="R101" s="193"/>
    </row>
    <row r="102" spans="1:18" ht="138.75" thickTop="1" thickBot="1" x14ac:dyDescent="0.25">
      <c r="A102" s="879" t="s">
        <v>879</v>
      </c>
      <c r="B102" s="879" t="s">
        <v>880</v>
      </c>
      <c r="C102" s="879"/>
      <c r="D102" s="879" t="s">
        <v>881</v>
      </c>
      <c r="E102" s="877">
        <f>SUM(E103:E104)</f>
        <v>6545425</v>
      </c>
      <c r="F102" s="877">
        <f t="shared" ref="F102:P102" si="77">SUM(F103:F104)</f>
        <v>6545425</v>
      </c>
      <c r="G102" s="877">
        <f t="shared" si="77"/>
        <v>2365000</v>
      </c>
      <c r="H102" s="877">
        <f t="shared" si="77"/>
        <v>90905</v>
      </c>
      <c r="I102" s="877">
        <f t="shared" si="77"/>
        <v>0</v>
      </c>
      <c r="J102" s="877">
        <f t="shared" si="77"/>
        <v>46000</v>
      </c>
      <c r="K102" s="877">
        <f t="shared" si="77"/>
        <v>24000</v>
      </c>
      <c r="L102" s="877">
        <f t="shared" si="77"/>
        <v>22000</v>
      </c>
      <c r="M102" s="877">
        <f t="shared" si="77"/>
        <v>0</v>
      </c>
      <c r="N102" s="877">
        <f t="shared" si="77"/>
        <v>0</v>
      </c>
      <c r="O102" s="877">
        <f t="shared" si="77"/>
        <v>24000</v>
      </c>
      <c r="P102" s="877">
        <f t="shared" si="77"/>
        <v>6591425</v>
      </c>
      <c r="R102" s="193"/>
    </row>
    <row r="103" spans="1:18" s="39" customFormat="1" ht="138.75" thickTop="1" thickBot="1" x14ac:dyDescent="0.25">
      <c r="A103" s="851" t="s">
        <v>346</v>
      </c>
      <c r="B103" s="851" t="s">
        <v>348</v>
      </c>
      <c r="C103" s="851" t="s">
        <v>248</v>
      </c>
      <c r="D103" s="321" t="s">
        <v>344</v>
      </c>
      <c r="E103" s="866">
        <f t="shared" si="73"/>
        <v>3229425</v>
      </c>
      <c r="F103" s="878">
        <f>(2365000+520300+93000+157000+3220+90905)</f>
        <v>3229425</v>
      </c>
      <c r="G103" s="878">
        <f>(2365000)</f>
        <v>2365000</v>
      </c>
      <c r="H103" s="878">
        <f>(1900+22650+55260+11095)</f>
        <v>90905</v>
      </c>
      <c r="I103" s="878"/>
      <c r="J103" s="866">
        <f t="shared" si="71"/>
        <v>46000</v>
      </c>
      <c r="K103" s="878">
        <v>24000</v>
      </c>
      <c r="L103" s="878">
        <v>22000</v>
      </c>
      <c r="M103" s="878"/>
      <c r="N103" s="878"/>
      <c r="O103" s="867">
        <f t="shared" si="75"/>
        <v>24000</v>
      </c>
      <c r="P103" s="866">
        <f t="shared" si="69"/>
        <v>3275425</v>
      </c>
      <c r="Q103" s="191"/>
      <c r="R103" s="124" t="b">
        <f>K103=[1]d6!J96</f>
        <v>1</v>
      </c>
    </row>
    <row r="104" spans="1:18" s="39" customFormat="1" ht="93" thickTop="1" thickBot="1" x14ac:dyDescent="0.25">
      <c r="A104" s="851" t="s">
        <v>347</v>
      </c>
      <c r="B104" s="851" t="s">
        <v>349</v>
      </c>
      <c r="C104" s="851" t="s">
        <v>248</v>
      </c>
      <c r="D104" s="321" t="s">
        <v>345</v>
      </c>
      <c r="E104" s="866">
        <f t="shared" si="73"/>
        <v>3316000</v>
      </c>
      <c r="F104" s="878">
        <f>-100000+((3016000)+400000)</f>
        <v>3316000</v>
      </c>
      <c r="G104" s="878"/>
      <c r="H104" s="878"/>
      <c r="I104" s="878"/>
      <c r="J104" s="866">
        <f t="shared" si="71"/>
        <v>0</v>
      </c>
      <c r="K104" s="878"/>
      <c r="L104" s="878"/>
      <c r="M104" s="878"/>
      <c r="N104" s="878"/>
      <c r="O104" s="867">
        <f t="shared" si="75"/>
        <v>0</v>
      </c>
      <c r="P104" s="866">
        <f t="shared" si="69"/>
        <v>3316000</v>
      </c>
      <c r="Q104" s="191"/>
      <c r="R104" s="193"/>
    </row>
    <row r="105" spans="1:18" s="39" customFormat="1" ht="47.25" thickTop="1" thickBot="1" x14ac:dyDescent="0.25">
      <c r="A105" s="170" t="s">
        <v>907</v>
      </c>
      <c r="B105" s="871" t="s">
        <v>905</v>
      </c>
      <c r="C105" s="871"/>
      <c r="D105" s="871" t="s">
        <v>906</v>
      </c>
      <c r="E105" s="866">
        <f>SUM(E109)+E106</f>
        <v>0</v>
      </c>
      <c r="F105" s="866">
        <f t="shared" ref="F105:P105" si="78">SUM(F109)+F106</f>
        <v>0</v>
      </c>
      <c r="G105" s="866">
        <f t="shared" si="78"/>
        <v>0</v>
      </c>
      <c r="H105" s="866">
        <f t="shared" si="78"/>
        <v>0</v>
      </c>
      <c r="I105" s="866">
        <f t="shared" si="78"/>
        <v>0</v>
      </c>
      <c r="J105" s="866">
        <f t="shared" si="78"/>
        <v>25058420</v>
      </c>
      <c r="K105" s="866">
        <f t="shared" si="78"/>
        <v>25058420</v>
      </c>
      <c r="L105" s="866">
        <f t="shared" si="78"/>
        <v>0</v>
      </c>
      <c r="M105" s="866">
        <f t="shared" si="78"/>
        <v>0</v>
      </c>
      <c r="N105" s="866">
        <f t="shared" si="78"/>
        <v>0</v>
      </c>
      <c r="O105" s="866">
        <f t="shared" si="78"/>
        <v>25058420</v>
      </c>
      <c r="P105" s="866">
        <f t="shared" si="78"/>
        <v>25058420</v>
      </c>
      <c r="Q105" s="191"/>
      <c r="R105" s="193"/>
    </row>
    <row r="106" spans="1:18" s="39" customFormat="1" ht="91.5" thickTop="1" thickBot="1" x14ac:dyDescent="0.25">
      <c r="A106" s="872" t="s">
        <v>1392</v>
      </c>
      <c r="B106" s="872" t="s">
        <v>961</v>
      </c>
      <c r="C106" s="872"/>
      <c r="D106" s="872" t="s">
        <v>962</v>
      </c>
      <c r="E106" s="873">
        <f>E107</f>
        <v>0</v>
      </c>
      <c r="F106" s="873">
        <f t="shared" ref="F106:P107" si="79">F107</f>
        <v>0</v>
      </c>
      <c r="G106" s="873">
        <f t="shared" si="79"/>
        <v>0</v>
      </c>
      <c r="H106" s="873">
        <f t="shared" si="79"/>
        <v>0</v>
      </c>
      <c r="I106" s="873">
        <f t="shared" si="79"/>
        <v>0</v>
      </c>
      <c r="J106" s="873">
        <f t="shared" si="79"/>
        <v>2990000</v>
      </c>
      <c r="K106" s="873">
        <f t="shared" si="79"/>
        <v>2990000</v>
      </c>
      <c r="L106" s="873">
        <f t="shared" si="79"/>
        <v>0</v>
      </c>
      <c r="M106" s="873">
        <f t="shared" si="79"/>
        <v>0</v>
      </c>
      <c r="N106" s="873">
        <f t="shared" si="79"/>
        <v>0</v>
      </c>
      <c r="O106" s="873">
        <f t="shared" si="79"/>
        <v>2990000</v>
      </c>
      <c r="P106" s="873">
        <f t="shared" si="79"/>
        <v>2990000</v>
      </c>
      <c r="Q106" s="191"/>
      <c r="R106" s="193"/>
    </row>
    <row r="107" spans="1:18" s="39" customFormat="1" ht="93" thickTop="1" thickBot="1" x14ac:dyDescent="0.25">
      <c r="A107" s="879" t="s">
        <v>1393</v>
      </c>
      <c r="B107" s="879" t="s">
        <v>1391</v>
      </c>
      <c r="C107" s="879"/>
      <c r="D107" s="879" t="s">
        <v>1390</v>
      </c>
      <c r="E107" s="877">
        <f>E108</f>
        <v>0</v>
      </c>
      <c r="F107" s="877">
        <f t="shared" si="79"/>
        <v>0</v>
      </c>
      <c r="G107" s="877">
        <f t="shared" si="79"/>
        <v>0</v>
      </c>
      <c r="H107" s="877">
        <f t="shared" si="79"/>
        <v>0</v>
      </c>
      <c r="I107" s="877">
        <f t="shared" si="79"/>
        <v>0</v>
      </c>
      <c r="J107" s="877">
        <f t="shared" si="79"/>
        <v>2990000</v>
      </c>
      <c r="K107" s="877">
        <f t="shared" si="79"/>
        <v>2990000</v>
      </c>
      <c r="L107" s="877">
        <f t="shared" si="79"/>
        <v>0</v>
      </c>
      <c r="M107" s="877">
        <f t="shared" si="79"/>
        <v>0</v>
      </c>
      <c r="N107" s="877">
        <f t="shared" si="79"/>
        <v>0</v>
      </c>
      <c r="O107" s="877">
        <f t="shared" si="79"/>
        <v>2990000</v>
      </c>
      <c r="P107" s="877">
        <f t="shared" si="79"/>
        <v>2990000</v>
      </c>
      <c r="Q107" s="191"/>
      <c r="R107" s="193"/>
    </row>
    <row r="108" spans="1:18" s="39" customFormat="1" ht="230.25" thickTop="1" thickBot="1" x14ac:dyDescent="0.25">
      <c r="A108" s="851" t="s">
        <v>1394</v>
      </c>
      <c r="B108" s="851" t="s">
        <v>1395</v>
      </c>
      <c r="C108" s="851" t="s">
        <v>184</v>
      </c>
      <c r="D108" s="851" t="s">
        <v>1396</v>
      </c>
      <c r="E108" s="866">
        <f t="shared" si="73"/>
        <v>0</v>
      </c>
      <c r="F108" s="878"/>
      <c r="G108" s="878"/>
      <c r="H108" s="878"/>
      <c r="I108" s="878"/>
      <c r="J108" s="866">
        <f t="shared" si="71"/>
        <v>2990000</v>
      </c>
      <c r="K108" s="878">
        <v>2990000</v>
      </c>
      <c r="L108" s="878"/>
      <c r="M108" s="878"/>
      <c r="N108" s="878"/>
      <c r="O108" s="867">
        <f>K108</f>
        <v>2990000</v>
      </c>
      <c r="P108" s="866">
        <f t="shared" si="69"/>
        <v>2990000</v>
      </c>
      <c r="Q108" s="191"/>
      <c r="R108" s="124" t="b">
        <f>K108=[1]d6!J97+[1]d6!J98+[1]d6!J99</f>
        <v>1</v>
      </c>
    </row>
    <row r="109" spans="1:18" s="377" customFormat="1" ht="136.5" thickTop="1" thickBot="1" x14ac:dyDescent="0.25">
      <c r="A109" s="872" t="s">
        <v>882</v>
      </c>
      <c r="B109" s="872" t="s">
        <v>847</v>
      </c>
      <c r="C109" s="872"/>
      <c r="D109" s="872" t="s">
        <v>845</v>
      </c>
      <c r="E109" s="873">
        <f>SUM(E110)</f>
        <v>0</v>
      </c>
      <c r="F109" s="873">
        <f t="shared" ref="F109:P109" si="80">SUM(F110)</f>
        <v>0</v>
      </c>
      <c r="G109" s="873">
        <f t="shared" si="80"/>
        <v>0</v>
      </c>
      <c r="H109" s="873">
        <f t="shared" si="80"/>
        <v>0</v>
      </c>
      <c r="I109" s="873">
        <f t="shared" si="80"/>
        <v>0</v>
      </c>
      <c r="J109" s="873">
        <f t="shared" si="80"/>
        <v>22068420</v>
      </c>
      <c r="K109" s="873">
        <f t="shared" si="80"/>
        <v>22068420</v>
      </c>
      <c r="L109" s="873">
        <f t="shared" si="80"/>
        <v>0</v>
      </c>
      <c r="M109" s="873">
        <f t="shared" si="80"/>
        <v>0</v>
      </c>
      <c r="N109" s="873">
        <f t="shared" si="80"/>
        <v>0</v>
      </c>
      <c r="O109" s="873">
        <f t="shared" si="80"/>
        <v>22068420</v>
      </c>
      <c r="P109" s="873">
        <f t="shared" si="80"/>
        <v>22068420</v>
      </c>
      <c r="Q109" s="382"/>
      <c r="R109" s="385"/>
    </row>
    <row r="110" spans="1:18" s="39" customFormat="1" ht="93" thickTop="1" thickBot="1" x14ac:dyDescent="0.25">
      <c r="A110" s="851" t="s">
        <v>466</v>
      </c>
      <c r="B110" s="851" t="s">
        <v>215</v>
      </c>
      <c r="C110" s="851" t="s">
        <v>184</v>
      </c>
      <c r="D110" s="851" t="s">
        <v>36</v>
      </c>
      <c r="E110" s="866">
        <f t="shared" si="73"/>
        <v>0</v>
      </c>
      <c r="F110" s="878"/>
      <c r="G110" s="878"/>
      <c r="H110" s="878"/>
      <c r="I110" s="878"/>
      <c r="J110" s="866">
        <f t="shared" si="71"/>
        <v>22068420</v>
      </c>
      <c r="K110" s="878">
        <f>1000000-500000+281308.41-281308.41-20898-39200+(((5413599+372664+500000+500000+201012+437500)+800000+355048+952000-100000+6800000)+5396695)</f>
        <v>22068420</v>
      </c>
      <c r="L110" s="878"/>
      <c r="M110" s="878"/>
      <c r="N110" s="878"/>
      <c r="O110" s="867">
        <f t="shared" si="75"/>
        <v>22068420</v>
      </c>
      <c r="P110" s="866">
        <f t="shared" si="69"/>
        <v>22068420</v>
      </c>
      <c r="Q110" s="191"/>
      <c r="R110" s="124" t="b">
        <f>K110=[1]d6!J100+[1]d6!J101+[1]d6!J102+[1]d6!J103+[1]d6!J104+[1]d6!J105+[1]d6!J106+[1]d6!J107+[1]d6!J108+[1]d6!J109+[1]d6!J110+[1]d6!J111+[1]d6!J112+[1]d6!J113+[1]d6!J114+[1]d6!J115</f>
        <v>1</v>
      </c>
    </row>
    <row r="111" spans="1:18" s="39" customFormat="1" ht="93" hidden="1" thickTop="1" thickBot="1" x14ac:dyDescent="0.25">
      <c r="A111" s="886" t="s">
        <v>556</v>
      </c>
      <c r="B111" s="886" t="s">
        <v>389</v>
      </c>
      <c r="C111" s="886" t="s">
        <v>45</v>
      </c>
      <c r="D111" s="886" t="s">
        <v>390</v>
      </c>
      <c r="E111" s="887">
        <f t="shared" si="73"/>
        <v>0</v>
      </c>
      <c r="F111" s="888"/>
      <c r="G111" s="888"/>
      <c r="H111" s="888"/>
      <c r="I111" s="888"/>
      <c r="J111" s="889">
        <f t="shared" si="71"/>
        <v>0</v>
      </c>
      <c r="K111" s="890"/>
      <c r="L111" s="890"/>
      <c r="M111" s="890"/>
      <c r="N111" s="890"/>
      <c r="O111" s="891">
        <f t="shared" si="75"/>
        <v>0</v>
      </c>
      <c r="P111" s="889">
        <f t="shared" si="69"/>
        <v>0</v>
      </c>
      <c r="Q111" s="191"/>
      <c r="R111" s="188"/>
    </row>
    <row r="112" spans="1:18" ht="226.5" thickTop="1" thickBot="1" x14ac:dyDescent="0.25">
      <c r="A112" s="766" t="s">
        <v>170</v>
      </c>
      <c r="B112" s="766"/>
      <c r="C112" s="766"/>
      <c r="D112" s="767" t="s">
        <v>39</v>
      </c>
      <c r="E112" s="768">
        <f>E113</f>
        <v>207811099</v>
      </c>
      <c r="F112" s="769">
        <f t="shared" ref="F112:G112" si="81">F113</f>
        <v>207811099</v>
      </c>
      <c r="G112" s="769">
        <f t="shared" si="81"/>
        <v>68144820</v>
      </c>
      <c r="H112" s="769">
        <f>H113</f>
        <v>2261622</v>
      </c>
      <c r="I112" s="769">
        <f t="shared" ref="I112" si="82">I113</f>
        <v>0</v>
      </c>
      <c r="J112" s="768">
        <f>J113</f>
        <v>29557636.309999999</v>
      </c>
      <c r="K112" s="769">
        <f>K113</f>
        <v>28940636.309999999</v>
      </c>
      <c r="L112" s="769">
        <f>L113</f>
        <v>617000</v>
      </c>
      <c r="M112" s="769">
        <f t="shared" ref="M112" si="83">M113</f>
        <v>104000</v>
      </c>
      <c r="N112" s="769">
        <f>N113</f>
        <v>137000</v>
      </c>
      <c r="O112" s="768">
        <f>O113</f>
        <v>28940636.309999999</v>
      </c>
      <c r="P112" s="769">
        <f>P113</f>
        <v>237368735.31</v>
      </c>
    </row>
    <row r="113" spans="1:20" ht="226.5" thickTop="1" thickBot="1" x14ac:dyDescent="0.25">
      <c r="A113" s="863" t="s">
        <v>171</v>
      </c>
      <c r="B113" s="863"/>
      <c r="C113" s="863"/>
      <c r="D113" s="864" t="s">
        <v>40</v>
      </c>
      <c r="E113" s="865">
        <f>E114+E118+E157+E161</f>
        <v>207811099</v>
      </c>
      <c r="F113" s="865">
        <f>F114+F118+F157+F161</f>
        <v>207811099</v>
      </c>
      <c r="G113" s="865">
        <f>G114+G118+G157+G161</f>
        <v>68144820</v>
      </c>
      <c r="H113" s="865">
        <f>H114+H118+H157+H161</f>
        <v>2261622</v>
      </c>
      <c r="I113" s="865">
        <f>I114+I118+I157+I161</f>
        <v>0</v>
      </c>
      <c r="J113" s="865">
        <f t="shared" ref="J113:J139" si="84">L113+O113</f>
        <v>29557636.309999999</v>
      </c>
      <c r="K113" s="865">
        <f>K114+K118+K157+K161</f>
        <v>28940636.309999999</v>
      </c>
      <c r="L113" s="865">
        <f>L114+L118+L157+L161</f>
        <v>617000</v>
      </c>
      <c r="M113" s="865">
        <f>M114+M118+M157+M161</f>
        <v>104000</v>
      </c>
      <c r="N113" s="865">
        <f>N114+N118+N157+N161</f>
        <v>137000</v>
      </c>
      <c r="O113" s="865">
        <f>O114+O118+O157+O161</f>
        <v>28940636.309999999</v>
      </c>
      <c r="P113" s="865">
        <f>E113+J113</f>
        <v>237368735.31</v>
      </c>
      <c r="Q113" s="125" t="b">
        <f>P113=P115+P116+P120+P121+P122+P123+P124+P129+P130+P133+P136+P138+P139+P155+P156+P159+P167+P125+P127+P135+P117+P126+P164+P132+P141+P144+P148+P151+P160</f>
        <v>1</v>
      </c>
      <c r="R113" s="849" t="b">
        <f>K113=[1]d6!J116</f>
        <v>1</v>
      </c>
      <c r="S113" s="849" t="b">
        <f>P113=P114+P118+P157+P161</f>
        <v>1</v>
      </c>
      <c r="T113" s="125"/>
    </row>
    <row r="114" spans="1:20" ht="47.25" thickTop="1" thickBot="1" x14ac:dyDescent="0.25">
      <c r="A114" s="170" t="s">
        <v>884</v>
      </c>
      <c r="B114" s="170" t="s">
        <v>840</v>
      </c>
      <c r="C114" s="170"/>
      <c r="D114" s="170" t="s">
        <v>841</v>
      </c>
      <c r="E114" s="866">
        <f t="shared" ref="E114:P114" si="85">SUM(E115:E117)</f>
        <v>52271290</v>
      </c>
      <c r="F114" s="866">
        <f t="shared" si="85"/>
        <v>52271290</v>
      </c>
      <c r="G114" s="866">
        <f t="shared" si="85"/>
        <v>38701520</v>
      </c>
      <c r="H114" s="866">
        <f t="shared" si="85"/>
        <v>997835</v>
      </c>
      <c r="I114" s="866">
        <f t="shared" si="85"/>
        <v>0</v>
      </c>
      <c r="J114" s="866">
        <f t="shared" si="85"/>
        <v>1259000</v>
      </c>
      <c r="K114" s="866">
        <f t="shared" si="85"/>
        <v>1259000</v>
      </c>
      <c r="L114" s="866">
        <f t="shared" si="85"/>
        <v>0</v>
      </c>
      <c r="M114" s="866">
        <f t="shared" si="85"/>
        <v>0</v>
      </c>
      <c r="N114" s="866">
        <f t="shared" si="85"/>
        <v>0</v>
      </c>
      <c r="O114" s="866">
        <f t="shared" si="85"/>
        <v>1259000</v>
      </c>
      <c r="P114" s="866">
        <f t="shared" si="85"/>
        <v>53530290</v>
      </c>
      <c r="Q114" s="125"/>
      <c r="R114" s="849"/>
      <c r="T114" s="125"/>
    </row>
    <row r="115" spans="1:20" ht="230.25" thickTop="1" thickBot="1" x14ac:dyDescent="0.25">
      <c r="A115" s="851" t="s">
        <v>443</v>
      </c>
      <c r="B115" s="851" t="s">
        <v>254</v>
      </c>
      <c r="C115" s="851" t="s">
        <v>252</v>
      </c>
      <c r="D115" s="851" t="s">
        <v>253</v>
      </c>
      <c r="E115" s="866">
        <f t="shared" ref="E115:E117" si="86">F115</f>
        <v>52231290</v>
      </c>
      <c r="F115" s="878">
        <f>-205000-200000+51000+124460-2900+20190+(-49000+((51797540-10000)+205000+300000+200000))</f>
        <v>52231290</v>
      </c>
      <c r="G115" s="878">
        <f>(38906520)-205000</f>
        <v>38701520</v>
      </c>
      <c r="H115" s="878">
        <f>124460-2900+20190+(511665+29000+284370+31050)</f>
        <v>997835</v>
      </c>
      <c r="I115" s="878"/>
      <c r="J115" s="866">
        <f t="shared" si="84"/>
        <v>1259000</v>
      </c>
      <c r="K115" s="878">
        <f>49000+(49000+((911000)+250000))</f>
        <v>1259000</v>
      </c>
      <c r="L115" s="878"/>
      <c r="M115" s="878"/>
      <c r="N115" s="878"/>
      <c r="O115" s="867">
        <f>K115</f>
        <v>1259000</v>
      </c>
      <c r="P115" s="866">
        <f t="shared" ref="P115:P130" si="87">E115+J115</f>
        <v>53490290</v>
      </c>
      <c r="Q115" s="194"/>
      <c r="R115" s="849" t="b">
        <f>K115=[1]d6!J118+[1]d6!J119</f>
        <v>1</v>
      </c>
      <c r="T115" s="125"/>
    </row>
    <row r="116" spans="1:20" ht="184.5" thickTop="1" thickBot="1" x14ac:dyDescent="0.25">
      <c r="A116" s="851" t="s">
        <v>783</v>
      </c>
      <c r="B116" s="851" t="s">
        <v>388</v>
      </c>
      <c r="C116" s="851" t="s">
        <v>775</v>
      </c>
      <c r="D116" s="851" t="s">
        <v>776</v>
      </c>
      <c r="E116" s="866">
        <f t="shared" si="86"/>
        <v>10000</v>
      </c>
      <c r="F116" s="878">
        <v>10000</v>
      </c>
      <c r="G116" s="878"/>
      <c r="H116" s="878"/>
      <c r="I116" s="878"/>
      <c r="J116" s="866">
        <f t="shared" si="84"/>
        <v>0</v>
      </c>
      <c r="K116" s="878"/>
      <c r="L116" s="878"/>
      <c r="M116" s="878"/>
      <c r="N116" s="878"/>
      <c r="O116" s="867">
        <f>K116</f>
        <v>0</v>
      </c>
      <c r="P116" s="866">
        <f t="shared" si="87"/>
        <v>10000</v>
      </c>
      <c r="Q116" s="194"/>
      <c r="R116" s="849"/>
      <c r="T116" s="125"/>
    </row>
    <row r="117" spans="1:20" ht="93" thickTop="1" thickBot="1" x14ac:dyDescent="0.25">
      <c r="A117" s="852" t="s">
        <v>1133</v>
      </c>
      <c r="B117" s="852" t="s">
        <v>45</v>
      </c>
      <c r="C117" s="852" t="s">
        <v>44</v>
      </c>
      <c r="D117" s="852" t="s">
        <v>266</v>
      </c>
      <c r="E117" s="866">
        <f t="shared" si="86"/>
        <v>30000</v>
      </c>
      <c r="F117" s="878">
        <v>30000</v>
      </c>
      <c r="G117" s="878"/>
      <c r="H117" s="878"/>
      <c r="I117" s="878"/>
      <c r="J117" s="866">
        <f t="shared" si="84"/>
        <v>0</v>
      </c>
      <c r="K117" s="878"/>
      <c r="L117" s="878"/>
      <c r="M117" s="878"/>
      <c r="N117" s="878"/>
      <c r="O117" s="867"/>
      <c r="P117" s="866">
        <f t="shared" si="87"/>
        <v>30000</v>
      </c>
      <c r="Q117" s="194"/>
      <c r="R117" s="849"/>
      <c r="T117" s="125"/>
    </row>
    <row r="118" spans="1:20" ht="91.5" thickTop="1" thickBot="1" x14ac:dyDescent="0.25">
      <c r="A118" s="170" t="s">
        <v>885</v>
      </c>
      <c r="B118" s="170" t="s">
        <v>867</v>
      </c>
      <c r="C118" s="170"/>
      <c r="D118" s="170" t="s">
        <v>868</v>
      </c>
      <c r="E118" s="866">
        <f t="shared" ref="E118:P118" si="88">SUM(E119:E156)-E119-E128-E137-E140-E154-E134-E131</f>
        <v>155539809</v>
      </c>
      <c r="F118" s="866">
        <f t="shared" si="88"/>
        <v>155539809</v>
      </c>
      <c r="G118" s="866">
        <f t="shared" si="88"/>
        <v>29443300</v>
      </c>
      <c r="H118" s="866">
        <f t="shared" si="88"/>
        <v>1263787</v>
      </c>
      <c r="I118" s="866">
        <f t="shared" si="88"/>
        <v>0</v>
      </c>
      <c r="J118" s="866">
        <f t="shared" si="88"/>
        <v>20179602.309999999</v>
      </c>
      <c r="K118" s="866">
        <f t="shared" si="88"/>
        <v>19884602.309999999</v>
      </c>
      <c r="L118" s="866">
        <f t="shared" si="88"/>
        <v>295000</v>
      </c>
      <c r="M118" s="866">
        <f t="shared" si="88"/>
        <v>104000</v>
      </c>
      <c r="N118" s="866">
        <f t="shared" si="88"/>
        <v>137000</v>
      </c>
      <c r="O118" s="866">
        <f t="shared" si="88"/>
        <v>19884602.309999999</v>
      </c>
      <c r="P118" s="866">
        <f t="shared" si="88"/>
        <v>175719411.31</v>
      </c>
      <c r="Q118" s="194"/>
      <c r="R118" s="849"/>
      <c r="T118" s="125"/>
    </row>
    <row r="119" spans="1:20" ht="321.75" thickTop="1" thickBot="1" x14ac:dyDescent="0.25">
      <c r="A119" s="879" t="s">
        <v>886</v>
      </c>
      <c r="B119" s="879" t="s">
        <v>887</v>
      </c>
      <c r="C119" s="879"/>
      <c r="D119" s="879" t="s">
        <v>888</v>
      </c>
      <c r="E119" s="877">
        <f>SUM(E120:E124)</f>
        <v>74224700</v>
      </c>
      <c r="F119" s="877">
        <f t="shared" ref="F119:P119" si="89">SUM(F120:F124)</f>
        <v>74224700</v>
      </c>
      <c r="G119" s="877">
        <f t="shared" si="89"/>
        <v>0</v>
      </c>
      <c r="H119" s="877">
        <f t="shared" si="89"/>
        <v>0</v>
      </c>
      <c r="I119" s="877">
        <f t="shared" si="89"/>
        <v>0</v>
      </c>
      <c r="J119" s="877">
        <f t="shared" si="89"/>
        <v>115090</v>
      </c>
      <c r="K119" s="877">
        <f t="shared" si="89"/>
        <v>115090</v>
      </c>
      <c r="L119" s="877">
        <f t="shared" si="89"/>
        <v>0</v>
      </c>
      <c r="M119" s="877">
        <f t="shared" si="89"/>
        <v>0</v>
      </c>
      <c r="N119" s="877">
        <f t="shared" si="89"/>
        <v>0</v>
      </c>
      <c r="O119" s="877">
        <f t="shared" si="89"/>
        <v>115090</v>
      </c>
      <c r="P119" s="877">
        <f t="shared" si="89"/>
        <v>74339790</v>
      </c>
      <c r="Q119" s="219"/>
      <c r="R119" s="414"/>
      <c r="T119" s="415"/>
    </row>
    <row r="120" spans="1:20" s="39" customFormat="1" ht="138.75" thickTop="1" thickBot="1" x14ac:dyDescent="0.25">
      <c r="A120" s="851" t="s">
        <v>287</v>
      </c>
      <c r="B120" s="851" t="s">
        <v>288</v>
      </c>
      <c r="C120" s="851" t="s">
        <v>223</v>
      </c>
      <c r="D120" s="276" t="s">
        <v>289</v>
      </c>
      <c r="E120" s="866">
        <f>F120</f>
        <v>270000</v>
      </c>
      <c r="F120" s="878">
        <f>(570000)-300000</f>
        <v>270000</v>
      </c>
      <c r="G120" s="878"/>
      <c r="H120" s="878"/>
      <c r="I120" s="878"/>
      <c r="J120" s="866">
        <f t="shared" si="84"/>
        <v>115090</v>
      </c>
      <c r="K120" s="878">
        <f>(199000)-83910</f>
        <v>115090</v>
      </c>
      <c r="L120" s="878"/>
      <c r="M120" s="878"/>
      <c r="N120" s="878"/>
      <c r="O120" s="867">
        <f t="shared" ref="O120:O139" si="90">K120</f>
        <v>115090</v>
      </c>
      <c r="P120" s="866">
        <f t="shared" si="87"/>
        <v>385090</v>
      </c>
      <c r="Q120" s="191"/>
      <c r="R120" s="849" t="b">
        <f>K120=[1]d6!J120</f>
        <v>1</v>
      </c>
    </row>
    <row r="121" spans="1:20" s="39" customFormat="1" ht="138.75" thickTop="1" thickBot="1" x14ac:dyDescent="0.25">
      <c r="A121" s="851" t="s">
        <v>290</v>
      </c>
      <c r="B121" s="851" t="s">
        <v>291</v>
      </c>
      <c r="C121" s="851" t="s">
        <v>224</v>
      </c>
      <c r="D121" s="851" t="s">
        <v>6</v>
      </c>
      <c r="E121" s="866">
        <f t="shared" ref="E121:E167" si="91">F121</f>
        <v>950000</v>
      </c>
      <c r="F121" s="878">
        <f>(1350000)-400000</f>
        <v>950000</v>
      </c>
      <c r="G121" s="878"/>
      <c r="H121" s="878"/>
      <c r="I121" s="878"/>
      <c r="J121" s="866">
        <f t="shared" si="84"/>
        <v>0</v>
      </c>
      <c r="K121" s="878"/>
      <c r="L121" s="878"/>
      <c r="M121" s="878"/>
      <c r="N121" s="878"/>
      <c r="O121" s="867">
        <f t="shared" si="90"/>
        <v>0</v>
      </c>
      <c r="P121" s="866">
        <f t="shared" si="87"/>
        <v>950000</v>
      </c>
      <c r="Q121" s="191"/>
      <c r="R121" s="195"/>
    </row>
    <row r="122" spans="1:20" s="39" customFormat="1" ht="184.5" thickTop="1" thickBot="1" x14ac:dyDescent="0.25">
      <c r="A122" s="851" t="s">
        <v>293</v>
      </c>
      <c r="B122" s="851" t="s">
        <v>294</v>
      </c>
      <c r="C122" s="851" t="s">
        <v>224</v>
      </c>
      <c r="D122" s="851" t="s">
        <v>7</v>
      </c>
      <c r="E122" s="866">
        <f t="shared" si="91"/>
        <v>14700000</v>
      </c>
      <c r="F122" s="878">
        <f>(11250000)+3450000</f>
        <v>14700000</v>
      </c>
      <c r="G122" s="878"/>
      <c r="H122" s="878"/>
      <c r="I122" s="878"/>
      <c r="J122" s="866">
        <f t="shared" si="84"/>
        <v>0</v>
      </c>
      <c r="K122" s="878"/>
      <c r="L122" s="878"/>
      <c r="M122" s="878"/>
      <c r="N122" s="878"/>
      <c r="O122" s="867">
        <f t="shared" si="90"/>
        <v>0</v>
      </c>
      <c r="P122" s="866">
        <f t="shared" si="87"/>
        <v>14700000</v>
      </c>
      <c r="Q122" s="191"/>
      <c r="R122" s="195"/>
    </row>
    <row r="123" spans="1:20" s="39" customFormat="1" ht="184.5" thickTop="1" thickBot="1" x14ac:dyDescent="0.25">
      <c r="A123" s="851" t="s">
        <v>295</v>
      </c>
      <c r="B123" s="851" t="s">
        <v>292</v>
      </c>
      <c r="C123" s="851" t="s">
        <v>224</v>
      </c>
      <c r="D123" s="851" t="s">
        <v>8</v>
      </c>
      <c r="E123" s="866">
        <f t="shared" si="91"/>
        <v>500000</v>
      </c>
      <c r="F123" s="878">
        <v>500000</v>
      </c>
      <c r="G123" s="878"/>
      <c r="H123" s="878"/>
      <c r="I123" s="878"/>
      <c r="J123" s="866">
        <f t="shared" si="84"/>
        <v>0</v>
      </c>
      <c r="K123" s="878"/>
      <c r="L123" s="878"/>
      <c r="M123" s="878"/>
      <c r="N123" s="878"/>
      <c r="O123" s="867">
        <f t="shared" si="90"/>
        <v>0</v>
      </c>
      <c r="P123" s="866">
        <f t="shared" si="87"/>
        <v>500000</v>
      </c>
      <c r="Q123" s="191"/>
      <c r="R123" s="195"/>
    </row>
    <row r="124" spans="1:20" s="39" customFormat="1" ht="184.5" thickTop="1" thickBot="1" x14ac:dyDescent="0.25">
      <c r="A124" s="851" t="s">
        <v>296</v>
      </c>
      <c r="B124" s="851" t="s">
        <v>297</v>
      </c>
      <c r="C124" s="851" t="s">
        <v>224</v>
      </c>
      <c r="D124" s="851" t="s">
        <v>9</v>
      </c>
      <c r="E124" s="866">
        <f t="shared" si="91"/>
        <v>57804700</v>
      </c>
      <c r="F124" s="878">
        <f>(74942240)-17137540</f>
        <v>57804700</v>
      </c>
      <c r="G124" s="878"/>
      <c r="H124" s="878"/>
      <c r="I124" s="878"/>
      <c r="J124" s="866">
        <f t="shared" si="84"/>
        <v>0</v>
      </c>
      <c r="K124" s="878"/>
      <c r="L124" s="878"/>
      <c r="M124" s="878"/>
      <c r="N124" s="878"/>
      <c r="O124" s="867">
        <f t="shared" si="90"/>
        <v>0</v>
      </c>
      <c r="P124" s="866">
        <f t="shared" si="87"/>
        <v>57804700</v>
      </c>
      <c r="Q124" s="191"/>
      <c r="R124" s="195"/>
    </row>
    <row r="125" spans="1:20" s="39" customFormat="1" ht="184.5" thickTop="1" thickBot="1" x14ac:dyDescent="0.25">
      <c r="A125" s="851" t="s">
        <v>522</v>
      </c>
      <c r="B125" s="851" t="s">
        <v>523</v>
      </c>
      <c r="C125" s="851" t="s">
        <v>224</v>
      </c>
      <c r="D125" s="851" t="s">
        <v>524</v>
      </c>
      <c r="E125" s="866">
        <f t="shared" si="91"/>
        <v>206796</v>
      </c>
      <c r="F125" s="878">
        <v>206796</v>
      </c>
      <c r="G125" s="878"/>
      <c r="H125" s="878"/>
      <c r="I125" s="878"/>
      <c r="J125" s="866">
        <f t="shared" si="84"/>
        <v>0</v>
      </c>
      <c r="K125" s="878"/>
      <c r="L125" s="878"/>
      <c r="M125" s="878"/>
      <c r="N125" s="878"/>
      <c r="O125" s="867">
        <f t="shared" si="90"/>
        <v>0</v>
      </c>
      <c r="P125" s="866">
        <f t="shared" si="87"/>
        <v>206796</v>
      </c>
      <c r="Q125" s="191"/>
      <c r="R125" s="195"/>
    </row>
    <row r="126" spans="1:20" s="39" customFormat="1" ht="138.75" thickTop="1" thickBot="1" x14ac:dyDescent="0.25">
      <c r="A126" s="851" t="s">
        <v>1134</v>
      </c>
      <c r="B126" s="851" t="s">
        <v>1135</v>
      </c>
      <c r="C126" s="851" t="s">
        <v>224</v>
      </c>
      <c r="D126" s="851" t="s">
        <v>1136</v>
      </c>
      <c r="E126" s="866">
        <f t="shared" si="91"/>
        <v>180000</v>
      </c>
      <c r="F126" s="878">
        <v>180000</v>
      </c>
      <c r="G126" s="878"/>
      <c r="H126" s="878"/>
      <c r="I126" s="878"/>
      <c r="J126" s="866">
        <f t="shared" si="84"/>
        <v>0</v>
      </c>
      <c r="K126" s="878"/>
      <c r="L126" s="878"/>
      <c r="M126" s="878"/>
      <c r="N126" s="878"/>
      <c r="O126" s="867">
        <f t="shared" si="90"/>
        <v>0</v>
      </c>
      <c r="P126" s="866">
        <f t="shared" si="87"/>
        <v>180000</v>
      </c>
      <c r="Q126" s="191"/>
      <c r="R126" s="195"/>
    </row>
    <row r="127" spans="1:20" ht="138.75" thickTop="1" thickBot="1" x14ac:dyDescent="0.25">
      <c r="A127" s="851" t="s">
        <v>525</v>
      </c>
      <c r="B127" s="851" t="s">
        <v>526</v>
      </c>
      <c r="C127" s="851" t="s">
        <v>223</v>
      </c>
      <c r="D127" s="851" t="s">
        <v>527</v>
      </c>
      <c r="E127" s="866">
        <f t="shared" si="91"/>
        <v>353047</v>
      </c>
      <c r="F127" s="878">
        <v>353047</v>
      </c>
      <c r="G127" s="878"/>
      <c r="H127" s="878"/>
      <c r="I127" s="878"/>
      <c r="J127" s="866">
        <f t="shared" si="84"/>
        <v>0</v>
      </c>
      <c r="K127" s="878"/>
      <c r="L127" s="878"/>
      <c r="M127" s="878"/>
      <c r="N127" s="878"/>
      <c r="O127" s="867">
        <f>K127</f>
        <v>0</v>
      </c>
      <c r="P127" s="866">
        <f t="shared" si="87"/>
        <v>353047</v>
      </c>
      <c r="R127" s="195"/>
    </row>
    <row r="128" spans="1:20" s="39" customFormat="1" ht="276" thickTop="1" thickBot="1" x14ac:dyDescent="0.25">
      <c r="A128" s="879" t="s">
        <v>889</v>
      </c>
      <c r="B128" s="879" t="s">
        <v>890</v>
      </c>
      <c r="C128" s="879"/>
      <c r="D128" s="879" t="s">
        <v>891</v>
      </c>
      <c r="E128" s="877">
        <f>SUM(E129:E130)</f>
        <v>36092600</v>
      </c>
      <c r="F128" s="877">
        <f t="shared" ref="F128:P128" si="92">SUM(F129:F130)</f>
        <v>36092600</v>
      </c>
      <c r="G128" s="877">
        <f t="shared" si="92"/>
        <v>25148685</v>
      </c>
      <c r="H128" s="877">
        <f t="shared" si="92"/>
        <v>837260</v>
      </c>
      <c r="I128" s="877">
        <f t="shared" si="92"/>
        <v>0</v>
      </c>
      <c r="J128" s="877">
        <f t="shared" si="92"/>
        <v>321440</v>
      </c>
      <c r="K128" s="877">
        <f t="shared" si="92"/>
        <v>171440</v>
      </c>
      <c r="L128" s="877">
        <f t="shared" si="92"/>
        <v>150000</v>
      </c>
      <c r="M128" s="877">
        <f t="shared" si="92"/>
        <v>100000</v>
      </c>
      <c r="N128" s="877">
        <f t="shared" si="92"/>
        <v>3000</v>
      </c>
      <c r="O128" s="877">
        <f t="shared" si="92"/>
        <v>171440</v>
      </c>
      <c r="P128" s="877">
        <f t="shared" si="92"/>
        <v>36414040</v>
      </c>
      <c r="Q128" s="191"/>
      <c r="R128" s="416"/>
    </row>
    <row r="129" spans="1:18" ht="276" thickTop="1" thickBot="1" x14ac:dyDescent="0.25">
      <c r="A129" s="851" t="s">
        <v>285</v>
      </c>
      <c r="B129" s="851" t="s">
        <v>283</v>
      </c>
      <c r="C129" s="851" t="s">
        <v>218</v>
      </c>
      <c r="D129" s="851" t="s">
        <v>17</v>
      </c>
      <c r="E129" s="866">
        <f t="shared" si="91"/>
        <v>28467620</v>
      </c>
      <c r="F129" s="878">
        <f>50000-17200-20300-14000+(108000+400000+((27960820)-25000+2060+10800+12440))</f>
        <v>28467620</v>
      </c>
      <c r="G129" s="878">
        <v>19746545</v>
      </c>
      <c r="H129" s="878">
        <f>50000-17200-20300-14000+((266000+30800+72660+10800)+2060+10800+12440)</f>
        <v>404060</v>
      </c>
      <c r="I129" s="878"/>
      <c r="J129" s="866">
        <f t="shared" si="84"/>
        <v>278000</v>
      </c>
      <c r="K129" s="878">
        <f>58000+15000+25000+30000</f>
        <v>128000</v>
      </c>
      <c r="L129" s="878">
        <f>(100000+22000+15000+4000+6000+1500+500+1000)</f>
        <v>150000</v>
      </c>
      <c r="M129" s="878">
        <v>100000</v>
      </c>
      <c r="N129" s="878">
        <f>(1500+500+1000)</f>
        <v>3000</v>
      </c>
      <c r="O129" s="867">
        <f t="shared" si="90"/>
        <v>128000</v>
      </c>
      <c r="P129" s="866">
        <f t="shared" si="87"/>
        <v>28745620</v>
      </c>
      <c r="R129" s="849" t="b">
        <f>K129=[1]d6!J121</f>
        <v>1</v>
      </c>
    </row>
    <row r="130" spans="1:18" ht="138.75" thickTop="1" thickBot="1" x14ac:dyDescent="0.25">
      <c r="A130" s="851" t="s">
        <v>286</v>
      </c>
      <c r="B130" s="851" t="s">
        <v>284</v>
      </c>
      <c r="C130" s="851" t="s">
        <v>217</v>
      </c>
      <c r="D130" s="851" t="s">
        <v>491</v>
      </c>
      <c r="E130" s="866">
        <f t="shared" si="91"/>
        <v>7624980</v>
      </c>
      <c r="F130" s="878">
        <f>69300+1900-6850-10000+13500+23265+2000-29300+(14525+4550+((7298180)+112800+1570+107500+19900+2140))</f>
        <v>7624980</v>
      </c>
      <c r="G130" s="878">
        <f>(3013390+2388750)</f>
        <v>5402140</v>
      </c>
      <c r="H130" s="878">
        <f>69300+1900+23265+2000+((133610+1950+28250+148195+4870+19620+240))</f>
        <v>433200</v>
      </c>
      <c r="I130" s="878"/>
      <c r="J130" s="866">
        <f t="shared" si="84"/>
        <v>43440</v>
      </c>
      <c r="K130" s="878">
        <v>43440</v>
      </c>
      <c r="L130" s="878"/>
      <c r="M130" s="878"/>
      <c r="N130" s="878"/>
      <c r="O130" s="867">
        <f t="shared" si="90"/>
        <v>43440</v>
      </c>
      <c r="P130" s="866">
        <f t="shared" si="87"/>
        <v>7668420</v>
      </c>
      <c r="R130" s="849" t="b">
        <f>K130=[1]d6!J122</f>
        <v>1</v>
      </c>
    </row>
    <row r="131" spans="1:18" ht="138.75" thickTop="1" thickBot="1" x14ac:dyDescent="0.25">
      <c r="A131" s="879" t="s">
        <v>1341</v>
      </c>
      <c r="B131" s="879" t="s">
        <v>922</v>
      </c>
      <c r="C131" s="879"/>
      <c r="D131" s="879" t="s">
        <v>923</v>
      </c>
      <c r="E131" s="877">
        <f>E132</f>
        <v>267380</v>
      </c>
      <c r="F131" s="877">
        <f t="shared" ref="F131:P131" si="93">F132</f>
        <v>267380</v>
      </c>
      <c r="G131" s="877">
        <f t="shared" si="93"/>
        <v>0</v>
      </c>
      <c r="H131" s="877">
        <f t="shared" si="93"/>
        <v>0</v>
      </c>
      <c r="I131" s="877">
        <f t="shared" si="93"/>
        <v>0</v>
      </c>
      <c r="J131" s="877">
        <f t="shared" si="93"/>
        <v>2304215</v>
      </c>
      <c r="K131" s="877">
        <f t="shared" si="93"/>
        <v>2304215</v>
      </c>
      <c r="L131" s="877">
        <f t="shared" si="93"/>
        <v>0</v>
      </c>
      <c r="M131" s="877">
        <f t="shared" si="93"/>
        <v>0</v>
      </c>
      <c r="N131" s="877">
        <f t="shared" si="93"/>
        <v>0</v>
      </c>
      <c r="O131" s="877">
        <f t="shared" si="93"/>
        <v>2304215</v>
      </c>
      <c r="P131" s="877">
        <f t="shared" si="93"/>
        <v>2571595</v>
      </c>
      <c r="R131" s="849"/>
    </row>
    <row r="132" spans="1:18" ht="276" thickTop="1" thickBot="1" x14ac:dyDescent="0.25">
      <c r="A132" s="851" t="s">
        <v>1342</v>
      </c>
      <c r="B132" s="851" t="s">
        <v>1343</v>
      </c>
      <c r="C132" s="851" t="s">
        <v>203</v>
      </c>
      <c r="D132" s="851" t="s">
        <v>1344</v>
      </c>
      <c r="E132" s="866">
        <f t="shared" ref="E132" si="94">F132</f>
        <v>267380</v>
      </c>
      <c r="F132" s="878">
        <v>267380</v>
      </c>
      <c r="G132" s="878"/>
      <c r="H132" s="878"/>
      <c r="I132" s="878"/>
      <c r="J132" s="866">
        <f t="shared" ref="J132" si="95">L132+O132</f>
        <v>2304215</v>
      </c>
      <c r="K132" s="878">
        <f>166110+1240000+898105</f>
        <v>2304215</v>
      </c>
      <c r="L132" s="878"/>
      <c r="M132" s="878"/>
      <c r="N132" s="878"/>
      <c r="O132" s="867">
        <f t="shared" ref="O132" si="96">K132</f>
        <v>2304215</v>
      </c>
      <c r="P132" s="866">
        <f t="shared" ref="P132" si="97">E132+J132</f>
        <v>2571595</v>
      </c>
      <c r="R132" s="849" t="b">
        <f>K132=[1]d6!J123+[1]d6!J124</f>
        <v>1</v>
      </c>
    </row>
    <row r="133" spans="1:18" ht="409.6" thickTop="1" thickBot="1" x14ac:dyDescent="0.25">
      <c r="A133" s="851" t="s">
        <v>281</v>
      </c>
      <c r="B133" s="851" t="s">
        <v>282</v>
      </c>
      <c r="C133" s="851" t="s">
        <v>217</v>
      </c>
      <c r="D133" s="851" t="s">
        <v>489</v>
      </c>
      <c r="E133" s="866">
        <f t="shared" si="91"/>
        <v>2246695</v>
      </c>
      <c r="F133" s="878">
        <f>((1242695)+1000000)+4000</f>
        <v>2246695</v>
      </c>
      <c r="G133" s="878"/>
      <c r="H133" s="878"/>
      <c r="I133" s="878"/>
      <c r="J133" s="866">
        <f t="shared" si="84"/>
        <v>0</v>
      </c>
      <c r="K133" s="866"/>
      <c r="L133" s="878"/>
      <c r="M133" s="878"/>
      <c r="N133" s="878"/>
      <c r="O133" s="867">
        <f t="shared" si="90"/>
        <v>0</v>
      </c>
      <c r="P133" s="866">
        <f>+J133+E133</f>
        <v>2246695</v>
      </c>
      <c r="R133" s="195"/>
    </row>
    <row r="134" spans="1:18" ht="138.75" thickTop="1" thickBot="1" x14ac:dyDescent="0.25">
      <c r="A134" s="879" t="s">
        <v>1052</v>
      </c>
      <c r="B134" s="879" t="s">
        <v>1053</v>
      </c>
      <c r="C134" s="879"/>
      <c r="D134" s="879" t="s">
        <v>1054</v>
      </c>
      <c r="E134" s="877">
        <f t="shared" si="91"/>
        <v>147491</v>
      </c>
      <c r="F134" s="877">
        <f>F135</f>
        <v>147491</v>
      </c>
      <c r="G134" s="877">
        <f t="shared" ref="G134:I134" si="98">G135</f>
        <v>0</v>
      </c>
      <c r="H134" s="877">
        <f t="shared" si="98"/>
        <v>0</v>
      </c>
      <c r="I134" s="877">
        <f t="shared" si="98"/>
        <v>0</v>
      </c>
      <c r="J134" s="877">
        <f t="shared" si="84"/>
        <v>0</v>
      </c>
      <c r="K134" s="877">
        <f t="shared" ref="K134:N134" si="99">K135</f>
        <v>0</v>
      </c>
      <c r="L134" s="877">
        <f t="shared" si="99"/>
        <v>0</v>
      </c>
      <c r="M134" s="877">
        <f t="shared" si="99"/>
        <v>0</v>
      </c>
      <c r="N134" s="877">
        <f t="shared" si="99"/>
        <v>0</v>
      </c>
      <c r="O134" s="877">
        <f t="shared" si="90"/>
        <v>0</v>
      </c>
      <c r="P134" s="877">
        <f>+J134+E134</f>
        <v>147491</v>
      </c>
      <c r="R134" s="195"/>
    </row>
    <row r="135" spans="1:18" ht="276" thickTop="1" thickBot="1" x14ac:dyDescent="0.25">
      <c r="A135" s="851" t="s">
        <v>528</v>
      </c>
      <c r="B135" s="851" t="s">
        <v>529</v>
      </c>
      <c r="C135" s="851" t="s">
        <v>217</v>
      </c>
      <c r="D135" s="851" t="s">
        <v>530</v>
      </c>
      <c r="E135" s="866">
        <f t="shared" si="91"/>
        <v>147491</v>
      </c>
      <c r="F135" s="878">
        <v>147491</v>
      </c>
      <c r="G135" s="878"/>
      <c r="H135" s="878"/>
      <c r="I135" s="878"/>
      <c r="J135" s="866">
        <f t="shared" si="84"/>
        <v>0</v>
      </c>
      <c r="K135" s="866"/>
      <c r="L135" s="878"/>
      <c r="M135" s="878"/>
      <c r="N135" s="878"/>
      <c r="O135" s="867">
        <f t="shared" si="90"/>
        <v>0</v>
      </c>
      <c r="P135" s="866">
        <f>+J135+E135</f>
        <v>147491</v>
      </c>
      <c r="R135" s="195"/>
    </row>
    <row r="136" spans="1:18" ht="367.5" thickTop="1" thickBot="1" x14ac:dyDescent="0.25">
      <c r="A136" s="851" t="s">
        <v>374</v>
      </c>
      <c r="B136" s="851" t="s">
        <v>373</v>
      </c>
      <c r="C136" s="851" t="s">
        <v>52</v>
      </c>
      <c r="D136" s="851" t="s">
        <v>490</v>
      </c>
      <c r="E136" s="866">
        <f t="shared" si="91"/>
        <v>2625425</v>
      </c>
      <c r="F136" s="878">
        <v>2625425</v>
      </c>
      <c r="G136" s="878"/>
      <c r="H136" s="878"/>
      <c r="I136" s="878"/>
      <c r="J136" s="866">
        <f t="shared" si="84"/>
        <v>0</v>
      </c>
      <c r="K136" s="866"/>
      <c r="L136" s="878"/>
      <c r="M136" s="878"/>
      <c r="N136" s="878"/>
      <c r="O136" s="867">
        <f t="shared" si="90"/>
        <v>0</v>
      </c>
      <c r="P136" s="866">
        <f>E136+J136</f>
        <v>2625425</v>
      </c>
      <c r="R136" s="195"/>
    </row>
    <row r="137" spans="1:18" s="39" customFormat="1" ht="93" thickTop="1" thickBot="1" x14ac:dyDescent="0.25">
      <c r="A137" s="879" t="s">
        <v>892</v>
      </c>
      <c r="B137" s="879" t="s">
        <v>893</v>
      </c>
      <c r="C137" s="879"/>
      <c r="D137" s="879" t="s">
        <v>894</v>
      </c>
      <c r="E137" s="877">
        <f>E138</f>
        <v>530000</v>
      </c>
      <c r="F137" s="877">
        <f t="shared" ref="F137:P137" si="100">F138</f>
        <v>530000</v>
      </c>
      <c r="G137" s="877">
        <f t="shared" si="100"/>
        <v>0</v>
      </c>
      <c r="H137" s="877">
        <f t="shared" si="100"/>
        <v>0</v>
      </c>
      <c r="I137" s="877">
        <f t="shared" si="100"/>
        <v>0</v>
      </c>
      <c r="J137" s="877">
        <f t="shared" si="100"/>
        <v>0</v>
      </c>
      <c r="K137" s="877">
        <f t="shared" si="100"/>
        <v>0</v>
      </c>
      <c r="L137" s="877">
        <f t="shared" si="100"/>
        <v>0</v>
      </c>
      <c r="M137" s="877">
        <f t="shared" si="100"/>
        <v>0</v>
      </c>
      <c r="N137" s="877">
        <f t="shared" si="100"/>
        <v>0</v>
      </c>
      <c r="O137" s="877">
        <f t="shared" si="100"/>
        <v>0</v>
      </c>
      <c r="P137" s="877">
        <f t="shared" si="100"/>
        <v>530000</v>
      </c>
      <c r="Q137" s="191"/>
      <c r="R137" s="416"/>
    </row>
    <row r="138" spans="1:18" ht="230.25" thickTop="1" thickBot="1" x14ac:dyDescent="0.25">
      <c r="A138" s="851" t="s">
        <v>350</v>
      </c>
      <c r="B138" s="851" t="s">
        <v>351</v>
      </c>
      <c r="C138" s="851" t="s">
        <v>223</v>
      </c>
      <c r="D138" s="851" t="s">
        <v>790</v>
      </c>
      <c r="E138" s="866">
        <f t="shared" si="91"/>
        <v>530000</v>
      </c>
      <c r="F138" s="878">
        <f>(500000)+30000</f>
        <v>530000</v>
      </c>
      <c r="G138" s="878"/>
      <c r="H138" s="878"/>
      <c r="I138" s="878"/>
      <c r="J138" s="866">
        <f t="shared" si="84"/>
        <v>0</v>
      </c>
      <c r="K138" s="878"/>
      <c r="L138" s="878"/>
      <c r="M138" s="878"/>
      <c r="N138" s="878"/>
      <c r="O138" s="867">
        <f t="shared" si="90"/>
        <v>0</v>
      </c>
      <c r="P138" s="866">
        <f>E138+J138</f>
        <v>530000</v>
      </c>
      <c r="R138" s="195"/>
    </row>
    <row r="139" spans="1:18" ht="93" thickTop="1" thickBot="1" x14ac:dyDescent="0.25">
      <c r="A139" s="851" t="s">
        <v>456</v>
      </c>
      <c r="B139" s="851" t="s">
        <v>398</v>
      </c>
      <c r="C139" s="851" t="s">
        <v>399</v>
      </c>
      <c r="D139" s="851" t="s">
        <v>397</v>
      </c>
      <c r="E139" s="892">
        <f t="shared" si="91"/>
        <v>100040</v>
      </c>
      <c r="F139" s="878">
        <v>100040</v>
      </c>
      <c r="G139" s="878">
        <v>82000</v>
      </c>
      <c r="H139" s="878"/>
      <c r="I139" s="878"/>
      <c r="J139" s="866">
        <f t="shared" si="84"/>
        <v>0</v>
      </c>
      <c r="K139" s="878"/>
      <c r="L139" s="878"/>
      <c r="M139" s="878"/>
      <c r="N139" s="878"/>
      <c r="O139" s="867">
        <f t="shared" si="90"/>
        <v>0</v>
      </c>
      <c r="P139" s="866">
        <f>E139+J139</f>
        <v>100040</v>
      </c>
      <c r="R139" s="195"/>
    </row>
    <row r="140" spans="1:18" ht="230.25" thickTop="1" thickBot="1" x14ac:dyDescent="0.25">
      <c r="A140" s="879" t="s">
        <v>1401</v>
      </c>
      <c r="B140" s="879" t="s">
        <v>1402</v>
      </c>
      <c r="C140" s="879"/>
      <c r="D140" s="879" t="s">
        <v>1400</v>
      </c>
      <c r="E140" s="877">
        <f>E141+E144+E148+E151</f>
        <v>0</v>
      </c>
      <c r="F140" s="877">
        <f t="shared" ref="F140:P140" si="101">F141+F144+F148+F151</f>
        <v>0</v>
      </c>
      <c r="G140" s="877">
        <f t="shared" si="101"/>
        <v>0</v>
      </c>
      <c r="H140" s="877">
        <f t="shared" si="101"/>
        <v>0</v>
      </c>
      <c r="I140" s="877">
        <f t="shared" si="101"/>
        <v>0</v>
      </c>
      <c r="J140" s="877">
        <f t="shared" si="101"/>
        <v>16573607.309999999</v>
      </c>
      <c r="K140" s="877">
        <f t="shared" si="101"/>
        <v>16573607.309999999</v>
      </c>
      <c r="L140" s="877">
        <f t="shared" si="101"/>
        <v>0</v>
      </c>
      <c r="M140" s="877">
        <f t="shared" si="101"/>
        <v>0</v>
      </c>
      <c r="N140" s="877">
        <f t="shared" si="101"/>
        <v>0</v>
      </c>
      <c r="O140" s="877">
        <f t="shared" si="101"/>
        <v>16573607.309999999</v>
      </c>
      <c r="P140" s="877">
        <f t="shared" si="101"/>
        <v>16573607.309999999</v>
      </c>
      <c r="R140" s="195"/>
    </row>
    <row r="141" spans="1:18" ht="409.6" thickTop="1" x14ac:dyDescent="0.65">
      <c r="A141" s="1095" t="s">
        <v>1406</v>
      </c>
      <c r="B141" s="1095" t="s">
        <v>1407</v>
      </c>
      <c r="C141" s="1095" t="s">
        <v>52</v>
      </c>
      <c r="D141" s="893" t="s">
        <v>1403</v>
      </c>
      <c r="E141" s="1167">
        <f t="shared" ref="E141:E144" si="102">F141</f>
        <v>0</v>
      </c>
      <c r="F141" s="1167"/>
      <c r="G141" s="1167"/>
      <c r="H141" s="1167"/>
      <c r="I141" s="1167"/>
      <c r="J141" s="1167">
        <f t="shared" ref="J141:J144" si="103">L141+O141</f>
        <v>11298891.529999999</v>
      </c>
      <c r="K141" s="1172">
        <v>11298891.529999999</v>
      </c>
      <c r="L141" s="1167"/>
      <c r="M141" s="1167"/>
      <c r="N141" s="1167"/>
      <c r="O141" s="1172">
        <f t="shared" ref="O141:O144" si="104">K141</f>
        <v>11298891.529999999</v>
      </c>
      <c r="P141" s="1167">
        <f t="shared" ref="P141:P144" si="105">E141+J141</f>
        <v>11298891.529999999</v>
      </c>
      <c r="Q141" s="1173"/>
      <c r="R141" s="972" t="b">
        <f>K141=[1]d6!J125</f>
        <v>1</v>
      </c>
    </row>
    <row r="142" spans="1:18" ht="409.5" x14ac:dyDescent="0.2">
      <c r="A142" s="1063"/>
      <c r="B142" s="1063"/>
      <c r="C142" s="1063"/>
      <c r="D142" s="894" t="s">
        <v>1404</v>
      </c>
      <c r="E142" s="1063"/>
      <c r="F142" s="1063"/>
      <c r="G142" s="1063"/>
      <c r="H142" s="1063"/>
      <c r="I142" s="1063"/>
      <c r="J142" s="1063"/>
      <c r="K142" s="1063"/>
      <c r="L142" s="1063"/>
      <c r="M142" s="1063"/>
      <c r="N142" s="1063"/>
      <c r="O142" s="1063"/>
      <c r="P142" s="1063"/>
      <c r="Q142" s="1174"/>
      <c r="R142" s="950"/>
    </row>
    <row r="143" spans="1:18" ht="409.6" thickBot="1" x14ac:dyDescent="0.25">
      <c r="A143" s="1064"/>
      <c r="B143" s="1064"/>
      <c r="C143" s="1064"/>
      <c r="D143" s="895" t="s">
        <v>1405</v>
      </c>
      <c r="E143" s="1064"/>
      <c r="F143" s="1064"/>
      <c r="G143" s="1064"/>
      <c r="H143" s="1064"/>
      <c r="I143" s="1064"/>
      <c r="J143" s="1064"/>
      <c r="K143" s="1064"/>
      <c r="L143" s="1064"/>
      <c r="M143" s="1064"/>
      <c r="N143" s="1064"/>
      <c r="O143" s="1064"/>
      <c r="P143" s="1064"/>
      <c r="Q143" s="1174"/>
      <c r="R143" s="950"/>
    </row>
    <row r="144" spans="1:18" ht="409.6" thickTop="1" x14ac:dyDescent="0.65">
      <c r="A144" s="1095" t="s">
        <v>1412</v>
      </c>
      <c r="B144" s="1095" t="s">
        <v>1413</v>
      </c>
      <c r="C144" s="1095" t="s">
        <v>52</v>
      </c>
      <c r="D144" s="893" t="s">
        <v>1408</v>
      </c>
      <c r="E144" s="1167">
        <f t="shared" si="102"/>
        <v>0</v>
      </c>
      <c r="F144" s="1167"/>
      <c r="G144" s="1167"/>
      <c r="H144" s="1167"/>
      <c r="I144" s="1167"/>
      <c r="J144" s="1167">
        <f t="shared" si="103"/>
        <v>1751965</v>
      </c>
      <c r="K144" s="1172">
        <v>1751965</v>
      </c>
      <c r="L144" s="1167"/>
      <c r="M144" s="1167"/>
      <c r="N144" s="1167"/>
      <c r="O144" s="1167">
        <f t="shared" si="104"/>
        <v>1751965</v>
      </c>
      <c r="P144" s="1167">
        <f t="shared" si="105"/>
        <v>1751965</v>
      </c>
      <c r="R144" s="972" t="b">
        <f>K144=[1]d6!J128</f>
        <v>1</v>
      </c>
    </row>
    <row r="145" spans="1:18" ht="409.5" x14ac:dyDescent="0.2">
      <c r="A145" s="1063"/>
      <c r="B145" s="1063"/>
      <c r="C145" s="1063"/>
      <c r="D145" s="894" t="s">
        <v>1409</v>
      </c>
      <c r="E145" s="1063"/>
      <c r="F145" s="1063"/>
      <c r="G145" s="1063"/>
      <c r="H145" s="1063"/>
      <c r="I145" s="1063"/>
      <c r="J145" s="1063"/>
      <c r="K145" s="1063"/>
      <c r="L145" s="1063"/>
      <c r="M145" s="1063"/>
      <c r="N145" s="1063"/>
      <c r="O145" s="1063"/>
      <c r="P145" s="1063"/>
      <c r="R145" s="975"/>
    </row>
    <row r="146" spans="1:18" ht="409.5" x14ac:dyDescent="0.2">
      <c r="A146" s="1063"/>
      <c r="B146" s="1063"/>
      <c r="C146" s="1063"/>
      <c r="D146" s="894" t="s">
        <v>1410</v>
      </c>
      <c r="E146" s="1063"/>
      <c r="F146" s="1063"/>
      <c r="G146" s="1063"/>
      <c r="H146" s="1063"/>
      <c r="I146" s="1063"/>
      <c r="J146" s="1063"/>
      <c r="K146" s="1063"/>
      <c r="L146" s="1063"/>
      <c r="M146" s="1063"/>
      <c r="N146" s="1063"/>
      <c r="O146" s="1063"/>
      <c r="P146" s="1063"/>
      <c r="R146" s="975"/>
    </row>
    <row r="147" spans="1:18" ht="183.75" thickBot="1" x14ac:dyDescent="0.25">
      <c r="A147" s="1064"/>
      <c r="B147" s="1064"/>
      <c r="C147" s="1064"/>
      <c r="D147" s="895" t="s">
        <v>1411</v>
      </c>
      <c r="E147" s="1064"/>
      <c r="F147" s="1064"/>
      <c r="G147" s="1064"/>
      <c r="H147" s="1064"/>
      <c r="I147" s="1064"/>
      <c r="J147" s="1064"/>
      <c r="K147" s="1064"/>
      <c r="L147" s="1064"/>
      <c r="M147" s="1064"/>
      <c r="N147" s="1064"/>
      <c r="O147" s="1064"/>
      <c r="P147" s="1064"/>
      <c r="R147" s="975"/>
    </row>
    <row r="148" spans="1:18" ht="409.6" thickTop="1" x14ac:dyDescent="0.65">
      <c r="A148" s="1095" t="s">
        <v>1414</v>
      </c>
      <c r="B148" s="1095" t="s">
        <v>1415</v>
      </c>
      <c r="C148" s="1095" t="s">
        <v>52</v>
      </c>
      <c r="D148" s="893" t="s">
        <v>1416</v>
      </c>
      <c r="E148" s="1167">
        <f t="shared" ref="E148" si="106">F148</f>
        <v>0</v>
      </c>
      <c r="F148" s="1167"/>
      <c r="G148" s="1167"/>
      <c r="H148" s="1167"/>
      <c r="I148" s="1167"/>
      <c r="J148" s="1167">
        <f t="shared" ref="J148" si="107">L148+O148</f>
        <v>1093438.78</v>
      </c>
      <c r="K148" s="1172">
        <v>1093438.78</v>
      </c>
      <c r="L148" s="1167"/>
      <c r="M148" s="1167"/>
      <c r="N148" s="1167"/>
      <c r="O148" s="1172">
        <f t="shared" ref="O148" si="108">K148</f>
        <v>1093438.78</v>
      </c>
      <c r="P148" s="1167">
        <f t="shared" ref="P148" si="109">E148+J148</f>
        <v>1093438.78</v>
      </c>
      <c r="R148" s="972" t="b">
        <f>K148=[1]d6!J132</f>
        <v>1</v>
      </c>
    </row>
    <row r="149" spans="1:18" ht="409.5" x14ac:dyDescent="0.2">
      <c r="A149" s="1063"/>
      <c r="B149" s="1063"/>
      <c r="C149" s="1063"/>
      <c r="D149" s="894" t="s">
        <v>1417</v>
      </c>
      <c r="E149" s="1063"/>
      <c r="F149" s="1063"/>
      <c r="G149" s="1063"/>
      <c r="H149" s="1063"/>
      <c r="I149" s="1063"/>
      <c r="J149" s="1063"/>
      <c r="K149" s="1063"/>
      <c r="L149" s="1063"/>
      <c r="M149" s="1063"/>
      <c r="N149" s="1063"/>
      <c r="O149" s="1063"/>
      <c r="P149" s="1063"/>
      <c r="R149" s="950"/>
    </row>
    <row r="150" spans="1:18" ht="138" thickBot="1" x14ac:dyDescent="0.25">
      <c r="A150" s="1064"/>
      <c r="B150" s="1064"/>
      <c r="C150" s="1064"/>
      <c r="D150" s="895" t="s">
        <v>1418</v>
      </c>
      <c r="E150" s="1064"/>
      <c r="F150" s="1064"/>
      <c r="G150" s="1064"/>
      <c r="H150" s="1064"/>
      <c r="I150" s="1064"/>
      <c r="J150" s="1064"/>
      <c r="K150" s="1064"/>
      <c r="L150" s="1064"/>
      <c r="M150" s="1064"/>
      <c r="N150" s="1064"/>
      <c r="O150" s="1064"/>
      <c r="P150" s="1064"/>
      <c r="R150" s="950"/>
    </row>
    <row r="151" spans="1:18" ht="409.6" thickTop="1" x14ac:dyDescent="0.65">
      <c r="A151" s="1095" t="s">
        <v>1422</v>
      </c>
      <c r="B151" s="1095" t="s">
        <v>1423</v>
      </c>
      <c r="C151" s="1095" t="s">
        <v>52</v>
      </c>
      <c r="D151" s="893" t="s">
        <v>1419</v>
      </c>
      <c r="E151" s="1167">
        <f t="shared" ref="E151" si="110">F151</f>
        <v>0</v>
      </c>
      <c r="F151" s="1167"/>
      <c r="G151" s="1167"/>
      <c r="H151" s="1167"/>
      <c r="I151" s="1167"/>
      <c r="J151" s="1167">
        <f t="shared" ref="J151" si="111">L151+O151</f>
        <v>2429312</v>
      </c>
      <c r="K151" s="1172">
        <v>2429312</v>
      </c>
      <c r="L151" s="1167"/>
      <c r="M151" s="1167"/>
      <c r="N151" s="1167"/>
      <c r="O151" s="1172">
        <f t="shared" ref="O151" si="112">K151</f>
        <v>2429312</v>
      </c>
      <c r="P151" s="1167">
        <f t="shared" ref="P151" si="113">E151+J151</f>
        <v>2429312</v>
      </c>
      <c r="R151" s="972" t="b">
        <f>K151=[1]d6!J135</f>
        <v>1</v>
      </c>
    </row>
    <row r="152" spans="1:18" ht="352.5" customHeight="1" x14ac:dyDescent="0.2">
      <c r="A152" s="1063"/>
      <c r="B152" s="1063"/>
      <c r="C152" s="1063"/>
      <c r="D152" s="894" t="s">
        <v>1420</v>
      </c>
      <c r="E152" s="1063"/>
      <c r="F152" s="1063"/>
      <c r="G152" s="1063"/>
      <c r="H152" s="1063"/>
      <c r="I152" s="1063"/>
      <c r="J152" s="1063"/>
      <c r="K152" s="1063"/>
      <c r="L152" s="1063"/>
      <c r="M152" s="1063"/>
      <c r="N152" s="1063"/>
      <c r="O152" s="1063"/>
      <c r="P152" s="1063"/>
      <c r="R152" s="950"/>
    </row>
    <row r="153" spans="1:18" ht="92.25" thickBot="1" x14ac:dyDescent="0.25">
      <c r="A153" s="1064"/>
      <c r="B153" s="1064"/>
      <c r="C153" s="1064"/>
      <c r="D153" s="895" t="s">
        <v>1421</v>
      </c>
      <c r="E153" s="1064"/>
      <c r="F153" s="1064"/>
      <c r="G153" s="1064"/>
      <c r="H153" s="1064"/>
      <c r="I153" s="1064"/>
      <c r="J153" s="1064"/>
      <c r="K153" s="1064"/>
      <c r="L153" s="1064"/>
      <c r="M153" s="1064"/>
      <c r="N153" s="1064"/>
      <c r="O153" s="1064"/>
      <c r="P153" s="1064"/>
      <c r="R153" s="950"/>
    </row>
    <row r="154" spans="1:18" s="39" customFormat="1" ht="48" thickTop="1" thickBot="1" x14ac:dyDescent="0.25">
      <c r="A154" s="879" t="s">
        <v>895</v>
      </c>
      <c r="B154" s="879" t="s">
        <v>896</v>
      </c>
      <c r="C154" s="879"/>
      <c r="D154" s="879" t="s">
        <v>897</v>
      </c>
      <c r="E154" s="877">
        <f>SUM(E155:E156)</f>
        <v>38565635</v>
      </c>
      <c r="F154" s="877">
        <f t="shared" ref="F154:P154" si="114">SUM(F155:F156)</f>
        <v>38565635</v>
      </c>
      <c r="G154" s="877">
        <f t="shared" si="114"/>
        <v>4212615</v>
      </c>
      <c r="H154" s="877">
        <f t="shared" si="114"/>
        <v>426527</v>
      </c>
      <c r="I154" s="877">
        <f t="shared" si="114"/>
        <v>0</v>
      </c>
      <c r="J154" s="877">
        <f t="shared" si="114"/>
        <v>865250</v>
      </c>
      <c r="K154" s="877">
        <f t="shared" si="114"/>
        <v>720250</v>
      </c>
      <c r="L154" s="877">
        <f t="shared" si="114"/>
        <v>145000</v>
      </c>
      <c r="M154" s="877">
        <f t="shared" si="114"/>
        <v>4000</v>
      </c>
      <c r="N154" s="877">
        <f t="shared" si="114"/>
        <v>134000</v>
      </c>
      <c r="O154" s="877">
        <f t="shared" si="114"/>
        <v>720250</v>
      </c>
      <c r="P154" s="877">
        <f t="shared" si="114"/>
        <v>39430885</v>
      </c>
      <c r="Q154" s="191"/>
      <c r="R154" s="416"/>
    </row>
    <row r="155" spans="1:18" ht="184.5" thickTop="1" thickBot="1" x14ac:dyDescent="0.25">
      <c r="A155" s="851" t="s">
        <v>352</v>
      </c>
      <c r="B155" s="851" t="s">
        <v>354</v>
      </c>
      <c r="C155" s="851" t="s">
        <v>209</v>
      </c>
      <c r="D155" s="321" t="s">
        <v>356</v>
      </c>
      <c r="E155" s="866">
        <f t="shared" si="91"/>
        <v>7334512</v>
      </c>
      <c r="F155" s="878">
        <f>19000+37200-32000-8000-120000-430000+(9000+5940+6350+((8173362-388340)+17000+45000))</f>
        <v>7334512</v>
      </c>
      <c r="G155" s="167">
        <f>-32000+(1948670+2295945)</f>
        <v>4212615</v>
      </c>
      <c r="H155" s="167">
        <f>19000+37200-120000+(245557+131600+6000+27000+40000+39000+1170)</f>
        <v>426527</v>
      </c>
      <c r="I155" s="878"/>
      <c r="J155" s="866">
        <f t="shared" ref="J155:J167" si="115">L155+O155</f>
        <v>631340</v>
      </c>
      <c r="K155" s="878">
        <f>98000+((72894+138259+40788+136399))</f>
        <v>486340</v>
      </c>
      <c r="L155" s="878">
        <f>(4000+900+6100+23000+65000+45000+1000)</f>
        <v>145000</v>
      </c>
      <c r="M155" s="878">
        <v>4000</v>
      </c>
      <c r="N155" s="878">
        <f>(23000+65000+45000+1000)</f>
        <v>134000</v>
      </c>
      <c r="O155" s="867">
        <f t="shared" ref="O155:O167" si="116">K155</f>
        <v>486340</v>
      </c>
      <c r="P155" s="866">
        <f t="shared" ref="P155:P167" si="117">E155+J155</f>
        <v>7965852</v>
      </c>
      <c r="R155" s="849" t="b">
        <f>K155=[1]d6!J138+[1]d6!J139</f>
        <v>1</v>
      </c>
    </row>
    <row r="156" spans="1:18" ht="138.75" thickTop="1" thickBot="1" x14ac:dyDescent="0.25">
      <c r="A156" s="851" t="s">
        <v>353</v>
      </c>
      <c r="B156" s="851" t="s">
        <v>355</v>
      </c>
      <c r="C156" s="851" t="s">
        <v>209</v>
      </c>
      <c r="D156" s="321" t="s">
        <v>357</v>
      </c>
      <c r="E156" s="866">
        <f t="shared" si="91"/>
        <v>31231123</v>
      </c>
      <c r="F156" s="878">
        <f>1000000+(2000000+400000+52000+((27403151)+44000+81972+200000+50000))</f>
        <v>31231123</v>
      </c>
      <c r="G156" s="878"/>
      <c r="H156" s="878"/>
      <c r="I156" s="878"/>
      <c r="J156" s="866">
        <f t="shared" si="115"/>
        <v>233910</v>
      </c>
      <c r="K156" s="878">
        <f>(150000)+83910</f>
        <v>233910</v>
      </c>
      <c r="L156" s="878"/>
      <c r="M156" s="878"/>
      <c r="N156" s="878"/>
      <c r="O156" s="867">
        <f t="shared" si="116"/>
        <v>233910</v>
      </c>
      <c r="P156" s="866">
        <f t="shared" si="117"/>
        <v>31465033</v>
      </c>
      <c r="R156" s="849" t="b">
        <f>K156=[1]d6!J140+[1]d6!J141</f>
        <v>1</v>
      </c>
    </row>
    <row r="157" spans="1:18" ht="91.5" thickTop="1" thickBot="1" x14ac:dyDescent="0.25">
      <c r="A157" s="170" t="s">
        <v>898</v>
      </c>
      <c r="B157" s="170" t="s">
        <v>899</v>
      </c>
      <c r="C157" s="170"/>
      <c r="D157" s="417" t="s">
        <v>900</v>
      </c>
      <c r="E157" s="866">
        <f>SUM(E158)</f>
        <v>0</v>
      </c>
      <c r="F157" s="866">
        <f t="shared" ref="F157:P157" si="118">SUM(F158)</f>
        <v>0</v>
      </c>
      <c r="G157" s="866">
        <f t="shared" si="118"/>
        <v>0</v>
      </c>
      <c r="H157" s="866">
        <f t="shared" si="118"/>
        <v>0</v>
      </c>
      <c r="I157" s="866">
        <f t="shared" si="118"/>
        <v>0</v>
      </c>
      <c r="J157" s="866">
        <f>SUM(J158)</f>
        <v>7577034</v>
      </c>
      <c r="K157" s="866">
        <f t="shared" si="118"/>
        <v>7577034</v>
      </c>
      <c r="L157" s="866">
        <f t="shared" si="118"/>
        <v>0</v>
      </c>
      <c r="M157" s="866">
        <f t="shared" si="118"/>
        <v>0</v>
      </c>
      <c r="N157" s="866">
        <f t="shared" si="118"/>
        <v>0</v>
      </c>
      <c r="O157" s="866">
        <f t="shared" si="118"/>
        <v>7577034</v>
      </c>
      <c r="P157" s="866">
        <f t="shared" si="118"/>
        <v>7577034</v>
      </c>
      <c r="R157" s="849"/>
    </row>
    <row r="158" spans="1:18" s="39" customFormat="1" ht="93" thickTop="1" thickBot="1" x14ac:dyDescent="0.25">
      <c r="A158" s="879" t="s">
        <v>901</v>
      </c>
      <c r="B158" s="879" t="s">
        <v>902</v>
      </c>
      <c r="C158" s="879"/>
      <c r="D158" s="418" t="s">
        <v>903</v>
      </c>
      <c r="E158" s="877">
        <f>SUM(E159:E160)</f>
        <v>0</v>
      </c>
      <c r="F158" s="877">
        <f>SUM(F159:F160)</f>
        <v>0</v>
      </c>
      <c r="G158" s="877">
        <f>SUM(G159:G160)</f>
        <v>0</v>
      </c>
      <c r="H158" s="877">
        <f>SUM(H159:H160)</f>
        <v>0</v>
      </c>
      <c r="I158" s="877">
        <f>SUM(I159:I160)</f>
        <v>0</v>
      </c>
      <c r="J158" s="877">
        <f t="shared" ref="J158:O158" si="119">SUM(J159:J160)</f>
        <v>7577034</v>
      </c>
      <c r="K158" s="877">
        <f t="shared" si="119"/>
        <v>7577034</v>
      </c>
      <c r="L158" s="877">
        <f t="shared" si="119"/>
        <v>0</v>
      </c>
      <c r="M158" s="877">
        <f t="shared" si="119"/>
        <v>0</v>
      </c>
      <c r="N158" s="877">
        <f t="shared" si="119"/>
        <v>0</v>
      </c>
      <c r="O158" s="877">
        <f t="shared" si="119"/>
        <v>7577034</v>
      </c>
      <c r="P158" s="877">
        <f>SUM(P159:P160)</f>
        <v>7577034</v>
      </c>
      <c r="Q158" s="191"/>
      <c r="R158" s="420"/>
    </row>
    <row r="159" spans="1:18" ht="138.75" thickTop="1" thickBot="1" x14ac:dyDescent="0.25">
      <c r="A159" s="851" t="s">
        <v>393</v>
      </c>
      <c r="B159" s="851" t="s">
        <v>391</v>
      </c>
      <c r="C159" s="851" t="s">
        <v>365</v>
      </c>
      <c r="D159" s="321" t="s">
        <v>392</v>
      </c>
      <c r="E159" s="866">
        <f t="shared" si="91"/>
        <v>0</v>
      </c>
      <c r="F159" s="878"/>
      <c r="G159" s="878"/>
      <c r="H159" s="878"/>
      <c r="I159" s="878"/>
      <c r="J159" s="866">
        <f t="shared" si="115"/>
        <v>4000000</v>
      </c>
      <c r="K159" s="878">
        <v>4000000</v>
      </c>
      <c r="L159" s="878"/>
      <c r="M159" s="878"/>
      <c r="N159" s="878"/>
      <c r="O159" s="867">
        <f t="shared" si="116"/>
        <v>4000000</v>
      </c>
      <c r="P159" s="866">
        <f t="shared" si="117"/>
        <v>4000000</v>
      </c>
      <c r="R159" s="849" t="b">
        <f>K159=[1]d6!J142</f>
        <v>1</v>
      </c>
    </row>
    <row r="160" spans="1:18" ht="409.6" thickTop="1" thickBot="1" x14ac:dyDescent="0.25">
      <c r="A160" s="851" t="s">
        <v>1424</v>
      </c>
      <c r="B160" s="851" t="s">
        <v>1425</v>
      </c>
      <c r="C160" s="851" t="s">
        <v>365</v>
      </c>
      <c r="D160" s="321" t="s">
        <v>1426</v>
      </c>
      <c r="E160" s="866">
        <f t="shared" si="91"/>
        <v>0</v>
      </c>
      <c r="F160" s="878"/>
      <c r="G160" s="878"/>
      <c r="H160" s="878"/>
      <c r="I160" s="878"/>
      <c r="J160" s="866">
        <f t="shared" si="115"/>
        <v>3577034</v>
      </c>
      <c r="K160" s="878">
        <v>3577034</v>
      </c>
      <c r="L160" s="878"/>
      <c r="M160" s="878"/>
      <c r="N160" s="878"/>
      <c r="O160" s="867">
        <f t="shared" si="116"/>
        <v>3577034</v>
      </c>
      <c r="P160" s="866">
        <f t="shared" si="117"/>
        <v>3577034</v>
      </c>
      <c r="R160" s="849" t="b">
        <f>K160=[1]d6!J143</f>
        <v>1</v>
      </c>
    </row>
    <row r="161" spans="1:18" ht="47.25" thickTop="1" thickBot="1" x14ac:dyDescent="0.25">
      <c r="A161" s="170" t="s">
        <v>908</v>
      </c>
      <c r="B161" s="871" t="s">
        <v>905</v>
      </c>
      <c r="C161" s="871"/>
      <c r="D161" s="871" t="s">
        <v>906</v>
      </c>
      <c r="E161" s="866">
        <f t="shared" ref="E161:P161" si="120">E165+E162</f>
        <v>0</v>
      </c>
      <c r="F161" s="866">
        <f t="shared" si="120"/>
        <v>0</v>
      </c>
      <c r="G161" s="866">
        <f t="shared" si="120"/>
        <v>0</v>
      </c>
      <c r="H161" s="866">
        <f t="shared" si="120"/>
        <v>0</v>
      </c>
      <c r="I161" s="866">
        <f t="shared" si="120"/>
        <v>0</v>
      </c>
      <c r="J161" s="866">
        <f t="shared" si="120"/>
        <v>542000</v>
      </c>
      <c r="K161" s="866">
        <f t="shared" si="120"/>
        <v>220000</v>
      </c>
      <c r="L161" s="866">
        <f t="shared" si="120"/>
        <v>322000</v>
      </c>
      <c r="M161" s="866">
        <f t="shared" si="120"/>
        <v>0</v>
      </c>
      <c r="N161" s="866">
        <f t="shared" si="120"/>
        <v>0</v>
      </c>
      <c r="O161" s="866">
        <f t="shared" si="120"/>
        <v>220000</v>
      </c>
      <c r="P161" s="866">
        <f t="shared" si="120"/>
        <v>542000</v>
      </c>
      <c r="R161" s="849"/>
    </row>
    <row r="162" spans="1:18" ht="91.5" thickTop="1" thickBot="1" x14ac:dyDescent="0.25">
      <c r="A162" s="872" t="s">
        <v>1143</v>
      </c>
      <c r="B162" s="874" t="s">
        <v>961</v>
      </c>
      <c r="C162" s="874"/>
      <c r="D162" s="874" t="s">
        <v>962</v>
      </c>
      <c r="E162" s="873">
        <f>E163</f>
        <v>0</v>
      </c>
      <c r="F162" s="873">
        <f t="shared" ref="F162:P166" si="121">F163</f>
        <v>0</v>
      </c>
      <c r="G162" s="873">
        <f t="shared" si="121"/>
        <v>0</v>
      </c>
      <c r="H162" s="873">
        <f t="shared" si="121"/>
        <v>0</v>
      </c>
      <c r="I162" s="873">
        <f t="shared" si="121"/>
        <v>0</v>
      </c>
      <c r="J162" s="873">
        <f t="shared" si="121"/>
        <v>220000</v>
      </c>
      <c r="K162" s="873">
        <f t="shared" si="121"/>
        <v>220000</v>
      </c>
      <c r="L162" s="873">
        <f t="shared" si="121"/>
        <v>0</v>
      </c>
      <c r="M162" s="873">
        <f t="shared" si="121"/>
        <v>0</v>
      </c>
      <c r="N162" s="873">
        <f t="shared" si="121"/>
        <v>0</v>
      </c>
      <c r="O162" s="873">
        <f t="shared" si="121"/>
        <v>220000</v>
      </c>
      <c r="P162" s="873">
        <f t="shared" si="121"/>
        <v>220000</v>
      </c>
      <c r="R162" s="849"/>
    </row>
    <row r="163" spans="1:18" ht="146.25" thickTop="1" thickBot="1" x14ac:dyDescent="0.25">
      <c r="A163" s="879" t="s">
        <v>1139</v>
      </c>
      <c r="B163" s="879" t="s">
        <v>980</v>
      </c>
      <c r="C163" s="879"/>
      <c r="D163" s="879" t="s">
        <v>981</v>
      </c>
      <c r="E163" s="877">
        <f>E164</f>
        <v>0</v>
      </c>
      <c r="F163" s="877">
        <f t="shared" si="121"/>
        <v>0</v>
      </c>
      <c r="G163" s="877">
        <f t="shared" si="121"/>
        <v>0</v>
      </c>
      <c r="H163" s="877">
        <f t="shared" si="121"/>
        <v>0</v>
      </c>
      <c r="I163" s="877">
        <f t="shared" si="121"/>
        <v>0</v>
      </c>
      <c r="J163" s="877">
        <f t="shared" si="121"/>
        <v>220000</v>
      </c>
      <c r="K163" s="877">
        <f t="shared" si="121"/>
        <v>220000</v>
      </c>
      <c r="L163" s="877">
        <f t="shared" si="121"/>
        <v>0</v>
      </c>
      <c r="M163" s="877">
        <f t="shared" si="121"/>
        <v>0</v>
      </c>
      <c r="N163" s="877">
        <f t="shared" si="121"/>
        <v>0</v>
      </c>
      <c r="O163" s="877">
        <f t="shared" si="121"/>
        <v>220000</v>
      </c>
      <c r="P163" s="877">
        <f t="shared" si="121"/>
        <v>220000</v>
      </c>
      <c r="R163" s="849"/>
    </row>
    <row r="164" spans="1:18" ht="99.75" thickTop="1" thickBot="1" x14ac:dyDescent="0.25">
      <c r="A164" s="851" t="s">
        <v>1140</v>
      </c>
      <c r="B164" s="851" t="s">
        <v>1141</v>
      </c>
      <c r="C164" s="851" t="s">
        <v>323</v>
      </c>
      <c r="D164" s="851" t="s">
        <v>1142</v>
      </c>
      <c r="E164" s="866">
        <f>E165</f>
        <v>0</v>
      </c>
      <c r="F164" s="878"/>
      <c r="G164" s="878"/>
      <c r="H164" s="878"/>
      <c r="I164" s="878"/>
      <c r="J164" s="866">
        <f>L164+O164</f>
        <v>220000</v>
      </c>
      <c r="K164" s="878">
        <f>180000+40000</f>
        <v>220000</v>
      </c>
      <c r="L164" s="878"/>
      <c r="M164" s="878"/>
      <c r="N164" s="878"/>
      <c r="O164" s="867">
        <f>K164</f>
        <v>220000</v>
      </c>
      <c r="P164" s="866">
        <f>E164+J164</f>
        <v>220000</v>
      </c>
      <c r="R164" s="849" t="b">
        <f>K164=[1]d6!J144</f>
        <v>1</v>
      </c>
    </row>
    <row r="165" spans="1:18" ht="136.5" thickTop="1" thickBot="1" x14ac:dyDescent="0.25">
      <c r="A165" s="872" t="s">
        <v>910</v>
      </c>
      <c r="B165" s="874" t="s">
        <v>847</v>
      </c>
      <c r="C165" s="874"/>
      <c r="D165" s="874" t="s">
        <v>845</v>
      </c>
      <c r="E165" s="873">
        <f>E166</f>
        <v>0</v>
      </c>
      <c r="F165" s="873">
        <f t="shared" si="121"/>
        <v>0</v>
      </c>
      <c r="G165" s="873">
        <f t="shared" si="121"/>
        <v>0</v>
      </c>
      <c r="H165" s="873">
        <f t="shared" si="121"/>
        <v>0</v>
      </c>
      <c r="I165" s="873">
        <f t="shared" si="121"/>
        <v>0</v>
      </c>
      <c r="J165" s="873">
        <f t="shared" si="121"/>
        <v>322000</v>
      </c>
      <c r="K165" s="873">
        <f t="shared" si="121"/>
        <v>0</v>
      </c>
      <c r="L165" s="873">
        <f t="shared" si="121"/>
        <v>322000</v>
      </c>
      <c r="M165" s="873">
        <f t="shared" si="121"/>
        <v>0</v>
      </c>
      <c r="N165" s="873">
        <f t="shared" si="121"/>
        <v>0</v>
      </c>
      <c r="O165" s="873">
        <f t="shared" si="121"/>
        <v>0</v>
      </c>
      <c r="P165" s="873">
        <f t="shared" si="121"/>
        <v>322000</v>
      </c>
      <c r="R165" s="849"/>
    </row>
    <row r="166" spans="1:18" ht="48" thickTop="1" thickBot="1" x14ac:dyDescent="0.25">
      <c r="A166" s="875" t="s">
        <v>909</v>
      </c>
      <c r="B166" s="875" t="s">
        <v>850</v>
      </c>
      <c r="C166" s="875"/>
      <c r="D166" s="418" t="s">
        <v>848</v>
      </c>
      <c r="E166" s="877">
        <f>E167</f>
        <v>0</v>
      </c>
      <c r="F166" s="877">
        <f t="shared" si="121"/>
        <v>0</v>
      </c>
      <c r="G166" s="877">
        <f t="shared" si="121"/>
        <v>0</v>
      </c>
      <c r="H166" s="877">
        <f t="shared" si="121"/>
        <v>0</v>
      </c>
      <c r="I166" s="877">
        <f t="shared" si="121"/>
        <v>0</v>
      </c>
      <c r="J166" s="877">
        <f t="shared" si="121"/>
        <v>322000</v>
      </c>
      <c r="K166" s="877">
        <f t="shared" si="121"/>
        <v>0</v>
      </c>
      <c r="L166" s="877">
        <f t="shared" si="121"/>
        <v>322000</v>
      </c>
      <c r="M166" s="877">
        <f t="shared" si="121"/>
        <v>0</v>
      </c>
      <c r="N166" s="877">
        <f t="shared" si="121"/>
        <v>0</v>
      </c>
      <c r="O166" s="877">
        <f t="shared" si="121"/>
        <v>0</v>
      </c>
      <c r="P166" s="877">
        <f t="shared" si="121"/>
        <v>322000</v>
      </c>
      <c r="R166" s="849"/>
    </row>
    <row r="167" spans="1:18" ht="409.6" thickTop="1" thickBot="1" x14ac:dyDescent="0.7">
      <c r="A167" s="1093" t="s">
        <v>451</v>
      </c>
      <c r="B167" s="1093" t="s">
        <v>363</v>
      </c>
      <c r="C167" s="1093" t="s">
        <v>184</v>
      </c>
      <c r="D167" s="315" t="s">
        <v>473</v>
      </c>
      <c r="E167" s="1176">
        <f t="shared" si="91"/>
        <v>0</v>
      </c>
      <c r="F167" s="1089"/>
      <c r="G167" s="1089"/>
      <c r="H167" s="1089"/>
      <c r="I167" s="1089"/>
      <c r="J167" s="1176">
        <f t="shared" si="115"/>
        <v>322000</v>
      </c>
      <c r="K167" s="1089"/>
      <c r="L167" s="1089">
        <v>322000</v>
      </c>
      <c r="M167" s="1089"/>
      <c r="N167" s="1089"/>
      <c r="O167" s="1178">
        <f t="shared" si="116"/>
        <v>0</v>
      </c>
      <c r="P167" s="1180">
        <f t="shared" si="117"/>
        <v>322000</v>
      </c>
      <c r="R167" s="195"/>
    </row>
    <row r="168" spans="1:18" ht="184.5" thickTop="1" thickBot="1" x14ac:dyDescent="0.25">
      <c r="A168" s="1175"/>
      <c r="B168" s="1090"/>
      <c r="C168" s="1175"/>
      <c r="D168" s="317" t="s">
        <v>474</v>
      </c>
      <c r="E168" s="1175"/>
      <c r="F168" s="1177"/>
      <c r="G168" s="1177"/>
      <c r="H168" s="1177"/>
      <c r="I168" s="1177"/>
      <c r="J168" s="1175"/>
      <c r="K168" s="1175"/>
      <c r="L168" s="1177"/>
      <c r="M168" s="1177"/>
      <c r="N168" s="1177"/>
      <c r="O168" s="1179"/>
      <c r="P168" s="1181"/>
      <c r="R168" s="195"/>
    </row>
    <row r="169" spans="1:18" ht="181.5" thickTop="1" thickBot="1" x14ac:dyDescent="0.25">
      <c r="A169" s="766">
        <v>1000000</v>
      </c>
      <c r="B169" s="766"/>
      <c r="C169" s="766"/>
      <c r="D169" s="767" t="s">
        <v>24</v>
      </c>
      <c r="E169" s="768">
        <f>E170</f>
        <v>127138658</v>
      </c>
      <c r="F169" s="769">
        <f t="shared" ref="F169:G169" si="122">F170</f>
        <v>127138658</v>
      </c>
      <c r="G169" s="769">
        <f t="shared" si="122"/>
        <v>90762390</v>
      </c>
      <c r="H169" s="769">
        <f>H170</f>
        <v>5079046</v>
      </c>
      <c r="I169" s="769">
        <f>I170</f>
        <v>0</v>
      </c>
      <c r="J169" s="768">
        <f>J170</f>
        <v>17247025</v>
      </c>
      <c r="K169" s="769">
        <f>K170</f>
        <v>7416625</v>
      </c>
      <c r="L169" s="769">
        <f>L170</f>
        <v>9724400</v>
      </c>
      <c r="M169" s="769">
        <f t="shared" ref="M169" si="123">M170</f>
        <v>7345900</v>
      </c>
      <c r="N169" s="769">
        <f>N170</f>
        <v>257400</v>
      </c>
      <c r="O169" s="768">
        <f>O170</f>
        <v>7522625</v>
      </c>
      <c r="P169" s="769">
        <f t="shared" ref="P169" si="124">P170</f>
        <v>144385683</v>
      </c>
    </row>
    <row r="170" spans="1:18" ht="181.5" thickTop="1" thickBot="1" x14ac:dyDescent="0.25">
      <c r="A170" s="863">
        <v>1010000</v>
      </c>
      <c r="B170" s="863"/>
      <c r="C170" s="863"/>
      <c r="D170" s="864" t="s">
        <v>41</v>
      </c>
      <c r="E170" s="865">
        <f>E171+E173+E186+E181</f>
        <v>127138658</v>
      </c>
      <c r="F170" s="865">
        <f>F171+F173+F186+F181</f>
        <v>127138658</v>
      </c>
      <c r="G170" s="865">
        <f>G171+G173+G186+G181</f>
        <v>90762390</v>
      </c>
      <c r="H170" s="865">
        <f>H171+H173+H186+H181</f>
        <v>5079046</v>
      </c>
      <c r="I170" s="865">
        <f>I171+I173+I186+I181</f>
        <v>0</v>
      </c>
      <c r="J170" s="865">
        <f t="shared" ref="J170:J180" si="125">L170+O170</f>
        <v>17247025</v>
      </c>
      <c r="K170" s="865">
        <f>K171+K173+K186+K181</f>
        <v>7416625</v>
      </c>
      <c r="L170" s="865">
        <f>L171+L173+L186+L181</f>
        <v>9724400</v>
      </c>
      <c r="M170" s="865">
        <f>M171+M173+M186+M181</f>
        <v>7345900</v>
      </c>
      <c r="N170" s="865">
        <f>N171+N173+N186+N181</f>
        <v>257400</v>
      </c>
      <c r="O170" s="865">
        <f>O171+O173+O186+O181</f>
        <v>7522625</v>
      </c>
      <c r="P170" s="865">
        <f t="shared" ref="P170:P180" si="126">E170+J170</f>
        <v>144385683</v>
      </c>
      <c r="Q170" s="125" t="b">
        <f>P170=P172+P174+P175+P176+P177+P179+P180+P188+P185+P184</f>
        <v>1</v>
      </c>
      <c r="R170" s="849" t="b">
        <f>K170=[1]d6!J145</f>
        <v>1</v>
      </c>
    </row>
    <row r="171" spans="1:18" ht="47.25" thickTop="1" thickBot="1" x14ac:dyDescent="0.25">
      <c r="A171" s="170" t="s">
        <v>911</v>
      </c>
      <c r="B171" s="170" t="s">
        <v>864</v>
      </c>
      <c r="C171" s="170"/>
      <c r="D171" s="170" t="s">
        <v>865</v>
      </c>
      <c r="E171" s="866">
        <f>E172</f>
        <v>70087686</v>
      </c>
      <c r="F171" s="866">
        <f t="shared" ref="F171:P171" si="127">F172</f>
        <v>70087686</v>
      </c>
      <c r="G171" s="866">
        <f t="shared" si="127"/>
        <v>54485440</v>
      </c>
      <c r="H171" s="866">
        <f t="shared" si="127"/>
        <v>2968576</v>
      </c>
      <c r="I171" s="866">
        <f t="shared" si="127"/>
        <v>0</v>
      </c>
      <c r="J171" s="866">
        <f t="shared" si="127"/>
        <v>10111100</v>
      </c>
      <c r="K171" s="866">
        <f t="shared" si="127"/>
        <v>1049000</v>
      </c>
      <c r="L171" s="866">
        <f t="shared" si="127"/>
        <v>9029100</v>
      </c>
      <c r="M171" s="866">
        <f t="shared" si="127"/>
        <v>6977500</v>
      </c>
      <c r="N171" s="866">
        <f t="shared" si="127"/>
        <v>190100</v>
      </c>
      <c r="O171" s="866">
        <f t="shared" si="127"/>
        <v>1082000</v>
      </c>
      <c r="P171" s="866">
        <f t="shared" si="127"/>
        <v>80198786</v>
      </c>
      <c r="Q171" s="125"/>
      <c r="R171" s="849"/>
    </row>
    <row r="172" spans="1:18" ht="93" thickTop="1" thickBot="1" x14ac:dyDescent="0.25">
      <c r="A172" s="851" t="s">
        <v>791</v>
      </c>
      <c r="B172" s="851" t="s">
        <v>792</v>
      </c>
      <c r="C172" s="851" t="s">
        <v>199</v>
      </c>
      <c r="D172" s="851" t="s">
        <v>546</v>
      </c>
      <c r="E172" s="866">
        <f>F172</f>
        <v>70087686</v>
      </c>
      <c r="F172" s="878">
        <f>263830+35000+265500+20000+135000+(320540+76800+1220+13+198+(54164900+11916270+176295+394855+51550+1849900+30235+235500+100600+31580+17900))</f>
        <v>70087686</v>
      </c>
      <c r="G172" s="878">
        <f>(54164900)+320540</f>
        <v>54485440</v>
      </c>
      <c r="H172" s="878">
        <f>719330+(1849900+30235+235500+100600+31580)+1220+13+198</f>
        <v>2968576</v>
      </c>
      <c r="I172" s="878"/>
      <c r="J172" s="866">
        <f t="shared" si="125"/>
        <v>10111100</v>
      </c>
      <c r="K172" s="878">
        <f>(1000000)+49000</f>
        <v>1049000</v>
      </c>
      <c r="L172" s="878">
        <f>(6977500+1530200+218650+101550+5500+190100+4000+1600)</f>
        <v>9029100</v>
      </c>
      <c r="M172" s="878">
        <v>6977500</v>
      </c>
      <c r="N172" s="878">
        <f>(160400+4900+18800+6000)</f>
        <v>190100</v>
      </c>
      <c r="O172" s="867">
        <f>K172+33000</f>
        <v>1082000</v>
      </c>
      <c r="P172" s="866">
        <f t="shared" si="126"/>
        <v>80198786</v>
      </c>
      <c r="R172" s="849" t="b">
        <f>K172=[1]d6!J148+[1]d6!J147</f>
        <v>1</v>
      </c>
    </row>
    <row r="173" spans="1:18" s="2" customFormat="1" ht="47.25" thickTop="1" thickBot="1" x14ac:dyDescent="0.25">
      <c r="A173" s="170" t="s">
        <v>912</v>
      </c>
      <c r="B173" s="170" t="s">
        <v>913</v>
      </c>
      <c r="C173" s="170"/>
      <c r="D173" s="170" t="s">
        <v>914</v>
      </c>
      <c r="E173" s="866">
        <f>SUM(E174:E180)-E178</f>
        <v>56248695</v>
      </c>
      <c r="F173" s="866">
        <f t="shared" ref="F173:P173" si="128">SUM(F174:F180)-F178</f>
        <v>56248695</v>
      </c>
      <c r="G173" s="866">
        <f t="shared" si="128"/>
        <v>36276950</v>
      </c>
      <c r="H173" s="866">
        <f t="shared" si="128"/>
        <v>2110470</v>
      </c>
      <c r="I173" s="866">
        <f t="shared" si="128"/>
        <v>0</v>
      </c>
      <c r="J173" s="866">
        <f t="shared" si="128"/>
        <v>7065925</v>
      </c>
      <c r="K173" s="866">
        <f t="shared" si="128"/>
        <v>6297625</v>
      </c>
      <c r="L173" s="866">
        <f t="shared" si="128"/>
        <v>695300</v>
      </c>
      <c r="M173" s="866">
        <f t="shared" si="128"/>
        <v>368400</v>
      </c>
      <c r="N173" s="866">
        <f t="shared" si="128"/>
        <v>67300</v>
      </c>
      <c r="O173" s="866">
        <f t="shared" si="128"/>
        <v>6370625</v>
      </c>
      <c r="P173" s="866">
        <f t="shared" si="128"/>
        <v>63314620</v>
      </c>
      <c r="Q173" s="187"/>
      <c r="R173" s="195"/>
    </row>
    <row r="174" spans="1:18" ht="48" thickTop="1" thickBot="1" x14ac:dyDescent="0.25">
      <c r="A174" s="851" t="s">
        <v>185</v>
      </c>
      <c r="B174" s="851" t="s">
        <v>186</v>
      </c>
      <c r="C174" s="851" t="s">
        <v>188</v>
      </c>
      <c r="D174" s="851" t="s">
        <v>189</v>
      </c>
      <c r="E174" s="866">
        <f t="shared" ref="E174:E177" si="129">F174</f>
        <v>1030790</v>
      </c>
      <c r="F174" s="878">
        <f>(964300)+66490</f>
        <v>1030790</v>
      </c>
      <c r="G174" s="878"/>
      <c r="H174" s="878"/>
      <c r="I174" s="878"/>
      <c r="J174" s="866">
        <f t="shared" si="125"/>
        <v>0</v>
      </c>
      <c r="K174" s="878"/>
      <c r="L174" s="878"/>
      <c r="M174" s="878"/>
      <c r="N174" s="878"/>
      <c r="O174" s="867">
        <f t="shared" ref="O174:O180" si="130">K174</f>
        <v>0</v>
      </c>
      <c r="P174" s="866">
        <f t="shared" si="126"/>
        <v>1030790</v>
      </c>
      <c r="R174" s="195"/>
    </row>
    <row r="175" spans="1:18" ht="93" thickTop="1" thickBot="1" x14ac:dyDescent="0.25">
      <c r="A175" s="851" t="s">
        <v>190</v>
      </c>
      <c r="B175" s="851" t="s">
        <v>191</v>
      </c>
      <c r="C175" s="851" t="s">
        <v>192</v>
      </c>
      <c r="D175" s="851" t="s">
        <v>193</v>
      </c>
      <c r="E175" s="866">
        <f t="shared" si="129"/>
        <v>13982025</v>
      </c>
      <c r="F175" s="878">
        <f>176130+(49500+((10344300+2275745+143250+311400+5000+399000+9000+108420+19500+19280+56000+55000)+10500))</f>
        <v>13982025</v>
      </c>
      <c r="G175" s="878">
        <v>10344300</v>
      </c>
      <c r="H175" s="878">
        <f>178030-1300+1000-1600+(399000+9000+108420+19500+19280)</f>
        <v>731330</v>
      </c>
      <c r="I175" s="878"/>
      <c r="J175" s="866">
        <f t="shared" si="125"/>
        <v>1050000</v>
      </c>
      <c r="K175" s="878">
        <f>(10000+84000+28000+67000)+766000</f>
        <v>955000</v>
      </c>
      <c r="L175" s="878">
        <f>(15600+4400+29500+26200+19000+300)</f>
        <v>95000</v>
      </c>
      <c r="M175" s="878">
        <v>15600</v>
      </c>
      <c r="N175" s="878">
        <f>(17500+500+1000)</f>
        <v>19000</v>
      </c>
      <c r="O175" s="867">
        <f t="shared" si="130"/>
        <v>955000</v>
      </c>
      <c r="P175" s="866">
        <f t="shared" si="126"/>
        <v>15032025</v>
      </c>
      <c r="R175" s="849" t="b">
        <f>K175=[1]d6!J149+[1]d6!J150+[1]d6!J151</f>
        <v>1</v>
      </c>
    </row>
    <row r="176" spans="1:18" ht="93" thickTop="1" thickBot="1" x14ac:dyDescent="0.25">
      <c r="A176" s="851" t="s">
        <v>194</v>
      </c>
      <c r="B176" s="851" t="s">
        <v>195</v>
      </c>
      <c r="C176" s="851" t="s">
        <v>192</v>
      </c>
      <c r="D176" s="851" t="s">
        <v>500</v>
      </c>
      <c r="E176" s="866">
        <f t="shared" si="129"/>
        <v>1948435</v>
      </c>
      <c r="F176" s="878">
        <f>91480+(1328500+292270+14055+20330+139800+4305+53715+3980)</f>
        <v>1948435</v>
      </c>
      <c r="G176" s="878">
        <v>1328500</v>
      </c>
      <c r="H176" s="878">
        <f>88920+3060-500+(139800+4305+53715+3980)</f>
        <v>293280</v>
      </c>
      <c r="I176" s="878"/>
      <c r="J176" s="866">
        <f t="shared" si="125"/>
        <v>5245100</v>
      </c>
      <c r="K176" s="878">
        <f>(3000000)+2000000+14900+150000</f>
        <v>5164900</v>
      </c>
      <c r="L176" s="878">
        <f>(8100+1900+35800+27700+5700+1000)</f>
        <v>80200</v>
      </c>
      <c r="M176" s="878">
        <v>8100</v>
      </c>
      <c r="N176" s="878">
        <f>(3800+400+1500)</f>
        <v>5700</v>
      </c>
      <c r="O176" s="867">
        <f t="shared" si="130"/>
        <v>5164900</v>
      </c>
      <c r="P176" s="866">
        <f t="shared" si="126"/>
        <v>7193535</v>
      </c>
      <c r="R176" s="849" t="b">
        <f>K176=[1]d6!J152+[1]d6!J153</f>
        <v>1</v>
      </c>
    </row>
    <row r="177" spans="1:18" ht="184.5" thickTop="1" thickBot="1" x14ac:dyDescent="0.25">
      <c r="A177" s="851" t="s">
        <v>196</v>
      </c>
      <c r="B177" s="851" t="s">
        <v>187</v>
      </c>
      <c r="C177" s="851" t="s">
        <v>197</v>
      </c>
      <c r="D177" s="851" t="s">
        <v>198</v>
      </c>
      <c r="E177" s="866">
        <f t="shared" si="129"/>
        <v>13729115</v>
      </c>
      <c r="F177" s="878">
        <f>173650+(39000+8550+15000+((8640350+1900875+330000+342570+7900+428200+11375+288695+93120+37570+3760+24800)+7500+7000+1122300+246900))</f>
        <v>13729115</v>
      </c>
      <c r="G177" s="878">
        <f>39000+((8640350)+1122300)</f>
        <v>9801650</v>
      </c>
      <c r="H177" s="878">
        <f>246800-2000-67560-3590+(428200+11375+288695+93120+37570)</f>
        <v>1032610</v>
      </c>
      <c r="I177" s="878"/>
      <c r="J177" s="866">
        <f t="shared" si="125"/>
        <v>602200</v>
      </c>
      <c r="K177" s="878">
        <f>(124500)+16500+5100</f>
        <v>146100</v>
      </c>
      <c r="L177" s="878">
        <f>(334300+73600+5500+42600+100)</f>
        <v>456100</v>
      </c>
      <c r="M177" s="878">
        <v>334300</v>
      </c>
      <c r="N177" s="878">
        <f>(32600+800+9200)</f>
        <v>42600</v>
      </c>
      <c r="O177" s="867">
        <f>K177</f>
        <v>146100</v>
      </c>
      <c r="P177" s="866">
        <f t="shared" si="126"/>
        <v>14331315</v>
      </c>
      <c r="R177" s="849" t="b">
        <f>K177=[1]d6!J154</f>
        <v>1</v>
      </c>
    </row>
    <row r="178" spans="1:18" ht="93" thickTop="1" thickBot="1" x14ac:dyDescent="0.25">
      <c r="A178" s="879" t="s">
        <v>915</v>
      </c>
      <c r="B178" s="879" t="s">
        <v>916</v>
      </c>
      <c r="C178" s="879"/>
      <c r="D178" s="879" t="s">
        <v>917</v>
      </c>
      <c r="E178" s="877">
        <f>SUM(E179:E180)</f>
        <v>25558330</v>
      </c>
      <c r="F178" s="877">
        <f t="shared" ref="F178:P178" si="131">SUM(F179:F180)</f>
        <v>25558330</v>
      </c>
      <c r="G178" s="877">
        <f t="shared" si="131"/>
        <v>14802500</v>
      </c>
      <c r="H178" s="877">
        <f t="shared" si="131"/>
        <v>53250</v>
      </c>
      <c r="I178" s="877">
        <f t="shared" si="131"/>
        <v>0</v>
      </c>
      <c r="J178" s="877">
        <f t="shared" si="131"/>
        <v>168625</v>
      </c>
      <c r="K178" s="877">
        <f t="shared" si="131"/>
        <v>31625</v>
      </c>
      <c r="L178" s="877">
        <f t="shared" si="131"/>
        <v>64000</v>
      </c>
      <c r="M178" s="877">
        <f t="shared" si="131"/>
        <v>10400</v>
      </c>
      <c r="N178" s="877">
        <f t="shared" si="131"/>
        <v>0</v>
      </c>
      <c r="O178" s="877">
        <f t="shared" si="131"/>
        <v>104625</v>
      </c>
      <c r="P178" s="877">
        <f t="shared" si="131"/>
        <v>25726955</v>
      </c>
      <c r="R178" s="849"/>
    </row>
    <row r="179" spans="1:18" ht="138.75" thickTop="1" thickBot="1" x14ac:dyDescent="0.25">
      <c r="A179" s="851" t="s">
        <v>358</v>
      </c>
      <c r="B179" s="851" t="s">
        <v>359</v>
      </c>
      <c r="C179" s="851" t="s">
        <v>200</v>
      </c>
      <c r="D179" s="851" t="s">
        <v>501</v>
      </c>
      <c r="E179" s="866">
        <f>F179</f>
        <v>19192170</v>
      </c>
      <c r="F179" s="878">
        <f>9900+((14802500+3256550+131640+99230+39000+3900+450+804000)+45000)</f>
        <v>19192170</v>
      </c>
      <c r="G179" s="878">
        <v>14802500</v>
      </c>
      <c r="H179" s="878">
        <f>9900+(39000+3900+450)</f>
        <v>53250</v>
      </c>
      <c r="I179" s="878"/>
      <c r="J179" s="866">
        <f t="shared" si="125"/>
        <v>168625</v>
      </c>
      <c r="K179" s="878">
        <v>31625</v>
      </c>
      <c r="L179" s="878">
        <f>(10400+2200+6000+45400)</f>
        <v>64000</v>
      </c>
      <c r="M179" s="878">
        <v>10400</v>
      </c>
      <c r="N179" s="878"/>
      <c r="O179" s="867">
        <f>K179+73000</f>
        <v>104625</v>
      </c>
      <c r="P179" s="866">
        <f t="shared" si="126"/>
        <v>19360795</v>
      </c>
      <c r="R179" s="849" t="b">
        <f>K179=[1]d6!J155</f>
        <v>1</v>
      </c>
    </row>
    <row r="180" spans="1:18" ht="93" thickTop="1" thickBot="1" x14ac:dyDescent="0.25">
      <c r="A180" s="851" t="s">
        <v>360</v>
      </c>
      <c r="B180" s="851" t="s">
        <v>361</v>
      </c>
      <c r="C180" s="851" t="s">
        <v>200</v>
      </c>
      <c r="D180" s="851" t="s">
        <v>502</v>
      </c>
      <c r="E180" s="866">
        <f>F180</f>
        <v>6366160</v>
      </c>
      <c r="F180" s="878">
        <f>((1195320+2805840+315000)+2000000)+50000</f>
        <v>6366160</v>
      </c>
      <c r="G180" s="878"/>
      <c r="H180" s="878"/>
      <c r="I180" s="878"/>
      <c r="J180" s="866">
        <f t="shared" si="125"/>
        <v>0</v>
      </c>
      <c r="K180" s="878"/>
      <c r="L180" s="878"/>
      <c r="M180" s="878"/>
      <c r="N180" s="878"/>
      <c r="O180" s="867">
        <f t="shared" si="130"/>
        <v>0</v>
      </c>
      <c r="P180" s="866">
        <f t="shared" si="126"/>
        <v>6366160</v>
      </c>
      <c r="R180" s="195"/>
    </row>
    <row r="181" spans="1:18" ht="47.25" thickTop="1" thickBot="1" x14ac:dyDescent="0.25">
      <c r="A181" s="170" t="s">
        <v>1121</v>
      </c>
      <c r="B181" s="871" t="s">
        <v>905</v>
      </c>
      <c r="C181" s="871"/>
      <c r="D181" s="871" t="s">
        <v>906</v>
      </c>
      <c r="E181" s="866">
        <f>SUM(E182)</f>
        <v>244140</v>
      </c>
      <c r="F181" s="866">
        <f t="shared" ref="F181:P181" si="132">SUM(F182)</f>
        <v>244140</v>
      </c>
      <c r="G181" s="866">
        <f t="shared" si="132"/>
        <v>0</v>
      </c>
      <c r="H181" s="866">
        <f t="shared" si="132"/>
        <v>0</v>
      </c>
      <c r="I181" s="866">
        <f t="shared" si="132"/>
        <v>0</v>
      </c>
      <c r="J181" s="866">
        <f t="shared" si="132"/>
        <v>70000</v>
      </c>
      <c r="K181" s="866">
        <f t="shared" si="132"/>
        <v>70000</v>
      </c>
      <c r="L181" s="866">
        <f t="shared" si="132"/>
        <v>0</v>
      </c>
      <c r="M181" s="866">
        <f t="shared" si="132"/>
        <v>0</v>
      </c>
      <c r="N181" s="866">
        <f t="shared" si="132"/>
        <v>0</v>
      </c>
      <c r="O181" s="866">
        <f t="shared" si="132"/>
        <v>70000</v>
      </c>
      <c r="P181" s="866">
        <f t="shared" si="132"/>
        <v>314140</v>
      </c>
      <c r="R181" s="195"/>
    </row>
    <row r="182" spans="1:18" ht="136.5" thickTop="1" thickBot="1" x14ac:dyDescent="0.25">
      <c r="A182" s="872" t="s">
        <v>1122</v>
      </c>
      <c r="B182" s="872" t="s">
        <v>847</v>
      </c>
      <c r="C182" s="872"/>
      <c r="D182" s="872" t="s">
        <v>845</v>
      </c>
      <c r="E182" s="873">
        <f>E183+E185</f>
        <v>244140</v>
      </c>
      <c r="F182" s="873">
        <f t="shared" ref="F182:O182" si="133">F183+F185</f>
        <v>244140</v>
      </c>
      <c r="G182" s="873">
        <f t="shared" si="133"/>
        <v>0</v>
      </c>
      <c r="H182" s="873">
        <f t="shared" si="133"/>
        <v>0</v>
      </c>
      <c r="I182" s="873">
        <f t="shared" si="133"/>
        <v>0</v>
      </c>
      <c r="J182" s="873">
        <f t="shared" si="133"/>
        <v>70000</v>
      </c>
      <c r="K182" s="873">
        <f t="shared" si="133"/>
        <v>70000</v>
      </c>
      <c r="L182" s="873">
        <f t="shared" si="133"/>
        <v>0</v>
      </c>
      <c r="M182" s="873">
        <f t="shared" si="133"/>
        <v>0</v>
      </c>
      <c r="N182" s="873">
        <f t="shared" si="133"/>
        <v>0</v>
      </c>
      <c r="O182" s="873">
        <f t="shared" si="133"/>
        <v>70000</v>
      </c>
      <c r="P182" s="873">
        <f>P183+P185</f>
        <v>314140</v>
      </c>
      <c r="R182" s="195"/>
    </row>
    <row r="183" spans="1:18" ht="93" thickTop="1" thickBot="1" x14ac:dyDescent="0.25">
      <c r="A183" s="879" t="s">
        <v>1363</v>
      </c>
      <c r="B183" s="879" t="s">
        <v>1364</v>
      </c>
      <c r="C183" s="879"/>
      <c r="D183" s="879" t="s">
        <v>1362</v>
      </c>
      <c r="E183" s="877">
        <f>E184</f>
        <v>244140</v>
      </c>
      <c r="F183" s="877">
        <f t="shared" ref="F183:P183" si="134">F184</f>
        <v>244140</v>
      </c>
      <c r="G183" s="877">
        <f t="shared" si="134"/>
        <v>0</v>
      </c>
      <c r="H183" s="877">
        <f t="shared" si="134"/>
        <v>0</v>
      </c>
      <c r="I183" s="877">
        <f t="shared" si="134"/>
        <v>0</v>
      </c>
      <c r="J183" s="877">
        <f t="shared" si="134"/>
        <v>0</v>
      </c>
      <c r="K183" s="877">
        <f t="shared" si="134"/>
        <v>0</v>
      </c>
      <c r="L183" s="877">
        <f t="shared" si="134"/>
        <v>0</v>
      </c>
      <c r="M183" s="877">
        <f t="shared" si="134"/>
        <v>0</v>
      </c>
      <c r="N183" s="877">
        <f t="shared" si="134"/>
        <v>0</v>
      </c>
      <c r="O183" s="877">
        <f t="shared" si="134"/>
        <v>0</v>
      </c>
      <c r="P183" s="877">
        <f t="shared" si="134"/>
        <v>244140</v>
      </c>
      <c r="R183" s="195"/>
    </row>
    <row r="184" spans="1:18" ht="153" customHeight="1" thickTop="1" thickBot="1" x14ac:dyDescent="0.25">
      <c r="A184" s="851" t="s">
        <v>1366</v>
      </c>
      <c r="B184" s="851" t="s">
        <v>1367</v>
      </c>
      <c r="C184" s="851" t="s">
        <v>231</v>
      </c>
      <c r="D184" s="851" t="s">
        <v>1365</v>
      </c>
      <c r="E184" s="866">
        <f t="shared" ref="E184:E185" si="135">F184</f>
        <v>244140</v>
      </c>
      <c r="F184" s="878">
        <f>(150000)+82140+12000</f>
        <v>244140</v>
      </c>
      <c r="G184" s="878"/>
      <c r="H184" s="878"/>
      <c r="I184" s="878"/>
      <c r="J184" s="866">
        <f>L184+O184</f>
        <v>0</v>
      </c>
      <c r="K184" s="878"/>
      <c r="L184" s="878"/>
      <c r="M184" s="878"/>
      <c r="N184" s="878"/>
      <c r="O184" s="867">
        <f>K184</f>
        <v>0</v>
      </c>
      <c r="P184" s="866">
        <f>E184+J184</f>
        <v>244140</v>
      </c>
      <c r="R184" s="195"/>
    </row>
    <row r="185" spans="1:18" ht="93" thickTop="1" thickBot="1" x14ac:dyDescent="0.25">
      <c r="A185" s="851" t="s">
        <v>1123</v>
      </c>
      <c r="B185" s="851" t="s">
        <v>215</v>
      </c>
      <c r="C185" s="851" t="s">
        <v>184</v>
      </c>
      <c r="D185" s="851" t="s">
        <v>36</v>
      </c>
      <c r="E185" s="866">
        <f t="shared" si="135"/>
        <v>0</v>
      </c>
      <c r="F185" s="878"/>
      <c r="G185" s="878"/>
      <c r="H185" s="878"/>
      <c r="I185" s="878"/>
      <c r="J185" s="866">
        <f t="shared" ref="J185" si="136">L185+O185</f>
        <v>70000</v>
      </c>
      <c r="K185" s="878">
        <f>(200000+100000)-130000-100000</f>
        <v>70000</v>
      </c>
      <c r="L185" s="878"/>
      <c r="M185" s="878"/>
      <c r="N185" s="878"/>
      <c r="O185" s="867">
        <f t="shared" ref="O185" si="137">K185</f>
        <v>70000</v>
      </c>
      <c r="P185" s="866">
        <f t="shared" ref="P185" si="138">E185+J185</f>
        <v>70000</v>
      </c>
      <c r="R185" s="849" t="b">
        <f>K185=[1]d6!J156+[1]d6!J157</f>
        <v>1</v>
      </c>
    </row>
    <row r="186" spans="1:18" ht="47.25" thickTop="1" thickBot="1" x14ac:dyDescent="0.25">
      <c r="A186" s="170" t="s">
        <v>918</v>
      </c>
      <c r="B186" s="170" t="s">
        <v>858</v>
      </c>
      <c r="C186" s="170"/>
      <c r="D186" s="170" t="s">
        <v>859</v>
      </c>
      <c r="E186" s="866">
        <f>E187</f>
        <v>558137</v>
      </c>
      <c r="F186" s="866">
        <f t="shared" ref="F186:P187" si="139">F187</f>
        <v>558137</v>
      </c>
      <c r="G186" s="866">
        <f t="shared" si="139"/>
        <v>0</v>
      </c>
      <c r="H186" s="866">
        <f t="shared" si="139"/>
        <v>0</v>
      </c>
      <c r="I186" s="866">
        <f t="shared" si="139"/>
        <v>0</v>
      </c>
      <c r="J186" s="866">
        <f t="shared" si="139"/>
        <v>0</v>
      </c>
      <c r="K186" s="866">
        <f t="shared" si="139"/>
        <v>0</v>
      </c>
      <c r="L186" s="866">
        <f t="shared" si="139"/>
        <v>0</v>
      </c>
      <c r="M186" s="866">
        <f t="shared" si="139"/>
        <v>0</v>
      </c>
      <c r="N186" s="866">
        <f t="shared" si="139"/>
        <v>0</v>
      </c>
      <c r="O186" s="866">
        <f t="shared" si="139"/>
        <v>0</v>
      </c>
      <c r="P186" s="866">
        <f t="shared" si="139"/>
        <v>558137</v>
      </c>
      <c r="R186" s="195"/>
    </row>
    <row r="187" spans="1:18" ht="271.5" thickTop="1" thickBot="1" x14ac:dyDescent="0.25">
      <c r="A187" s="872" t="s">
        <v>919</v>
      </c>
      <c r="B187" s="872" t="s">
        <v>861</v>
      </c>
      <c r="C187" s="872"/>
      <c r="D187" s="872" t="s">
        <v>862</v>
      </c>
      <c r="E187" s="873">
        <f>E188</f>
        <v>558137</v>
      </c>
      <c r="F187" s="873">
        <f t="shared" si="139"/>
        <v>558137</v>
      </c>
      <c r="G187" s="873">
        <f t="shared" si="139"/>
        <v>0</v>
      </c>
      <c r="H187" s="873">
        <f t="shared" si="139"/>
        <v>0</v>
      </c>
      <c r="I187" s="873">
        <f t="shared" si="139"/>
        <v>0</v>
      </c>
      <c r="J187" s="873">
        <f t="shared" si="139"/>
        <v>0</v>
      </c>
      <c r="K187" s="873">
        <f t="shared" si="139"/>
        <v>0</v>
      </c>
      <c r="L187" s="873">
        <f t="shared" si="139"/>
        <v>0</v>
      </c>
      <c r="M187" s="873">
        <f t="shared" si="139"/>
        <v>0</v>
      </c>
      <c r="N187" s="873">
        <f t="shared" si="139"/>
        <v>0</v>
      </c>
      <c r="O187" s="873">
        <f t="shared" si="139"/>
        <v>0</v>
      </c>
      <c r="P187" s="873">
        <f t="shared" si="139"/>
        <v>558137</v>
      </c>
      <c r="R187" s="195"/>
    </row>
    <row r="188" spans="1:18" ht="93" thickTop="1" thickBot="1" x14ac:dyDescent="0.25">
      <c r="A188" s="851" t="s">
        <v>713</v>
      </c>
      <c r="B188" s="851" t="s">
        <v>389</v>
      </c>
      <c r="C188" s="851" t="s">
        <v>45</v>
      </c>
      <c r="D188" s="851" t="s">
        <v>390</v>
      </c>
      <c r="E188" s="866">
        <f t="shared" ref="E188" si="140">F188</f>
        <v>558137</v>
      </c>
      <c r="F188" s="878">
        <v>558137</v>
      </c>
      <c r="G188" s="878"/>
      <c r="H188" s="878"/>
      <c r="I188" s="878"/>
      <c r="J188" s="866">
        <f>L188+O188</f>
        <v>0</v>
      </c>
      <c r="K188" s="878"/>
      <c r="L188" s="878"/>
      <c r="M188" s="878"/>
      <c r="N188" s="878"/>
      <c r="O188" s="867">
        <f>K188</f>
        <v>0</v>
      </c>
      <c r="P188" s="866">
        <f>E188+J188</f>
        <v>558137</v>
      </c>
      <c r="R188" s="195"/>
    </row>
    <row r="189" spans="1:18" ht="136.5" thickTop="1" thickBot="1" x14ac:dyDescent="0.25">
      <c r="A189" s="766" t="s">
        <v>22</v>
      </c>
      <c r="B189" s="766"/>
      <c r="C189" s="766"/>
      <c r="D189" s="767" t="s">
        <v>23</v>
      </c>
      <c r="E189" s="768">
        <f>E190</f>
        <v>98371581.530000001</v>
      </c>
      <c r="F189" s="769">
        <f t="shared" ref="F189:G189" si="141">F190</f>
        <v>98371581.530000001</v>
      </c>
      <c r="G189" s="769">
        <f t="shared" si="141"/>
        <v>42267440</v>
      </c>
      <c r="H189" s="769">
        <f>H190</f>
        <v>2650900</v>
      </c>
      <c r="I189" s="769">
        <f t="shared" ref="I189" si="142">I190</f>
        <v>0</v>
      </c>
      <c r="J189" s="768">
        <f>J190</f>
        <v>10891851</v>
      </c>
      <c r="K189" s="769">
        <f>K190</f>
        <v>8987606</v>
      </c>
      <c r="L189" s="769">
        <f>L190</f>
        <v>1859498</v>
      </c>
      <c r="M189" s="769">
        <f t="shared" ref="M189" si="143">M190</f>
        <v>880762</v>
      </c>
      <c r="N189" s="769">
        <f>N190</f>
        <v>290578</v>
      </c>
      <c r="O189" s="768">
        <f>O190</f>
        <v>9032353</v>
      </c>
      <c r="P189" s="769">
        <f t="shared" ref="P189" si="144">P190</f>
        <v>109263432.53</v>
      </c>
    </row>
    <row r="190" spans="1:18" ht="136.5" thickTop="1" thickBot="1" x14ac:dyDescent="0.25">
      <c r="A190" s="863" t="s">
        <v>21</v>
      </c>
      <c r="B190" s="863"/>
      <c r="C190" s="863"/>
      <c r="D190" s="864" t="s">
        <v>37</v>
      </c>
      <c r="E190" s="865">
        <f>E191+E197+E210+E213</f>
        <v>98371581.530000001</v>
      </c>
      <c r="F190" s="865">
        <f t="shared" ref="F190:I190" si="145">F191+F197+F210+F213</f>
        <v>98371581.530000001</v>
      </c>
      <c r="G190" s="865">
        <f t="shared" si="145"/>
        <v>42267440</v>
      </c>
      <c r="H190" s="865">
        <f t="shared" si="145"/>
        <v>2650900</v>
      </c>
      <c r="I190" s="865">
        <f t="shared" si="145"/>
        <v>0</v>
      </c>
      <c r="J190" s="865">
        <f>L190+O190</f>
        <v>10891851</v>
      </c>
      <c r="K190" s="865">
        <f t="shared" ref="K190:N190" si="146">K191+K197+K210+K213</f>
        <v>8987606</v>
      </c>
      <c r="L190" s="865">
        <f t="shared" si="146"/>
        <v>1859498</v>
      </c>
      <c r="M190" s="865">
        <f t="shared" si="146"/>
        <v>880762</v>
      </c>
      <c r="N190" s="865">
        <f t="shared" si="146"/>
        <v>290578</v>
      </c>
      <c r="O190" s="865">
        <f>O191+O197+O210+O213</f>
        <v>9032353</v>
      </c>
      <c r="P190" s="865">
        <f>E190+J190</f>
        <v>109263432.53</v>
      </c>
      <c r="Q190" s="125" t="b">
        <f>P190=P193+P195+P196+P199+P200+P202+P204+P205+P207+P208+P209+P212+P218+P216</f>
        <v>1</v>
      </c>
      <c r="R190" s="849" t="b">
        <f>K190=[1]d6!J159</f>
        <v>1</v>
      </c>
    </row>
    <row r="191" spans="1:18" ht="91.5" thickTop="1" thickBot="1" x14ac:dyDescent="0.25">
      <c r="A191" s="170" t="s">
        <v>920</v>
      </c>
      <c r="B191" s="170" t="s">
        <v>867</v>
      </c>
      <c r="C191" s="170"/>
      <c r="D191" s="170" t="s">
        <v>868</v>
      </c>
      <c r="E191" s="896">
        <f>SUM(E192:E196)-E192-E194</f>
        <v>17007457</v>
      </c>
      <c r="F191" s="896">
        <f t="shared" ref="F191:P191" si="147">SUM(F192:F196)-F192-F194</f>
        <v>17007457</v>
      </c>
      <c r="G191" s="896">
        <f t="shared" si="147"/>
        <v>7881695</v>
      </c>
      <c r="H191" s="896">
        <f t="shared" si="147"/>
        <v>654855</v>
      </c>
      <c r="I191" s="896">
        <f t="shared" si="147"/>
        <v>0</v>
      </c>
      <c r="J191" s="435">
        <f t="shared" si="147"/>
        <v>1061957</v>
      </c>
      <c r="K191" s="435">
        <f t="shared" si="147"/>
        <v>733957</v>
      </c>
      <c r="L191" s="435">
        <f t="shared" si="147"/>
        <v>318053</v>
      </c>
      <c r="M191" s="435">
        <f t="shared" si="147"/>
        <v>175000</v>
      </c>
      <c r="N191" s="435">
        <f t="shared" si="147"/>
        <v>78200</v>
      </c>
      <c r="O191" s="435">
        <f t="shared" si="147"/>
        <v>743904</v>
      </c>
      <c r="P191" s="435">
        <f t="shared" si="147"/>
        <v>18069414</v>
      </c>
      <c r="Q191" s="125"/>
      <c r="R191" s="849"/>
    </row>
    <row r="192" spans="1:18" s="39" customFormat="1" ht="138.75" thickTop="1" thickBot="1" x14ac:dyDescent="0.25">
      <c r="A192" s="879" t="s">
        <v>921</v>
      </c>
      <c r="B192" s="879" t="s">
        <v>922</v>
      </c>
      <c r="C192" s="879"/>
      <c r="D192" s="879" t="s">
        <v>923</v>
      </c>
      <c r="E192" s="897">
        <f>E193</f>
        <v>5351111</v>
      </c>
      <c r="F192" s="897">
        <f t="shared" ref="F192:P192" si="148">F193</f>
        <v>5351111</v>
      </c>
      <c r="G192" s="897">
        <f t="shared" si="148"/>
        <v>4125520</v>
      </c>
      <c r="H192" s="897">
        <f t="shared" si="148"/>
        <v>77720</v>
      </c>
      <c r="I192" s="897">
        <f t="shared" si="148"/>
        <v>0</v>
      </c>
      <c r="J192" s="774">
        <f t="shared" si="148"/>
        <v>0</v>
      </c>
      <c r="K192" s="774">
        <f t="shared" si="148"/>
        <v>0</v>
      </c>
      <c r="L192" s="774">
        <f t="shared" si="148"/>
        <v>0</v>
      </c>
      <c r="M192" s="774">
        <f t="shared" si="148"/>
        <v>0</v>
      </c>
      <c r="N192" s="774">
        <f t="shared" si="148"/>
        <v>0</v>
      </c>
      <c r="O192" s="774">
        <f t="shared" si="148"/>
        <v>0</v>
      </c>
      <c r="P192" s="774">
        <f t="shared" si="148"/>
        <v>5351111</v>
      </c>
      <c r="Q192" s="428"/>
      <c r="R192" s="420"/>
    </row>
    <row r="193" spans="1:18" ht="138.75" thickTop="1" thickBot="1" x14ac:dyDescent="0.25">
      <c r="A193" s="851" t="s">
        <v>201</v>
      </c>
      <c r="B193" s="851" t="s">
        <v>202</v>
      </c>
      <c r="C193" s="851" t="s">
        <v>203</v>
      </c>
      <c r="D193" s="851" t="s">
        <v>793</v>
      </c>
      <c r="E193" s="313">
        <f t="shared" ref="E193:E208" si="149">F193</f>
        <v>5351111</v>
      </c>
      <c r="F193" s="167">
        <f>42435+(((4125520+907615+59600+79015+35280+49795+2585+34440+3600+2145)+3500)+3301+2280)</f>
        <v>5351111</v>
      </c>
      <c r="G193" s="167">
        <f>(4125520)</f>
        <v>4125520</v>
      </c>
      <c r="H193" s="167">
        <f>(49795+2585+34440+3600)-3000+300-10000</f>
        <v>77720</v>
      </c>
      <c r="I193" s="167"/>
      <c r="J193" s="866">
        <f t="shared" ref="J193:J218" si="150">L193+O193</f>
        <v>0</v>
      </c>
      <c r="K193" s="167"/>
      <c r="L193" s="761"/>
      <c r="M193" s="761"/>
      <c r="N193" s="761"/>
      <c r="O193" s="867">
        <f t="shared" ref="O193:O218" si="151">K193</f>
        <v>0</v>
      </c>
      <c r="P193" s="866">
        <f>+J193+E193</f>
        <v>5351111</v>
      </c>
      <c r="Q193" s="195"/>
      <c r="R193" s="195"/>
    </row>
    <row r="194" spans="1:18" s="39" customFormat="1" ht="93" thickTop="1" thickBot="1" x14ac:dyDescent="0.25">
      <c r="A194" s="879" t="s">
        <v>924</v>
      </c>
      <c r="B194" s="879" t="s">
        <v>925</v>
      </c>
      <c r="C194" s="879"/>
      <c r="D194" s="879" t="s">
        <v>926</v>
      </c>
      <c r="E194" s="430">
        <f>SUM(E195:E196)</f>
        <v>11656346</v>
      </c>
      <c r="F194" s="430">
        <f t="shared" ref="F194:P194" si="152">SUM(F195:F196)</f>
        <v>11656346</v>
      </c>
      <c r="G194" s="430">
        <f t="shared" si="152"/>
        <v>3756175</v>
      </c>
      <c r="H194" s="430">
        <f t="shared" si="152"/>
        <v>577135</v>
      </c>
      <c r="I194" s="430">
        <f t="shared" si="152"/>
        <v>0</v>
      </c>
      <c r="J194" s="430">
        <f t="shared" si="152"/>
        <v>1061957</v>
      </c>
      <c r="K194" s="430">
        <f t="shared" si="152"/>
        <v>733957</v>
      </c>
      <c r="L194" s="430">
        <f t="shared" si="152"/>
        <v>318053</v>
      </c>
      <c r="M194" s="430">
        <f t="shared" si="152"/>
        <v>175000</v>
      </c>
      <c r="N194" s="430">
        <f t="shared" si="152"/>
        <v>78200</v>
      </c>
      <c r="O194" s="430">
        <f t="shared" si="152"/>
        <v>743904</v>
      </c>
      <c r="P194" s="430">
        <f t="shared" si="152"/>
        <v>12718303</v>
      </c>
      <c r="Q194" s="416"/>
      <c r="R194" s="416"/>
    </row>
    <row r="195" spans="1:18" s="463" customFormat="1" ht="93" thickTop="1" thickBot="1" x14ac:dyDescent="0.25">
      <c r="A195" s="851" t="s">
        <v>207</v>
      </c>
      <c r="B195" s="851" t="s">
        <v>208</v>
      </c>
      <c r="C195" s="851" t="s">
        <v>203</v>
      </c>
      <c r="D195" s="851" t="s">
        <v>10</v>
      </c>
      <c r="E195" s="313">
        <f t="shared" si="149"/>
        <v>4464475</v>
      </c>
      <c r="F195" s="167">
        <f>29165+(2725415+599590+377485+251835+384905+4560+86670+3450+1400)</f>
        <v>4464475</v>
      </c>
      <c r="G195" s="167">
        <v>2725415</v>
      </c>
      <c r="H195" s="167">
        <f>50165-20000-1000+(384905+4560+86670+3450)</f>
        <v>508750</v>
      </c>
      <c r="I195" s="167"/>
      <c r="J195" s="866">
        <f t="shared" si="150"/>
        <v>1058957</v>
      </c>
      <c r="K195" s="167">
        <f>(733957)</f>
        <v>733957</v>
      </c>
      <c r="L195" s="761">
        <f>(175000+38500+27300+5000+36500+4800+35400+1500+1000)-9947</f>
        <v>315053</v>
      </c>
      <c r="M195" s="761">
        <v>175000</v>
      </c>
      <c r="N195" s="761">
        <f>(36500+4800+35400+1500)</f>
        <v>78200</v>
      </c>
      <c r="O195" s="867">
        <f>K195+9947</f>
        <v>743904</v>
      </c>
      <c r="P195" s="866">
        <f t="shared" ref="P195:P218" si="153">E195+J195</f>
        <v>5523432</v>
      </c>
      <c r="Q195" s="461"/>
      <c r="R195" s="464" t="b">
        <f>K195=[1]d6!J161+[1]d6!J160</f>
        <v>1</v>
      </c>
    </row>
    <row r="196" spans="1:18" ht="93" thickTop="1" thickBot="1" x14ac:dyDescent="0.25">
      <c r="A196" s="851" t="s">
        <v>377</v>
      </c>
      <c r="B196" s="851" t="s">
        <v>378</v>
      </c>
      <c r="C196" s="851" t="s">
        <v>203</v>
      </c>
      <c r="D196" s="851" t="s">
        <v>379</v>
      </c>
      <c r="E196" s="313">
        <f t="shared" si="149"/>
        <v>7191871</v>
      </c>
      <c r="F196" s="167">
        <f>10000-10000+9085-5500-1500+150000+(200000+60000+((83645+830710+1020760+224570+61795+14860+37320+2075+23905+3000+2478500+545270+473390+27940+536310+404810)+10926))</f>
        <v>7191871</v>
      </c>
      <c r="G196" s="167">
        <f>(1020760)+10000</f>
        <v>1030760</v>
      </c>
      <c r="H196" s="167">
        <f>9085-5500-1500+(37320+2075+23905+3000)</f>
        <v>68385</v>
      </c>
      <c r="I196" s="167"/>
      <c r="J196" s="866">
        <f t="shared" si="150"/>
        <v>3000</v>
      </c>
      <c r="K196" s="167"/>
      <c r="L196" s="761">
        <v>3000</v>
      </c>
      <c r="M196" s="761"/>
      <c r="N196" s="761"/>
      <c r="O196" s="867">
        <f t="shared" si="151"/>
        <v>0</v>
      </c>
      <c r="P196" s="866">
        <f t="shared" si="153"/>
        <v>7194871</v>
      </c>
      <c r="R196" s="849"/>
    </row>
    <row r="197" spans="1:18" ht="47.25" thickTop="1" thickBot="1" x14ac:dyDescent="0.25">
      <c r="A197" s="170" t="s">
        <v>927</v>
      </c>
      <c r="B197" s="170" t="s">
        <v>928</v>
      </c>
      <c r="C197" s="851"/>
      <c r="D197" s="170" t="s">
        <v>929</v>
      </c>
      <c r="E197" s="313">
        <f>SUM(E198:E209)-E198-E201-E203-E206</f>
        <v>81338700</v>
      </c>
      <c r="F197" s="313">
        <f t="shared" ref="F197:P197" si="154">SUM(F198:F209)-F198-F201-F203-F206</f>
        <v>81338700</v>
      </c>
      <c r="G197" s="313">
        <f t="shared" si="154"/>
        <v>34385745</v>
      </c>
      <c r="H197" s="313">
        <f t="shared" si="154"/>
        <v>1996045</v>
      </c>
      <c r="I197" s="313">
        <f t="shared" si="154"/>
        <v>0</v>
      </c>
      <c r="J197" s="313">
        <f t="shared" si="154"/>
        <v>8608420</v>
      </c>
      <c r="K197" s="313">
        <f t="shared" si="154"/>
        <v>7032175</v>
      </c>
      <c r="L197" s="313">
        <f t="shared" si="154"/>
        <v>1541445</v>
      </c>
      <c r="M197" s="313">
        <f t="shared" si="154"/>
        <v>705762</v>
      </c>
      <c r="N197" s="313">
        <f t="shared" si="154"/>
        <v>212378</v>
      </c>
      <c r="O197" s="313">
        <f t="shared" si="154"/>
        <v>7066975</v>
      </c>
      <c r="P197" s="313">
        <f t="shared" si="154"/>
        <v>89947120</v>
      </c>
      <c r="R197" s="849"/>
    </row>
    <row r="198" spans="1:18" s="39" customFormat="1" ht="93" thickTop="1" thickBot="1" x14ac:dyDescent="0.25">
      <c r="A198" s="879" t="s">
        <v>930</v>
      </c>
      <c r="B198" s="879" t="s">
        <v>931</v>
      </c>
      <c r="C198" s="879"/>
      <c r="D198" s="879" t="s">
        <v>932</v>
      </c>
      <c r="E198" s="430">
        <f>SUM(E199:E200)</f>
        <v>19974487</v>
      </c>
      <c r="F198" s="430">
        <f t="shared" ref="F198:P198" si="155">SUM(F199:F200)</f>
        <v>19974487</v>
      </c>
      <c r="G198" s="430">
        <f t="shared" si="155"/>
        <v>0</v>
      </c>
      <c r="H198" s="430">
        <f t="shared" si="155"/>
        <v>0</v>
      </c>
      <c r="I198" s="430">
        <f t="shared" si="155"/>
        <v>0</v>
      </c>
      <c r="J198" s="430">
        <f t="shared" si="155"/>
        <v>0</v>
      </c>
      <c r="K198" s="430">
        <f t="shared" si="155"/>
        <v>0</v>
      </c>
      <c r="L198" s="430">
        <f t="shared" si="155"/>
        <v>0</v>
      </c>
      <c r="M198" s="430">
        <f t="shared" si="155"/>
        <v>0</v>
      </c>
      <c r="N198" s="430">
        <f t="shared" si="155"/>
        <v>0</v>
      </c>
      <c r="O198" s="430">
        <f t="shared" si="155"/>
        <v>0</v>
      </c>
      <c r="P198" s="430">
        <f t="shared" si="155"/>
        <v>19974487</v>
      </c>
      <c r="Q198" s="191"/>
      <c r="R198" s="420"/>
    </row>
    <row r="199" spans="1:18" s="463" customFormat="1" ht="138.75" thickTop="1" thickBot="1" x14ac:dyDescent="0.25">
      <c r="A199" s="851" t="s">
        <v>46</v>
      </c>
      <c r="B199" s="851" t="s">
        <v>204</v>
      </c>
      <c r="C199" s="851" t="s">
        <v>213</v>
      </c>
      <c r="D199" s="851" t="s">
        <v>47</v>
      </c>
      <c r="E199" s="313">
        <f t="shared" si="149"/>
        <v>17564902</v>
      </c>
      <c r="F199" s="167">
        <f>2400000+(3000000+((171260+11395570)+500000+98072))</f>
        <v>17564902</v>
      </c>
      <c r="G199" s="878"/>
      <c r="H199" s="878"/>
      <c r="I199" s="878"/>
      <c r="J199" s="866">
        <f t="shared" si="150"/>
        <v>0</v>
      </c>
      <c r="K199" s="878"/>
      <c r="L199" s="878"/>
      <c r="M199" s="878"/>
      <c r="N199" s="878"/>
      <c r="O199" s="867">
        <f t="shared" si="151"/>
        <v>0</v>
      </c>
      <c r="P199" s="866">
        <f t="shared" si="153"/>
        <v>17564902</v>
      </c>
      <c r="Q199" s="461"/>
      <c r="R199" s="464"/>
    </row>
    <row r="200" spans="1:18" s="463" customFormat="1" ht="138.75" thickTop="1" thickBot="1" x14ac:dyDescent="0.25">
      <c r="A200" s="851" t="s">
        <v>48</v>
      </c>
      <c r="B200" s="851" t="s">
        <v>205</v>
      </c>
      <c r="C200" s="851" t="s">
        <v>213</v>
      </c>
      <c r="D200" s="851" t="s">
        <v>4</v>
      </c>
      <c r="E200" s="313">
        <f t="shared" si="149"/>
        <v>2409585</v>
      </c>
      <c r="F200" s="167">
        <f>500000+(99315+1810270)</f>
        <v>2409585</v>
      </c>
      <c r="G200" s="878"/>
      <c r="H200" s="878"/>
      <c r="I200" s="878"/>
      <c r="J200" s="866">
        <f t="shared" si="150"/>
        <v>0</v>
      </c>
      <c r="K200" s="878"/>
      <c r="L200" s="878"/>
      <c r="M200" s="878"/>
      <c r="N200" s="878"/>
      <c r="O200" s="867">
        <f t="shared" si="151"/>
        <v>0</v>
      </c>
      <c r="P200" s="866">
        <f t="shared" si="153"/>
        <v>2409585</v>
      </c>
      <c r="Q200" s="461"/>
      <c r="R200" s="464"/>
    </row>
    <row r="201" spans="1:18" s="39" customFormat="1" ht="184.5" thickTop="1" thickBot="1" x14ac:dyDescent="0.25">
      <c r="A201" s="879" t="s">
        <v>933</v>
      </c>
      <c r="B201" s="879" t="s">
        <v>934</v>
      </c>
      <c r="C201" s="879"/>
      <c r="D201" s="879" t="s">
        <v>935</v>
      </c>
      <c r="E201" s="430">
        <f>E202</f>
        <v>60300</v>
      </c>
      <c r="F201" s="430">
        <f t="shared" ref="F201:P201" si="156">F202</f>
        <v>60300</v>
      </c>
      <c r="G201" s="430">
        <f t="shared" si="156"/>
        <v>0</v>
      </c>
      <c r="H201" s="430">
        <f t="shared" si="156"/>
        <v>0</v>
      </c>
      <c r="I201" s="430">
        <f t="shared" si="156"/>
        <v>0</v>
      </c>
      <c r="J201" s="430">
        <f t="shared" si="156"/>
        <v>0</v>
      </c>
      <c r="K201" s="430">
        <f t="shared" si="156"/>
        <v>0</v>
      </c>
      <c r="L201" s="430">
        <f t="shared" si="156"/>
        <v>0</v>
      </c>
      <c r="M201" s="430">
        <f t="shared" si="156"/>
        <v>0</v>
      </c>
      <c r="N201" s="430">
        <f t="shared" si="156"/>
        <v>0</v>
      </c>
      <c r="O201" s="430">
        <f t="shared" si="156"/>
        <v>0</v>
      </c>
      <c r="P201" s="430">
        <f t="shared" si="156"/>
        <v>60300</v>
      </c>
      <c r="Q201" s="191"/>
      <c r="R201" s="419"/>
    </row>
    <row r="202" spans="1:18" s="463" customFormat="1" ht="184.5" thickTop="1" thickBot="1" x14ac:dyDescent="0.25">
      <c r="A202" s="851" t="s">
        <v>49</v>
      </c>
      <c r="B202" s="851" t="s">
        <v>206</v>
      </c>
      <c r="C202" s="851" t="s">
        <v>213</v>
      </c>
      <c r="D202" s="851" t="s">
        <v>375</v>
      </c>
      <c r="E202" s="313">
        <f>F202</f>
        <v>60300</v>
      </c>
      <c r="F202" s="167">
        <f>(4295+56005)</f>
        <v>60300</v>
      </c>
      <c r="G202" s="167"/>
      <c r="H202" s="167"/>
      <c r="I202" s="878"/>
      <c r="J202" s="866">
        <f t="shared" si="150"/>
        <v>0</v>
      </c>
      <c r="K202" s="878"/>
      <c r="L202" s="167"/>
      <c r="M202" s="167"/>
      <c r="N202" s="167"/>
      <c r="O202" s="867">
        <f t="shared" si="151"/>
        <v>0</v>
      </c>
      <c r="P202" s="866">
        <f t="shared" si="153"/>
        <v>60300</v>
      </c>
      <c r="Q202" s="461"/>
      <c r="R202" s="464"/>
    </row>
    <row r="203" spans="1:18" ht="93" thickTop="1" thickBot="1" x14ac:dyDescent="0.25">
      <c r="A203" s="879" t="s">
        <v>936</v>
      </c>
      <c r="B203" s="879" t="s">
        <v>937</v>
      </c>
      <c r="C203" s="879"/>
      <c r="D203" s="879" t="s">
        <v>938</v>
      </c>
      <c r="E203" s="430">
        <f>SUM(E204:E205)</f>
        <v>56789242</v>
      </c>
      <c r="F203" s="430">
        <f t="shared" ref="F203:P203" si="157">SUM(F204:F205)</f>
        <v>56789242</v>
      </c>
      <c r="G203" s="430">
        <f t="shared" si="157"/>
        <v>33190670</v>
      </c>
      <c r="H203" s="430">
        <f t="shared" si="157"/>
        <v>1996045</v>
      </c>
      <c r="I203" s="430">
        <f t="shared" si="157"/>
        <v>0</v>
      </c>
      <c r="J203" s="430">
        <f t="shared" si="157"/>
        <v>8578420</v>
      </c>
      <c r="K203" s="430">
        <f t="shared" si="157"/>
        <v>7002175</v>
      </c>
      <c r="L203" s="430">
        <f t="shared" si="157"/>
        <v>1541445</v>
      </c>
      <c r="M203" s="430">
        <f t="shared" si="157"/>
        <v>705762</v>
      </c>
      <c r="N203" s="430">
        <f t="shared" si="157"/>
        <v>212378</v>
      </c>
      <c r="O203" s="430">
        <f t="shared" si="157"/>
        <v>7036975</v>
      </c>
      <c r="P203" s="430">
        <f t="shared" si="157"/>
        <v>65367662</v>
      </c>
      <c r="R203" s="849"/>
    </row>
    <row r="204" spans="1:18" s="463" customFormat="1" ht="184.5" thickTop="1" thickBot="1" x14ac:dyDescent="0.25">
      <c r="A204" s="851" t="s">
        <v>28</v>
      </c>
      <c r="B204" s="851" t="s">
        <v>210</v>
      </c>
      <c r="C204" s="851" t="s">
        <v>213</v>
      </c>
      <c r="D204" s="851" t="s">
        <v>50</v>
      </c>
      <c r="E204" s="313">
        <f t="shared" si="149"/>
        <v>47294134</v>
      </c>
      <c r="F204" s="167">
        <f>110000-14000+7800+12800+16615-7000-8000+104695+20450+10645-3600-20500+109405+(2790+1414400+311200-31612+300000+243614+78694-2840+14875+35000+((44066325)+254271+54363+132144+3050+3780+5880+7980+8760+19000+19150+14000))</f>
        <v>47294134</v>
      </c>
      <c r="G204" s="167">
        <f>(31776270)+1414400</f>
        <v>33190670</v>
      </c>
      <c r="H204" s="167">
        <f>110000-14000+7800+12800+16615-7000-8000+104695+20450+10645-3600-20500+109405+((559555+134000+494595+408705+10005)+14875+35000)</f>
        <v>1996045</v>
      </c>
      <c r="I204" s="167"/>
      <c r="J204" s="866">
        <f t="shared" si="150"/>
        <v>8233220</v>
      </c>
      <c r="K204" s="167">
        <f>-7790+3000000-4790+(-200000+500000+31970-74322+611040+180000+154040+((91670+32400+77910+16200+405800+200000)+4838-255801+48600+1509600+86000+33250+216360))</f>
        <v>6656975</v>
      </c>
      <c r="L204" s="167">
        <f>(691362+141099+226744+1030+112354+105648+5500+230778+2000+59730)-34800</f>
        <v>1541445</v>
      </c>
      <c r="M204" s="167">
        <f>(691362)+14400</f>
        <v>705762</v>
      </c>
      <c r="N204" s="167">
        <f>(92672+44368+72322+15587+5829)-18400</f>
        <v>212378</v>
      </c>
      <c r="O204" s="867">
        <f>(K204)+34800</f>
        <v>6691775</v>
      </c>
      <c r="P204" s="866">
        <f t="shared" si="153"/>
        <v>55527354</v>
      </c>
      <c r="Q204" s="461"/>
      <c r="R204" s="464" t="b">
        <f>K204=[1]d6!J162+[1]d6!J164+[1]d6!J165+[1]d6!J166+[1]d6!J167+[1]d6!J168</f>
        <v>1</v>
      </c>
    </row>
    <row r="205" spans="1:18" s="463" customFormat="1" ht="184.5" thickTop="1" thickBot="1" x14ac:dyDescent="0.25">
      <c r="A205" s="851" t="s">
        <v>29</v>
      </c>
      <c r="B205" s="851" t="s">
        <v>211</v>
      </c>
      <c r="C205" s="851" t="s">
        <v>213</v>
      </c>
      <c r="D205" s="851" t="s">
        <v>51</v>
      </c>
      <c r="E205" s="313">
        <f t="shared" si="149"/>
        <v>9495108</v>
      </c>
      <c r="F205" s="167">
        <f>92200+11600+10840-60000+800000-436482+6880-7500+(581625+44400+353955+(8097590))</f>
        <v>9495108</v>
      </c>
      <c r="G205" s="167"/>
      <c r="H205" s="167"/>
      <c r="I205" s="167"/>
      <c r="J205" s="866">
        <f t="shared" si="150"/>
        <v>345200</v>
      </c>
      <c r="K205" s="167">
        <f>(15200)+330000</f>
        <v>345200</v>
      </c>
      <c r="L205" s="167"/>
      <c r="M205" s="167"/>
      <c r="N205" s="167"/>
      <c r="O205" s="867">
        <f t="shared" si="151"/>
        <v>345200</v>
      </c>
      <c r="P205" s="866">
        <f t="shared" si="153"/>
        <v>9840308</v>
      </c>
      <c r="Q205" s="461"/>
      <c r="R205" s="464" t="b">
        <f>K205=[1]d6!J170</f>
        <v>1</v>
      </c>
    </row>
    <row r="206" spans="1:18" ht="93" thickTop="1" thickBot="1" x14ac:dyDescent="0.25">
      <c r="A206" s="898" t="s">
        <v>939</v>
      </c>
      <c r="B206" s="879" t="s">
        <v>940</v>
      </c>
      <c r="C206" s="879"/>
      <c r="D206" s="879" t="s">
        <v>941</v>
      </c>
      <c r="E206" s="430">
        <f>SUM(E207:E209)</f>
        <v>4514671</v>
      </c>
      <c r="F206" s="430">
        <f t="shared" ref="F206:P206" si="158">SUM(F207:F209)</f>
        <v>4514671</v>
      </c>
      <c r="G206" s="430">
        <f t="shared" si="158"/>
        <v>1195075</v>
      </c>
      <c r="H206" s="430">
        <f t="shared" si="158"/>
        <v>0</v>
      </c>
      <c r="I206" s="430">
        <f t="shared" si="158"/>
        <v>0</v>
      </c>
      <c r="J206" s="430">
        <f t="shared" si="158"/>
        <v>30000</v>
      </c>
      <c r="K206" s="430">
        <f t="shared" si="158"/>
        <v>30000</v>
      </c>
      <c r="L206" s="430">
        <f t="shared" si="158"/>
        <v>0</v>
      </c>
      <c r="M206" s="430">
        <f t="shared" si="158"/>
        <v>0</v>
      </c>
      <c r="N206" s="430">
        <f t="shared" si="158"/>
        <v>0</v>
      </c>
      <c r="O206" s="430">
        <f t="shared" si="158"/>
        <v>30000</v>
      </c>
      <c r="P206" s="430">
        <f t="shared" si="158"/>
        <v>4544671</v>
      </c>
      <c r="R206" s="849"/>
    </row>
    <row r="207" spans="1:18" s="463" customFormat="1" ht="276" thickTop="1" thickBot="1" x14ac:dyDescent="0.25">
      <c r="A207" s="371" t="s">
        <v>30</v>
      </c>
      <c r="B207" s="371" t="s">
        <v>212</v>
      </c>
      <c r="C207" s="371" t="s">
        <v>213</v>
      </c>
      <c r="D207" s="851" t="s">
        <v>31</v>
      </c>
      <c r="E207" s="313">
        <f t="shared" si="149"/>
        <v>768820</v>
      </c>
      <c r="F207" s="167">
        <f>(48380+64440)+500000+156000</f>
        <v>768820</v>
      </c>
      <c r="G207" s="878"/>
      <c r="H207" s="878"/>
      <c r="I207" s="878"/>
      <c r="J207" s="866">
        <f t="shared" si="150"/>
        <v>0</v>
      </c>
      <c r="K207" s="878"/>
      <c r="L207" s="878"/>
      <c r="M207" s="878"/>
      <c r="N207" s="878"/>
      <c r="O207" s="867">
        <f t="shared" si="151"/>
        <v>0</v>
      </c>
      <c r="P207" s="866">
        <f t="shared" si="153"/>
        <v>768820</v>
      </c>
      <c r="Q207" s="461"/>
      <c r="R207" s="464"/>
    </row>
    <row r="208" spans="1:18" s="463" customFormat="1" ht="184.5" thickTop="1" thickBot="1" x14ac:dyDescent="0.25">
      <c r="A208" s="371" t="s">
        <v>559</v>
      </c>
      <c r="B208" s="371" t="s">
        <v>557</v>
      </c>
      <c r="C208" s="371" t="s">
        <v>213</v>
      </c>
      <c r="D208" s="851" t="s">
        <v>558</v>
      </c>
      <c r="E208" s="313">
        <f t="shared" si="149"/>
        <v>1969086</v>
      </c>
      <c r="F208" s="167">
        <f>(1968927)-98072+98231</f>
        <v>1969086</v>
      </c>
      <c r="G208" s="878"/>
      <c r="H208" s="878"/>
      <c r="I208" s="878"/>
      <c r="J208" s="866">
        <f t="shared" si="150"/>
        <v>0</v>
      </c>
      <c r="K208" s="878"/>
      <c r="L208" s="878"/>
      <c r="M208" s="878"/>
      <c r="N208" s="878"/>
      <c r="O208" s="867">
        <f t="shared" si="151"/>
        <v>0</v>
      </c>
      <c r="P208" s="866">
        <f t="shared" si="153"/>
        <v>1969086</v>
      </c>
      <c r="Q208" s="461"/>
      <c r="R208" s="464"/>
    </row>
    <row r="209" spans="1:18" s="463" customFormat="1" ht="93" thickTop="1" thickBot="1" x14ac:dyDescent="0.25">
      <c r="A209" s="371" t="s">
        <v>32</v>
      </c>
      <c r="B209" s="371" t="s">
        <v>214</v>
      </c>
      <c r="C209" s="371" t="s">
        <v>213</v>
      </c>
      <c r="D209" s="851" t="s">
        <v>33</v>
      </c>
      <c r="E209" s="313">
        <f>F209</f>
        <v>1776765</v>
      </c>
      <c r="F209" s="167">
        <f>5100+60000+(1206730+265480+98410+141045)</f>
        <v>1776765</v>
      </c>
      <c r="G209" s="878">
        <f>(1206730)-11655</f>
        <v>1195075</v>
      </c>
      <c r="H209" s="878"/>
      <c r="I209" s="878"/>
      <c r="J209" s="866">
        <f t="shared" si="150"/>
        <v>30000</v>
      </c>
      <c r="K209" s="878">
        <f>(30000)</f>
        <v>30000</v>
      </c>
      <c r="L209" s="878"/>
      <c r="M209" s="878"/>
      <c r="N209" s="878"/>
      <c r="O209" s="867">
        <f t="shared" si="151"/>
        <v>30000</v>
      </c>
      <c r="P209" s="866">
        <f t="shared" si="153"/>
        <v>1806765</v>
      </c>
      <c r="Q209" s="461"/>
      <c r="R209" s="464" t="b">
        <f>K209=[1]d6!J171</f>
        <v>1</v>
      </c>
    </row>
    <row r="210" spans="1:18" ht="91.5" thickTop="1" thickBot="1" x14ac:dyDescent="0.25">
      <c r="A210" s="170" t="s">
        <v>942</v>
      </c>
      <c r="B210" s="170" t="s">
        <v>899</v>
      </c>
      <c r="C210" s="170"/>
      <c r="D210" s="417" t="s">
        <v>900</v>
      </c>
      <c r="E210" s="313">
        <f>E211</f>
        <v>25424.53</v>
      </c>
      <c r="F210" s="313">
        <f t="shared" ref="F210:P211" si="159">F211</f>
        <v>25424.53</v>
      </c>
      <c r="G210" s="313">
        <f t="shared" si="159"/>
        <v>0</v>
      </c>
      <c r="H210" s="313">
        <f t="shared" si="159"/>
        <v>0</v>
      </c>
      <c r="I210" s="313">
        <f t="shared" si="159"/>
        <v>0</v>
      </c>
      <c r="J210" s="313">
        <f t="shared" si="159"/>
        <v>0</v>
      </c>
      <c r="K210" s="313">
        <f t="shared" si="159"/>
        <v>0</v>
      </c>
      <c r="L210" s="313">
        <f t="shared" si="159"/>
        <v>0</v>
      </c>
      <c r="M210" s="313">
        <f t="shared" si="159"/>
        <v>0</v>
      </c>
      <c r="N210" s="313">
        <f t="shared" si="159"/>
        <v>0</v>
      </c>
      <c r="O210" s="313">
        <f t="shared" si="159"/>
        <v>0</v>
      </c>
      <c r="P210" s="313">
        <f t="shared" si="159"/>
        <v>25424.53</v>
      </c>
      <c r="R210" s="849"/>
    </row>
    <row r="211" spans="1:18" ht="93" thickTop="1" thickBot="1" x14ac:dyDescent="0.25">
      <c r="A211" s="898" t="s">
        <v>943</v>
      </c>
      <c r="B211" s="898" t="s">
        <v>902</v>
      </c>
      <c r="C211" s="898"/>
      <c r="D211" s="879" t="s">
        <v>903</v>
      </c>
      <c r="E211" s="430">
        <f>E212</f>
        <v>25424.53</v>
      </c>
      <c r="F211" s="430">
        <f t="shared" si="159"/>
        <v>25424.53</v>
      </c>
      <c r="G211" s="430">
        <f t="shared" si="159"/>
        <v>0</v>
      </c>
      <c r="H211" s="430">
        <f t="shared" si="159"/>
        <v>0</v>
      </c>
      <c r="I211" s="430">
        <f t="shared" si="159"/>
        <v>0</v>
      </c>
      <c r="J211" s="430">
        <f t="shared" si="159"/>
        <v>0</v>
      </c>
      <c r="K211" s="430">
        <f t="shared" si="159"/>
        <v>0</v>
      </c>
      <c r="L211" s="430">
        <f t="shared" si="159"/>
        <v>0</v>
      </c>
      <c r="M211" s="430">
        <f t="shared" si="159"/>
        <v>0</v>
      </c>
      <c r="N211" s="430">
        <f t="shared" si="159"/>
        <v>0</v>
      </c>
      <c r="O211" s="430">
        <f t="shared" si="159"/>
        <v>0</v>
      </c>
      <c r="P211" s="430">
        <f t="shared" si="159"/>
        <v>25424.53</v>
      </c>
      <c r="R211" s="849"/>
    </row>
    <row r="212" spans="1:18" s="463" customFormat="1" ht="276" thickTop="1" thickBot="1" x14ac:dyDescent="0.25">
      <c r="A212" s="371" t="s">
        <v>367</v>
      </c>
      <c r="B212" s="371" t="s">
        <v>366</v>
      </c>
      <c r="C212" s="371" t="s">
        <v>365</v>
      </c>
      <c r="D212" s="851" t="s">
        <v>794</v>
      </c>
      <c r="E212" s="313">
        <f>F212</f>
        <v>25424.53</v>
      </c>
      <c r="F212" s="167">
        <f>(18000)+7424.53</f>
        <v>25424.53</v>
      </c>
      <c r="G212" s="878"/>
      <c r="H212" s="878"/>
      <c r="I212" s="878"/>
      <c r="J212" s="866">
        <f t="shared" si="150"/>
        <v>0</v>
      </c>
      <c r="K212" s="878"/>
      <c r="L212" s="878"/>
      <c r="M212" s="878"/>
      <c r="N212" s="878"/>
      <c r="O212" s="867">
        <f t="shared" si="151"/>
        <v>0</v>
      </c>
      <c r="P212" s="866">
        <f t="shared" si="153"/>
        <v>25424.53</v>
      </c>
      <c r="Q212" s="461"/>
      <c r="R212" s="462"/>
    </row>
    <row r="213" spans="1:18" ht="47.25" thickTop="1" thickBot="1" x14ac:dyDescent="0.25">
      <c r="A213" s="170" t="s">
        <v>944</v>
      </c>
      <c r="B213" s="871" t="s">
        <v>905</v>
      </c>
      <c r="C213" s="871"/>
      <c r="D213" s="871" t="s">
        <v>906</v>
      </c>
      <c r="E213" s="313">
        <f>E217+E214</f>
        <v>0</v>
      </c>
      <c r="F213" s="313">
        <f t="shared" ref="F213:P213" si="160">F217+F214</f>
        <v>0</v>
      </c>
      <c r="G213" s="313">
        <f t="shared" si="160"/>
        <v>0</v>
      </c>
      <c r="H213" s="313">
        <f t="shared" si="160"/>
        <v>0</v>
      </c>
      <c r="I213" s="313">
        <f t="shared" si="160"/>
        <v>0</v>
      </c>
      <c r="J213" s="313">
        <f t="shared" si="160"/>
        <v>1221474</v>
      </c>
      <c r="K213" s="313">
        <f t="shared" si="160"/>
        <v>1221474</v>
      </c>
      <c r="L213" s="313">
        <f t="shared" si="160"/>
        <v>0</v>
      </c>
      <c r="M213" s="313">
        <f t="shared" si="160"/>
        <v>0</v>
      </c>
      <c r="N213" s="313">
        <f t="shared" si="160"/>
        <v>0</v>
      </c>
      <c r="O213" s="313">
        <f t="shared" si="160"/>
        <v>1221474</v>
      </c>
      <c r="P213" s="313">
        <f t="shared" si="160"/>
        <v>1221474</v>
      </c>
      <c r="R213" s="195"/>
    </row>
    <row r="214" spans="1:18" ht="91.5" thickTop="1" thickBot="1" x14ac:dyDescent="0.25">
      <c r="A214" s="872" t="s">
        <v>1465</v>
      </c>
      <c r="B214" s="872" t="s">
        <v>961</v>
      </c>
      <c r="C214" s="872"/>
      <c r="D214" s="872" t="s">
        <v>962</v>
      </c>
      <c r="E214" s="873">
        <f>E215</f>
        <v>0</v>
      </c>
      <c r="F214" s="873">
        <f t="shared" ref="F214:P215" si="161">F215</f>
        <v>0</v>
      </c>
      <c r="G214" s="873">
        <f t="shared" si="161"/>
        <v>0</v>
      </c>
      <c r="H214" s="873">
        <f t="shared" si="161"/>
        <v>0</v>
      </c>
      <c r="I214" s="873">
        <f t="shared" si="161"/>
        <v>0</v>
      </c>
      <c r="J214" s="873">
        <f t="shared" si="161"/>
        <v>200000</v>
      </c>
      <c r="K214" s="873">
        <f t="shared" si="161"/>
        <v>200000</v>
      </c>
      <c r="L214" s="873">
        <f t="shared" si="161"/>
        <v>0</v>
      </c>
      <c r="M214" s="873">
        <f t="shared" si="161"/>
        <v>0</v>
      </c>
      <c r="N214" s="873">
        <f t="shared" si="161"/>
        <v>0</v>
      </c>
      <c r="O214" s="873">
        <f t="shared" si="161"/>
        <v>200000</v>
      </c>
      <c r="P214" s="873">
        <f t="shared" si="161"/>
        <v>200000</v>
      </c>
      <c r="R214" s="195"/>
    </row>
    <row r="215" spans="1:18" ht="145.5" thickTop="1" thickBot="1" x14ac:dyDescent="0.25">
      <c r="A215" s="879" t="s">
        <v>1466</v>
      </c>
      <c r="B215" s="879" t="s">
        <v>980</v>
      </c>
      <c r="C215" s="879"/>
      <c r="D215" s="879" t="s">
        <v>1452</v>
      </c>
      <c r="E215" s="877">
        <f>E216</f>
        <v>0</v>
      </c>
      <c r="F215" s="877">
        <f t="shared" si="161"/>
        <v>0</v>
      </c>
      <c r="G215" s="877">
        <f t="shared" si="161"/>
        <v>0</v>
      </c>
      <c r="H215" s="877">
        <f t="shared" si="161"/>
        <v>0</v>
      </c>
      <c r="I215" s="877">
        <f t="shared" si="161"/>
        <v>0</v>
      </c>
      <c r="J215" s="877">
        <f t="shared" si="161"/>
        <v>200000</v>
      </c>
      <c r="K215" s="877">
        <f t="shared" si="161"/>
        <v>200000</v>
      </c>
      <c r="L215" s="877">
        <f t="shared" si="161"/>
        <v>0</v>
      </c>
      <c r="M215" s="877">
        <f t="shared" si="161"/>
        <v>0</v>
      </c>
      <c r="N215" s="877">
        <f t="shared" si="161"/>
        <v>0</v>
      </c>
      <c r="O215" s="877">
        <f t="shared" si="161"/>
        <v>200000</v>
      </c>
      <c r="P215" s="877">
        <f t="shared" si="161"/>
        <v>200000</v>
      </c>
      <c r="R215" s="195"/>
    </row>
    <row r="216" spans="1:18" ht="145.5" thickTop="1" thickBot="1" x14ac:dyDescent="0.25">
      <c r="A216" s="851" t="s">
        <v>1467</v>
      </c>
      <c r="B216" s="851" t="s">
        <v>336</v>
      </c>
      <c r="C216" s="851" t="s">
        <v>323</v>
      </c>
      <c r="D216" s="851" t="s">
        <v>780</v>
      </c>
      <c r="E216" s="866">
        <f t="shared" ref="E216" si="162">F216</f>
        <v>0</v>
      </c>
      <c r="F216" s="878"/>
      <c r="G216" s="878"/>
      <c r="H216" s="878"/>
      <c r="I216" s="878"/>
      <c r="J216" s="866">
        <f t="shared" ref="J216" si="163">L216+O216</f>
        <v>200000</v>
      </c>
      <c r="K216" s="878">
        <v>200000</v>
      </c>
      <c r="L216" s="878"/>
      <c r="M216" s="878"/>
      <c r="N216" s="878"/>
      <c r="O216" s="867">
        <f t="shared" ref="O216" si="164">K216</f>
        <v>200000</v>
      </c>
      <c r="P216" s="866">
        <f>E216+J216</f>
        <v>200000</v>
      </c>
      <c r="R216" s="195"/>
    </row>
    <row r="217" spans="1:18" ht="136.5" thickTop="1" thickBot="1" x14ac:dyDescent="0.25">
      <c r="A217" s="872" t="s">
        <v>945</v>
      </c>
      <c r="B217" s="872" t="s">
        <v>847</v>
      </c>
      <c r="C217" s="872"/>
      <c r="D217" s="872" t="s">
        <v>845</v>
      </c>
      <c r="E217" s="429">
        <f>E218</f>
        <v>0</v>
      </c>
      <c r="F217" s="429">
        <f t="shared" ref="F217:P217" si="165">F218</f>
        <v>0</v>
      </c>
      <c r="G217" s="429">
        <f t="shared" si="165"/>
        <v>0</v>
      </c>
      <c r="H217" s="429">
        <f t="shared" si="165"/>
        <v>0</v>
      </c>
      <c r="I217" s="429">
        <f t="shared" si="165"/>
        <v>0</v>
      </c>
      <c r="J217" s="429">
        <f t="shared" si="165"/>
        <v>1021474</v>
      </c>
      <c r="K217" s="429">
        <f t="shared" si="165"/>
        <v>1021474</v>
      </c>
      <c r="L217" s="429">
        <f t="shared" si="165"/>
        <v>0</v>
      </c>
      <c r="M217" s="429">
        <f t="shared" si="165"/>
        <v>0</v>
      </c>
      <c r="N217" s="429">
        <f t="shared" si="165"/>
        <v>0</v>
      </c>
      <c r="O217" s="429">
        <f t="shared" si="165"/>
        <v>1021474</v>
      </c>
      <c r="P217" s="429">
        <f t="shared" si="165"/>
        <v>1021474</v>
      </c>
      <c r="R217" s="195"/>
    </row>
    <row r="218" spans="1:18" s="463" customFormat="1" ht="93" thickTop="1" thickBot="1" x14ac:dyDescent="0.25">
      <c r="A218" s="851" t="s">
        <v>742</v>
      </c>
      <c r="B218" s="851" t="s">
        <v>215</v>
      </c>
      <c r="C218" s="851" t="s">
        <v>184</v>
      </c>
      <c r="D218" s="851" t="s">
        <v>36</v>
      </c>
      <c r="E218" s="866">
        <f t="shared" ref="E218" si="166">F218</f>
        <v>0</v>
      </c>
      <c r="F218" s="878"/>
      <c r="G218" s="878"/>
      <c r="H218" s="878"/>
      <c r="I218" s="878"/>
      <c r="J218" s="866">
        <f t="shared" si="150"/>
        <v>1021474</v>
      </c>
      <c r="K218" s="878">
        <f>(45144)+976330</f>
        <v>1021474</v>
      </c>
      <c r="L218" s="878"/>
      <c r="M218" s="878"/>
      <c r="N218" s="878"/>
      <c r="O218" s="867">
        <f t="shared" si="151"/>
        <v>1021474</v>
      </c>
      <c r="P218" s="866">
        <f t="shared" si="153"/>
        <v>1021474</v>
      </c>
      <c r="Q218" s="461"/>
      <c r="R218" s="464" t="b">
        <f>K218=[1]d6!J173</f>
        <v>1</v>
      </c>
    </row>
    <row r="219" spans="1:18" ht="181.5" thickTop="1" thickBot="1" x14ac:dyDescent="0.25">
      <c r="A219" s="766" t="s">
        <v>172</v>
      </c>
      <c r="B219" s="766"/>
      <c r="C219" s="766"/>
      <c r="D219" s="767" t="s">
        <v>672</v>
      </c>
      <c r="E219" s="768">
        <f>E220</f>
        <v>25010707</v>
      </c>
      <c r="F219" s="769">
        <f t="shared" ref="F219:G219" si="167">F220</f>
        <v>25010707</v>
      </c>
      <c r="G219" s="769">
        <f t="shared" si="167"/>
        <v>5153675</v>
      </c>
      <c r="H219" s="769">
        <f>H220</f>
        <v>125385</v>
      </c>
      <c r="I219" s="769">
        <f t="shared" ref="I219" si="168">I220</f>
        <v>0</v>
      </c>
      <c r="J219" s="768">
        <f>J220</f>
        <v>31156337</v>
      </c>
      <c r="K219" s="769">
        <f>K220</f>
        <v>30166337</v>
      </c>
      <c r="L219" s="769">
        <f>L220</f>
        <v>990000</v>
      </c>
      <c r="M219" s="769">
        <f t="shared" ref="M219" si="169">M220</f>
        <v>0</v>
      </c>
      <c r="N219" s="769">
        <f>N220</f>
        <v>0</v>
      </c>
      <c r="O219" s="768">
        <f>O220</f>
        <v>30166337</v>
      </c>
      <c r="P219" s="769">
        <f>P220</f>
        <v>56167044</v>
      </c>
      <c r="R219" s="195"/>
    </row>
    <row r="220" spans="1:18" ht="181.5" thickTop="1" thickBot="1" x14ac:dyDescent="0.25">
      <c r="A220" s="863" t="s">
        <v>173</v>
      </c>
      <c r="B220" s="863"/>
      <c r="C220" s="863"/>
      <c r="D220" s="864" t="s">
        <v>673</v>
      </c>
      <c r="E220" s="865">
        <f>E221+E224+E231</f>
        <v>25010707</v>
      </c>
      <c r="F220" s="865">
        <f t="shared" ref="F220:I220" si="170">F221+F224+F231</f>
        <v>25010707</v>
      </c>
      <c r="G220" s="865">
        <f t="shared" si="170"/>
        <v>5153675</v>
      </c>
      <c r="H220" s="865">
        <f t="shared" si="170"/>
        <v>125385</v>
      </c>
      <c r="I220" s="865">
        <f t="shared" si="170"/>
        <v>0</v>
      </c>
      <c r="J220" s="865">
        <f t="shared" ref="J220:J236" si="171">L220+O220</f>
        <v>31156337</v>
      </c>
      <c r="K220" s="865">
        <f t="shared" ref="K220:O220" si="172">K221+K224+K231</f>
        <v>30166337</v>
      </c>
      <c r="L220" s="865">
        <f t="shared" si="172"/>
        <v>990000</v>
      </c>
      <c r="M220" s="865">
        <f t="shared" si="172"/>
        <v>0</v>
      </c>
      <c r="N220" s="865">
        <f t="shared" si="172"/>
        <v>0</v>
      </c>
      <c r="O220" s="865">
        <f t="shared" si="172"/>
        <v>30166337</v>
      </c>
      <c r="P220" s="865">
        <f>E220+J220</f>
        <v>56167044</v>
      </c>
      <c r="Q220" s="253" t="b">
        <f>P220=P222+P226+P227+P228+P230+P233+P236+P223+P234+P229</f>
        <v>1</v>
      </c>
      <c r="R220" s="253" t="b">
        <f>K220=[1]d6!J175</f>
        <v>1</v>
      </c>
    </row>
    <row r="221" spans="1:18" ht="47.25" thickTop="1" thickBot="1" x14ac:dyDescent="0.25">
      <c r="A221" s="170" t="s">
        <v>946</v>
      </c>
      <c r="B221" s="170" t="s">
        <v>840</v>
      </c>
      <c r="C221" s="170"/>
      <c r="D221" s="170" t="s">
        <v>841</v>
      </c>
      <c r="E221" s="866">
        <f>SUM(E222:E223)</f>
        <v>7146595</v>
      </c>
      <c r="F221" s="866">
        <f t="shared" ref="F221:N221" si="173">SUM(F222:F223)</f>
        <v>7146595</v>
      </c>
      <c r="G221" s="866">
        <f t="shared" si="173"/>
        <v>5153675</v>
      </c>
      <c r="H221" s="866">
        <f t="shared" si="173"/>
        <v>125385</v>
      </c>
      <c r="I221" s="866">
        <f t="shared" si="173"/>
        <v>0</v>
      </c>
      <c r="J221" s="866">
        <f t="shared" si="173"/>
        <v>163248</v>
      </c>
      <c r="K221" s="866">
        <f t="shared" si="173"/>
        <v>163248</v>
      </c>
      <c r="L221" s="866">
        <f t="shared" si="173"/>
        <v>0</v>
      </c>
      <c r="M221" s="866">
        <f t="shared" si="173"/>
        <v>0</v>
      </c>
      <c r="N221" s="866">
        <f t="shared" si="173"/>
        <v>0</v>
      </c>
      <c r="O221" s="866">
        <f>SUM(O222:O223)</f>
        <v>163248</v>
      </c>
      <c r="P221" s="866">
        <f t="shared" ref="P221" si="174">SUM(P222:P223)</f>
        <v>7309843</v>
      </c>
      <c r="Q221" s="253"/>
      <c r="R221" s="253"/>
    </row>
    <row r="222" spans="1:18" ht="230.25" thickTop="1" thickBot="1" x14ac:dyDescent="0.25">
      <c r="A222" s="851" t="s">
        <v>449</v>
      </c>
      <c r="B222" s="851" t="s">
        <v>254</v>
      </c>
      <c r="C222" s="851" t="s">
        <v>252</v>
      </c>
      <c r="D222" s="851" t="s">
        <v>253</v>
      </c>
      <c r="E222" s="313">
        <f>F222</f>
        <v>7134595</v>
      </c>
      <c r="F222" s="167">
        <f>-288000-107000+7000-15000-4000-3400+((5441675+1197170+253395+210390+14760+39015+5208+25686+4476+3400+34020-12000)+199000+65800+39500+23500)</f>
        <v>7134595</v>
      </c>
      <c r="G222" s="167">
        <f>(5441675)-288000</f>
        <v>5153675</v>
      </c>
      <c r="H222" s="167">
        <f>7000-15000-4000+((39015+5208+25686+4476)+39500+23500)</f>
        <v>125385</v>
      </c>
      <c r="I222" s="167"/>
      <c r="J222" s="866">
        <f t="shared" si="171"/>
        <v>163248</v>
      </c>
      <c r="K222" s="167">
        <f>(36000)+31812+95436</f>
        <v>163248</v>
      </c>
      <c r="L222" s="761"/>
      <c r="M222" s="761"/>
      <c r="N222" s="761"/>
      <c r="O222" s="867">
        <f t="shared" ref="O222:O234" si="175">K222</f>
        <v>163248</v>
      </c>
      <c r="P222" s="866">
        <f t="shared" ref="P222:P229" si="176">+J222+E222</f>
        <v>7297843</v>
      </c>
      <c r="R222" s="253" t="b">
        <f>K222=[1]d6!J176</f>
        <v>1</v>
      </c>
    </row>
    <row r="223" spans="1:18" ht="184.5" thickTop="1" thickBot="1" x14ac:dyDescent="0.25">
      <c r="A223" s="852" t="s">
        <v>782</v>
      </c>
      <c r="B223" s="852" t="s">
        <v>388</v>
      </c>
      <c r="C223" s="852" t="s">
        <v>775</v>
      </c>
      <c r="D223" s="852" t="s">
        <v>776</v>
      </c>
      <c r="E223" s="868">
        <f t="shared" ref="E223" si="177">F223</f>
        <v>12000</v>
      </c>
      <c r="F223" s="300">
        <v>12000</v>
      </c>
      <c r="G223" s="300"/>
      <c r="H223" s="300"/>
      <c r="I223" s="300"/>
      <c r="J223" s="868">
        <f t="shared" si="171"/>
        <v>0</v>
      </c>
      <c r="K223" s="300"/>
      <c r="L223" s="763"/>
      <c r="M223" s="764"/>
      <c r="N223" s="764"/>
      <c r="O223" s="869">
        <f t="shared" si="175"/>
        <v>0</v>
      </c>
      <c r="P223" s="868">
        <f>+J223+E223</f>
        <v>12000</v>
      </c>
      <c r="R223" s="253"/>
    </row>
    <row r="224" spans="1:18" ht="91.5" thickTop="1" thickBot="1" x14ac:dyDescent="0.25">
      <c r="A224" s="170" t="s">
        <v>947</v>
      </c>
      <c r="B224" s="871" t="s">
        <v>899</v>
      </c>
      <c r="C224" s="871"/>
      <c r="D224" s="417" t="s">
        <v>900</v>
      </c>
      <c r="E224" s="868">
        <f>SUM(E225:E230)-E225</f>
        <v>17314112</v>
      </c>
      <c r="F224" s="868">
        <f t="shared" ref="F224:P224" si="178">SUM(F225:F230)-F225</f>
        <v>17314112</v>
      </c>
      <c r="G224" s="868">
        <f t="shared" si="178"/>
        <v>0</v>
      </c>
      <c r="H224" s="868">
        <f t="shared" si="178"/>
        <v>0</v>
      </c>
      <c r="I224" s="868">
        <f t="shared" si="178"/>
        <v>0</v>
      </c>
      <c r="J224" s="868">
        <f t="shared" si="178"/>
        <v>29353089</v>
      </c>
      <c r="K224" s="868">
        <f t="shared" si="178"/>
        <v>29353089</v>
      </c>
      <c r="L224" s="868">
        <f t="shared" si="178"/>
        <v>0</v>
      </c>
      <c r="M224" s="868">
        <f t="shared" si="178"/>
        <v>0</v>
      </c>
      <c r="N224" s="868">
        <f t="shared" si="178"/>
        <v>0</v>
      </c>
      <c r="O224" s="868">
        <f t="shared" si="178"/>
        <v>29353089</v>
      </c>
      <c r="P224" s="868">
        <f t="shared" si="178"/>
        <v>46667201</v>
      </c>
      <c r="R224" s="253"/>
    </row>
    <row r="225" spans="1:18" s="39" customFormat="1" ht="184.5" thickTop="1" thickBot="1" x14ac:dyDescent="0.25">
      <c r="A225" s="879" t="s">
        <v>948</v>
      </c>
      <c r="B225" s="875" t="s">
        <v>949</v>
      </c>
      <c r="C225" s="875"/>
      <c r="D225" s="875" t="s">
        <v>950</v>
      </c>
      <c r="E225" s="899">
        <f>SUM(E226:E228)</f>
        <v>2684112</v>
      </c>
      <c r="F225" s="899">
        <f t="shared" ref="F225:P225" si="179">SUM(F226:F228)</f>
        <v>2684112</v>
      </c>
      <c r="G225" s="899">
        <f t="shared" si="179"/>
        <v>0</v>
      </c>
      <c r="H225" s="899">
        <f t="shared" si="179"/>
        <v>0</v>
      </c>
      <c r="I225" s="899">
        <f t="shared" si="179"/>
        <v>0</v>
      </c>
      <c r="J225" s="899">
        <f t="shared" si="179"/>
        <v>29353089</v>
      </c>
      <c r="K225" s="899">
        <f t="shared" si="179"/>
        <v>29353089</v>
      </c>
      <c r="L225" s="899">
        <f t="shared" si="179"/>
        <v>0</v>
      </c>
      <c r="M225" s="899">
        <f t="shared" si="179"/>
        <v>0</v>
      </c>
      <c r="N225" s="899">
        <f t="shared" si="179"/>
        <v>0</v>
      </c>
      <c r="O225" s="899">
        <f t="shared" si="179"/>
        <v>29353089</v>
      </c>
      <c r="P225" s="899">
        <f t="shared" si="179"/>
        <v>32037201</v>
      </c>
      <c r="Q225" s="191"/>
      <c r="R225" s="253"/>
    </row>
    <row r="226" spans="1:18" ht="138.75" thickTop="1" thickBot="1" x14ac:dyDescent="0.25">
      <c r="A226" s="851" t="s">
        <v>298</v>
      </c>
      <c r="B226" s="851" t="s">
        <v>299</v>
      </c>
      <c r="C226" s="851" t="s">
        <v>365</v>
      </c>
      <c r="D226" s="851" t="s">
        <v>300</v>
      </c>
      <c r="E226" s="313">
        <f t="shared" ref="E226:E236" si="180">F226</f>
        <v>2134112</v>
      </c>
      <c r="F226" s="167">
        <f>658812+(((2675300)-200000)-1000000)</f>
        <v>2134112</v>
      </c>
      <c r="G226" s="167"/>
      <c r="H226" s="167"/>
      <c r="I226" s="167"/>
      <c r="J226" s="866">
        <f t="shared" si="171"/>
        <v>8284628</v>
      </c>
      <c r="K226" s="167">
        <f>-708812+((10345240)-1351800)</f>
        <v>8284628</v>
      </c>
      <c r="L226" s="761"/>
      <c r="M226" s="761"/>
      <c r="N226" s="761"/>
      <c r="O226" s="867">
        <f t="shared" si="175"/>
        <v>8284628</v>
      </c>
      <c r="P226" s="866">
        <f t="shared" si="176"/>
        <v>10418740</v>
      </c>
      <c r="R226" s="253" t="b">
        <f>K226=[1]d6!J177</f>
        <v>1</v>
      </c>
    </row>
    <row r="227" spans="1:18" ht="138.75" thickTop="1" thickBot="1" x14ac:dyDescent="0.25">
      <c r="A227" s="851" t="s">
        <v>320</v>
      </c>
      <c r="B227" s="851" t="s">
        <v>321</v>
      </c>
      <c r="C227" s="851" t="s">
        <v>301</v>
      </c>
      <c r="D227" s="851" t="s">
        <v>322</v>
      </c>
      <c r="E227" s="313">
        <f t="shared" si="180"/>
        <v>0</v>
      </c>
      <c r="F227" s="167"/>
      <c r="G227" s="167"/>
      <c r="H227" s="167"/>
      <c r="I227" s="167"/>
      <c r="J227" s="866">
        <f t="shared" si="171"/>
        <v>8000000</v>
      </c>
      <c r="K227" s="167">
        <f>(5000000)+3000000</f>
        <v>8000000</v>
      </c>
      <c r="L227" s="761"/>
      <c r="M227" s="761"/>
      <c r="N227" s="761"/>
      <c r="O227" s="867">
        <f t="shared" si="175"/>
        <v>8000000</v>
      </c>
      <c r="P227" s="866">
        <f t="shared" si="176"/>
        <v>8000000</v>
      </c>
      <c r="R227" s="253" t="b">
        <f>K227=[1]d6!J178</f>
        <v>1</v>
      </c>
    </row>
    <row r="228" spans="1:18" ht="184.5" thickTop="1" thickBot="1" x14ac:dyDescent="0.25">
      <c r="A228" s="851" t="s">
        <v>302</v>
      </c>
      <c r="B228" s="851" t="s">
        <v>303</v>
      </c>
      <c r="C228" s="851" t="s">
        <v>301</v>
      </c>
      <c r="D228" s="851" t="s">
        <v>503</v>
      </c>
      <c r="E228" s="313">
        <f t="shared" si="180"/>
        <v>550000</v>
      </c>
      <c r="F228" s="167">
        <v>550000</v>
      </c>
      <c r="G228" s="167"/>
      <c r="H228" s="167"/>
      <c r="I228" s="167"/>
      <c r="J228" s="866">
        <f t="shared" si="171"/>
        <v>13068461</v>
      </c>
      <c r="K228" s="167">
        <f>(13120761)-52300</f>
        <v>13068461</v>
      </c>
      <c r="L228" s="761"/>
      <c r="M228" s="761"/>
      <c r="N228" s="761"/>
      <c r="O228" s="867">
        <f t="shared" si="175"/>
        <v>13068461</v>
      </c>
      <c r="P228" s="866">
        <f t="shared" si="176"/>
        <v>13618461</v>
      </c>
      <c r="R228" s="253" t="b">
        <f>K228=[1]d6!J180+[1]d6!J181+[1]d6!J182</f>
        <v>1</v>
      </c>
    </row>
    <row r="229" spans="1:18" ht="230.25" thickTop="1" thickBot="1" x14ac:dyDescent="0.25">
      <c r="A229" s="851" t="s">
        <v>1153</v>
      </c>
      <c r="B229" s="851" t="s">
        <v>316</v>
      </c>
      <c r="C229" s="851" t="s">
        <v>301</v>
      </c>
      <c r="D229" s="851" t="s">
        <v>317</v>
      </c>
      <c r="E229" s="313">
        <f t="shared" si="180"/>
        <v>530000</v>
      </c>
      <c r="F229" s="167">
        <f>300000+((200000)+30000)</f>
        <v>530000</v>
      </c>
      <c r="G229" s="167"/>
      <c r="H229" s="167"/>
      <c r="I229" s="167"/>
      <c r="J229" s="866">
        <f t="shared" si="171"/>
        <v>0</v>
      </c>
      <c r="K229" s="167"/>
      <c r="L229" s="761"/>
      <c r="M229" s="761"/>
      <c r="N229" s="761"/>
      <c r="O229" s="867">
        <f t="shared" si="175"/>
        <v>0</v>
      </c>
      <c r="P229" s="866">
        <f t="shared" si="176"/>
        <v>530000</v>
      </c>
      <c r="R229" s="253"/>
    </row>
    <row r="230" spans="1:18" ht="93" thickTop="1" thickBot="1" x14ac:dyDescent="0.25">
      <c r="A230" s="851" t="s">
        <v>306</v>
      </c>
      <c r="B230" s="851" t="s">
        <v>307</v>
      </c>
      <c r="C230" s="851" t="s">
        <v>301</v>
      </c>
      <c r="D230" s="851" t="s">
        <v>308</v>
      </c>
      <c r="E230" s="313">
        <f t="shared" si="180"/>
        <v>14100000</v>
      </c>
      <c r="F230" s="167">
        <v>14100000</v>
      </c>
      <c r="G230" s="167"/>
      <c r="H230" s="167"/>
      <c r="I230" s="167"/>
      <c r="J230" s="866">
        <f t="shared" si="171"/>
        <v>0</v>
      </c>
      <c r="K230" s="878"/>
      <c r="L230" s="167"/>
      <c r="M230" s="167"/>
      <c r="N230" s="167"/>
      <c r="O230" s="867">
        <f t="shared" si="175"/>
        <v>0</v>
      </c>
      <c r="P230" s="866">
        <f t="shared" ref="P230" si="181">E230+J230</f>
        <v>14100000</v>
      </c>
      <c r="R230" s="195"/>
    </row>
    <row r="231" spans="1:18" ht="47.25" thickTop="1" thickBot="1" x14ac:dyDescent="0.25">
      <c r="A231" s="170" t="s">
        <v>951</v>
      </c>
      <c r="B231" s="170" t="s">
        <v>905</v>
      </c>
      <c r="C231" s="170"/>
      <c r="D231" s="170" t="s">
        <v>952</v>
      </c>
      <c r="E231" s="313">
        <f>E232</f>
        <v>550000</v>
      </c>
      <c r="F231" s="313">
        <f t="shared" ref="F231:P231" si="182">F232</f>
        <v>550000</v>
      </c>
      <c r="G231" s="313">
        <f t="shared" si="182"/>
        <v>0</v>
      </c>
      <c r="H231" s="313">
        <f t="shared" si="182"/>
        <v>0</v>
      </c>
      <c r="I231" s="313">
        <f t="shared" si="182"/>
        <v>0</v>
      </c>
      <c r="J231" s="313">
        <f>J232</f>
        <v>1640000</v>
      </c>
      <c r="K231" s="313">
        <f t="shared" si="182"/>
        <v>650000</v>
      </c>
      <c r="L231" s="313">
        <f t="shared" si="182"/>
        <v>990000</v>
      </c>
      <c r="M231" s="313">
        <f t="shared" si="182"/>
        <v>0</v>
      </c>
      <c r="N231" s="313">
        <f t="shared" si="182"/>
        <v>0</v>
      </c>
      <c r="O231" s="313">
        <f t="shared" si="182"/>
        <v>650000</v>
      </c>
      <c r="P231" s="313">
        <f t="shared" si="182"/>
        <v>2190000</v>
      </c>
      <c r="R231" s="195"/>
    </row>
    <row r="232" spans="1:18" ht="136.5" thickTop="1" thickBot="1" x14ac:dyDescent="0.25">
      <c r="A232" s="872" t="s">
        <v>953</v>
      </c>
      <c r="B232" s="872" t="s">
        <v>847</v>
      </c>
      <c r="C232" s="872"/>
      <c r="D232" s="872" t="s">
        <v>845</v>
      </c>
      <c r="E232" s="429">
        <f t="shared" ref="E232:P232" si="183">E233+E235+E234</f>
        <v>550000</v>
      </c>
      <c r="F232" s="429">
        <f t="shared" si="183"/>
        <v>550000</v>
      </c>
      <c r="G232" s="429">
        <f t="shared" si="183"/>
        <v>0</v>
      </c>
      <c r="H232" s="429">
        <f t="shared" si="183"/>
        <v>0</v>
      </c>
      <c r="I232" s="429">
        <f t="shared" si="183"/>
        <v>0</v>
      </c>
      <c r="J232" s="429">
        <f t="shared" si="183"/>
        <v>1640000</v>
      </c>
      <c r="K232" s="429">
        <f t="shared" si="183"/>
        <v>650000</v>
      </c>
      <c r="L232" s="429">
        <f t="shared" si="183"/>
        <v>990000</v>
      </c>
      <c r="M232" s="429">
        <f t="shared" si="183"/>
        <v>0</v>
      </c>
      <c r="N232" s="429">
        <f t="shared" si="183"/>
        <v>0</v>
      </c>
      <c r="O232" s="429">
        <f t="shared" si="183"/>
        <v>650000</v>
      </c>
      <c r="P232" s="429">
        <f t="shared" si="183"/>
        <v>2190000</v>
      </c>
      <c r="R232" s="195"/>
    </row>
    <row r="233" spans="1:18" ht="48" thickTop="1" thickBot="1" x14ac:dyDescent="0.25">
      <c r="A233" s="851" t="s">
        <v>315</v>
      </c>
      <c r="B233" s="851" t="s">
        <v>230</v>
      </c>
      <c r="C233" s="851" t="s">
        <v>231</v>
      </c>
      <c r="D233" s="851" t="s">
        <v>43</v>
      </c>
      <c r="E233" s="313">
        <f t="shared" si="180"/>
        <v>550000</v>
      </c>
      <c r="F233" s="167">
        <f>-600000+((500000)+650000)</f>
        <v>550000</v>
      </c>
      <c r="G233" s="167"/>
      <c r="H233" s="167"/>
      <c r="I233" s="167"/>
      <c r="J233" s="866">
        <f t="shared" si="171"/>
        <v>350000</v>
      </c>
      <c r="K233" s="878">
        <f>300000+((2100000)-2050000)</f>
        <v>350000</v>
      </c>
      <c r="L233" s="167"/>
      <c r="M233" s="167"/>
      <c r="N233" s="167"/>
      <c r="O233" s="867">
        <f t="shared" si="175"/>
        <v>350000</v>
      </c>
      <c r="P233" s="866">
        <f>E233+J233</f>
        <v>900000</v>
      </c>
      <c r="R233" s="253" t="b">
        <f>K233=[1]d6!J184</f>
        <v>1</v>
      </c>
    </row>
    <row r="234" spans="1:18" ht="93" thickTop="1" thickBot="1" x14ac:dyDescent="0.25">
      <c r="A234" s="851" t="s">
        <v>1126</v>
      </c>
      <c r="B234" s="851" t="s">
        <v>215</v>
      </c>
      <c r="C234" s="851" t="s">
        <v>184</v>
      </c>
      <c r="D234" s="851" t="s">
        <v>36</v>
      </c>
      <c r="E234" s="313">
        <f t="shared" si="180"/>
        <v>0</v>
      </c>
      <c r="F234" s="167"/>
      <c r="G234" s="167"/>
      <c r="H234" s="167"/>
      <c r="I234" s="167"/>
      <c r="J234" s="866">
        <f t="shared" si="171"/>
        <v>300000</v>
      </c>
      <c r="K234" s="878">
        <f>(390000)-90000</f>
        <v>300000</v>
      </c>
      <c r="L234" s="167"/>
      <c r="M234" s="167"/>
      <c r="N234" s="167"/>
      <c r="O234" s="867">
        <f t="shared" si="175"/>
        <v>300000</v>
      </c>
      <c r="P234" s="866">
        <f>E234+J234</f>
        <v>300000</v>
      </c>
      <c r="R234" s="253" t="b">
        <f>K234=[1]d6!J186</f>
        <v>1</v>
      </c>
    </row>
    <row r="235" spans="1:18" ht="48" thickTop="1" thickBot="1" x14ac:dyDescent="0.25">
      <c r="A235" s="879" t="s">
        <v>954</v>
      </c>
      <c r="B235" s="879" t="s">
        <v>850</v>
      </c>
      <c r="C235" s="879"/>
      <c r="D235" s="879" t="s">
        <v>955</v>
      </c>
      <c r="E235" s="430">
        <f>E236</f>
        <v>0</v>
      </c>
      <c r="F235" s="430">
        <f t="shared" ref="F235:P235" si="184">F236</f>
        <v>0</v>
      </c>
      <c r="G235" s="430">
        <f t="shared" si="184"/>
        <v>0</v>
      </c>
      <c r="H235" s="430">
        <f t="shared" si="184"/>
        <v>0</v>
      </c>
      <c r="I235" s="430">
        <f t="shared" si="184"/>
        <v>0</v>
      </c>
      <c r="J235" s="430">
        <f t="shared" si="184"/>
        <v>990000</v>
      </c>
      <c r="K235" s="430">
        <f t="shared" si="184"/>
        <v>0</v>
      </c>
      <c r="L235" s="430">
        <f t="shared" si="184"/>
        <v>990000</v>
      </c>
      <c r="M235" s="430">
        <f t="shared" si="184"/>
        <v>0</v>
      </c>
      <c r="N235" s="430">
        <f t="shared" si="184"/>
        <v>0</v>
      </c>
      <c r="O235" s="430">
        <f t="shared" si="184"/>
        <v>0</v>
      </c>
      <c r="P235" s="430">
        <f t="shared" si="184"/>
        <v>990000</v>
      </c>
      <c r="R235" s="195"/>
    </row>
    <row r="236" spans="1:18" ht="409.6" thickTop="1" thickBot="1" x14ac:dyDescent="0.7">
      <c r="A236" s="1093" t="s">
        <v>452</v>
      </c>
      <c r="B236" s="1093" t="s">
        <v>363</v>
      </c>
      <c r="C236" s="1093" t="s">
        <v>184</v>
      </c>
      <c r="D236" s="315" t="s">
        <v>473</v>
      </c>
      <c r="E236" s="1176">
        <f t="shared" si="180"/>
        <v>0</v>
      </c>
      <c r="F236" s="1089"/>
      <c r="G236" s="1089"/>
      <c r="H236" s="1089"/>
      <c r="I236" s="1089"/>
      <c r="J236" s="1176">
        <f t="shared" si="171"/>
        <v>990000</v>
      </c>
      <c r="K236" s="1089"/>
      <c r="L236" s="1089">
        <f>(190000)+800000</f>
        <v>990000</v>
      </c>
      <c r="M236" s="1089"/>
      <c r="N236" s="1089"/>
      <c r="O236" s="1178">
        <f>K236+0</f>
        <v>0</v>
      </c>
      <c r="P236" s="1180">
        <f>E236+J236</f>
        <v>990000</v>
      </c>
      <c r="R236" s="195"/>
    </row>
    <row r="237" spans="1:18" ht="184.5" thickTop="1" thickBot="1" x14ac:dyDescent="0.25">
      <c r="A237" s="1093"/>
      <c r="B237" s="1093"/>
      <c r="C237" s="1093"/>
      <c r="D237" s="317" t="s">
        <v>474</v>
      </c>
      <c r="E237" s="1176"/>
      <c r="F237" s="1089"/>
      <c r="G237" s="1089"/>
      <c r="H237" s="1089"/>
      <c r="I237" s="1089"/>
      <c r="J237" s="1176"/>
      <c r="K237" s="1089"/>
      <c r="L237" s="1089"/>
      <c r="M237" s="1089"/>
      <c r="N237" s="1089"/>
      <c r="O237" s="1178"/>
      <c r="P237" s="1180"/>
      <c r="R237" s="195"/>
    </row>
    <row r="238" spans="1:18" ht="181.5" thickTop="1" thickBot="1" x14ac:dyDescent="0.25">
      <c r="A238" s="766" t="s">
        <v>640</v>
      </c>
      <c r="B238" s="766"/>
      <c r="C238" s="766"/>
      <c r="D238" s="767" t="s">
        <v>670</v>
      </c>
      <c r="E238" s="768">
        <f>E239</f>
        <v>265128001</v>
      </c>
      <c r="F238" s="769">
        <f t="shared" ref="F238:G238" si="185">F239</f>
        <v>265128001</v>
      </c>
      <c r="G238" s="769">
        <f t="shared" si="185"/>
        <v>7313074</v>
      </c>
      <c r="H238" s="769">
        <f>H239</f>
        <v>159985</v>
      </c>
      <c r="I238" s="769">
        <f t="shared" ref="I238" si="186">I239</f>
        <v>0</v>
      </c>
      <c r="J238" s="768">
        <f>J239</f>
        <v>152618707.61000001</v>
      </c>
      <c r="K238" s="769">
        <f>K239</f>
        <v>150821170.57999998</v>
      </c>
      <c r="L238" s="769">
        <f>L239</f>
        <v>140000</v>
      </c>
      <c r="M238" s="769">
        <f t="shared" ref="M238" si="187">M239</f>
        <v>0</v>
      </c>
      <c r="N238" s="769">
        <f>N239</f>
        <v>0</v>
      </c>
      <c r="O238" s="768">
        <f>O239</f>
        <v>152478707.61000001</v>
      </c>
      <c r="P238" s="769">
        <f>P239</f>
        <v>417746708.61000001</v>
      </c>
      <c r="R238" s="195"/>
    </row>
    <row r="239" spans="1:18" ht="181.5" thickTop="1" thickBot="1" x14ac:dyDescent="0.25">
      <c r="A239" s="863" t="s">
        <v>641</v>
      </c>
      <c r="B239" s="863"/>
      <c r="C239" s="863"/>
      <c r="D239" s="864" t="s">
        <v>671</v>
      </c>
      <c r="E239" s="865">
        <f>E240+E244+E250+E262</f>
        <v>265128001</v>
      </c>
      <c r="F239" s="865">
        <f t="shared" ref="F239:I239" si="188">F240+F244+F250+F262</f>
        <v>265128001</v>
      </c>
      <c r="G239" s="865">
        <f t="shared" si="188"/>
        <v>7313074</v>
      </c>
      <c r="H239" s="865">
        <f t="shared" si="188"/>
        <v>159985</v>
      </c>
      <c r="I239" s="865">
        <f t="shared" si="188"/>
        <v>0</v>
      </c>
      <c r="J239" s="865">
        <f t="shared" ref="J239:J260" si="189">L239+O239</f>
        <v>152618707.61000001</v>
      </c>
      <c r="K239" s="865">
        <f t="shared" ref="K239:O239" si="190">K240+K244+K250+K262</f>
        <v>150821170.57999998</v>
      </c>
      <c r="L239" s="865">
        <f t="shared" si="190"/>
        <v>140000</v>
      </c>
      <c r="M239" s="865">
        <f t="shared" si="190"/>
        <v>0</v>
      </c>
      <c r="N239" s="865">
        <f t="shared" si="190"/>
        <v>0</v>
      </c>
      <c r="O239" s="865">
        <f t="shared" si="190"/>
        <v>152478707.61000001</v>
      </c>
      <c r="P239" s="865">
        <f>E239+J239</f>
        <v>417746708.61000001</v>
      </c>
      <c r="Q239" s="125" t="b">
        <f>P239=P241+P242+P243+P246+P247+P248+P249+P252+P255+P257+P258+P260+P264+P265+P266</f>
        <v>1</v>
      </c>
      <c r="R239" s="125" t="b">
        <f>K239=[1]d6!J189</f>
        <v>1</v>
      </c>
    </row>
    <row r="240" spans="1:18" ht="47.25" thickTop="1" thickBot="1" x14ac:dyDescent="0.25">
      <c r="A240" s="170" t="s">
        <v>956</v>
      </c>
      <c r="B240" s="170" t="s">
        <v>840</v>
      </c>
      <c r="C240" s="170"/>
      <c r="D240" s="170" t="s">
        <v>841</v>
      </c>
      <c r="E240" s="866">
        <f>SUM(E241:E243)</f>
        <v>7562552</v>
      </c>
      <c r="F240" s="866">
        <f t="shared" ref="F240:P240" si="191">SUM(F241:F243)</f>
        <v>7562552</v>
      </c>
      <c r="G240" s="866">
        <f t="shared" si="191"/>
        <v>5593415</v>
      </c>
      <c r="H240" s="866">
        <f t="shared" si="191"/>
        <v>135200</v>
      </c>
      <c r="I240" s="866">
        <f t="shared" si="191"/>
        <v>0</v>
      </c>
      <c r="J240" s="866">
        <f t="shared" si="191"/>
        <v>144000</v>
      </c>
      <c r="K240" s="866">
        <f t="shared" si="191"/>
        <v>144000</v>
      </c>
      <c r="L240" s="866">
        <f t="shared" si="191"/>
        <v>0</v>
      </c>
      <c r="M240" s="866">
        <f t="shared" si="191"/>
        <v>0</v>
      </c>
      <c r="N240" s="866">
        <f t="shared" si="191"/>
        <v>0</v>
      </c>
      <c r="O240" s="866">
        <f t="shared" si="191"/>
        <v>144000</v>
      </c>
      <c r="P240" s="866">
        <f t="shared" si="191"/>
        <v>7706552</v>
      </c>
      <c r="Q240" s="125"/>
      <c r="R240" s="125"/>
    </row>
    <row r="241" spans="1:18" ht="230.25" thickTop="1" thickBot="1" x14ac:dyDescent="0.25">
      <c r="A241" s="851" t="s">
        <v>642</v>
      </c>
      <c r="B241" s="851" t="s">
        <v>254</v>
      </c>
      <c r="C241" s="851" t="s">
        <v>252</v>
      </c>
      <c r="D241" s="851" t="s">
        <v>253</v>
      </c>
      <c r="E241" s="313">
        <f>F241</f>
        <v>7454552</v>
      </c>
      <c r="F241" s="167">
        <f>-800000-197000+42000+18815+((6393415+1406550+212730+120360+12160+22680+39015+5208+25686+4476-8000)+3600+6087+47020+36500+5000+41700+6400+10150)</f>
        <v>7454552</v>
      </c>
      <c r="G241" s="167">
        <f>(6393415)-800000</f>
        <v>5593415</v>
      </c>
      <c r="H241" s="167">
        <f>42000+18815+(39015+5208+25686+4476)</f>
        <v>135200</v>
      </c>
      <c r="I241" s="167"/>
      <c r="J241" s="866">
        <f t="shared" si="189"/>
        <v>144000</v>
      </c>
      <c r="K241" s="167">
        <v>144000</v>
      </c>
      <c r="L241" s="761"/>
      <c r="M241" s="761"/>
      <c r="N241" s="761"/>
      <c r="O241" s="867">
        <f t="shared" ref="O241:O258" si="192">K241</f>
        <v>144000</v>
      </c>
      <c r="P241" s="866">
        <f t="shared" ref="P241:P247" si="193">+J241+E241</f>
        <v>7598552</v>
      </c>
      <c r="R241" s="125" t="b">
        <f>K241=[1]d6!J190</f>
        <v>1</v>
      </c>
    </row>
    <row r="242" spans="1:18" ht="184.5" thickTop="1" thickBot="1" x14ac:dyDescent="0.25">
      <c r="A242" s="852" t="s">
        <v>784</v>
      </c>
      <c r="B242" s="852" t="s">
        <v>388</v>
      </c>
      <c r="C242" s="852" t="s">
        <v>775</v>
      </c>
      <c r="D242" s="852" t="s">
        <v>776</v>
      </c>
      <c r="E242" s="313">
        <f>F242</f>
        <v>8000</v>
      </c>
      <c r="F242" s="167">
        <v>8000</v>
      </c>
      <c r="G242" s="167"/>
      <c r="H242" s="167"/>
      <c r="I242" s="167"/>
      <c r="J242" s="866">
        <f t="shared" si="189"/>
        <v>0</v>
      </c>
      <c r="K242" s="167"/>
      <c r="L242" s="761"/>
      <c r="M242" s="761"/>
      <c r="N242" s="761"/>
      <c r="O242" s="867">
        <f t="shared" si="192"/>
        <v>0</v>
      </c>
      <c r="P242" s="866">
        <f t="shared" si="193"/>
        <v>8000</v>
      </c>
      <c r="R242" s="125"/>
    </row>
    <row r="243" spans="1:18" ht="93" thickTop="1" thickBot="1" x14ac:dyDescent="0.25">
      <c r="A243" s="851" t="s">
        <v>643</v>
      </c>
      <c r="B243" s="851" t="s">
        <v>45</v>
      </c>
      <c r="C243" s="851" t="s">
        <v>44</v>
      </c>
      <c r="D243" s="851" t="s">
        <v>266</v>
      </c>
      <c r="E243" s="313">
        <f>F243</f>
        <v>100000</v>
      </c>
      <c r="F243" s="167">
        <v>100000</v>
      </c>
      <c r="G243" s="167"/>
      <c r="H243" s="167"/>
      <c r="I243" s="167"/>
      <c r="J243" s="866">
        <f t="shared" si="189"/>
        <v>0</v>
      </c>
      <c r="K243" s="167"/>
      <c r="L243" s="761"/>
      <c r="M243" s="761"/>
      <c r="N243" s="761"/>
      <c r="O243" s="867">
        <f t="shared" si="192"/>
        <v>0</v>
      </c>
      <c r="P243" s="866">
        <f t="shared" si="193"/>
        <v>100000</v>
      </c>
      <c r="R243" s="195"/>
    </row>
    <row r="244" spans="1:18" ht="91.5" thickTop="1" thickBot="1" x14ac:dyDescent="0.25">
      <c r="A244" s="170" t="s">
        <v>957</v>
      </c>
      <c r="B244" s="871" t="s">
        <v>899</v>
      </c>
      <c r="C244" s="871"/>
      <c r="D244" s="417" t="s">
        <v>900</v>
      </c>
      <c r="E244" s="313">
        <f>SUM(E245:E249)-E245</f>
        <v>205029905</v>
      </c>
      <c r="F244" s="313">
        <f t="shared" ref="F244:O244" si="194">SUM(F245:F249)-F245</f>
        <v>205029905</v>
      </c>
      <c r="G244" s="313">
        <f t="shared" si="194"/>
        <v>0</v>
      </c>
      <c r="H244" s="313">
        <f t="shared" si="194"/>
        <v>5000</v>
      </c>
      <c r="I244" s="313">
        <f t="shared" si="194"/>
        <v>0</v>
      </c>
      <c r="J244" s="313">
        <f t="shared" si="194"/>
        <v>16068531</v>
      </c>
      <c r="K244" s="313">
        <f t="shared" si="194"/>
        <v>16068531</v>
      </c>
      <c r="L244" s="313">
        <f t="shared" si="194"/>
        <v>0</v>
      </c>
      <c r="M244" s="313">
        <f t="shared" si="194"/>
        <v>0</v>
      </c>
      <c r="N244" s="313">
        <f t="shared" si="194"/>
        <v>0</v>
      </c>
      <c r="O244" s="313">
        <f t="shared" si="194"/>
        <v>16068531</v>
      </c>
      <c r="P244" s="313">
        <f t="shared" ref="P244" si="195">SUM(P245:P249)-P245</f>
        <v>221098436</v>
      </c>
      <c r="R244" s="195"/>
    </row>
    <row r="245" spans="1:18" ht="184.5" thickTop="1" thickBot="1" x14ac:dyDescent="0.25">
      <c r="A245" s="879" t="s">
        <v>958</v>
      </c>
      <c r="B245" s="875" t="s">
        <v>949</v>
      </c>
      <c r="C245" s="875"/>
      <c r="D245" s="875" t="s">
        <v>950</v>
      </c>
      <c r="E245" s="430">
        <f>SUM(E246:E247)</f>
        <v>34561000</v>
      </c>
      <c r="F245" s="430">
        <f t="shared" ref="F245:P245" si="196">SUM(F246:F247)</f>
        <v>34561000</v>
      </c>
      <c r="G245" s="430">
        <f t="shared" si="196"/>
        <v>0</v>
      </c>
      <c r="H245" s="430">
        <f t="shared" si="196"/>
        <v>0</v>
      </c>
      <c r="I245" s="430">
        <f t="shared" si="196"/>
        <v>0</v>
      </c>
      <c r="J245" s="430">
        <f t="shared" si="196"/>
        <v>0</v>
      </c>
      <c r="K245" s="430">
        <f t="shared" si="196"/>
        <v>0</v>
      </c>
      <c r="L245" s="430">
        <f t="shared" si="196"/>
        <v>0</v>
      </c>
      <c r="M245" s="430">
        <f t="shared" si="196"/>
        <v>0</v>
      </c>
      <c r="N245" s="430">
        <f t="shared" si="196"/>
        <v>0</v>
      </c>
      <c r="O245" s="430">
        <f t="shared" si="196"/>
        <v>0</v>
      </c>
      <c r="P245" s="430">
        <f t="shared" si="196"/>
        <v>34561000</v>
      </c>
      <c r="R245" s="195"/>
    </row>
    <row r="246" spans="1:18" ht="184.5" thickTop="1" thickBot="1" x14ac:dyDescent="0.25">
      <c r="A246" s="851" t="s">
        <v>644</v>
      </c>
      <c r="B246" s="851" t="s">
        <v>403</v>
      </c>
      <c r="C246" s="851" t="s">
        <v>301</v>
      </c>
      <c r="D246" s="851" t="s">
        <v>404</v>
      </c>
      <c r="E246" s="313">
        <f t="shared" ref="E246:E258" si="197">F246</f>
        <v>31000000</v>
      </c>
      <c r="F246" s="167">
        <f>(28000000)+3000000</f>
        <v>31000000</v>
      </c>
      <c r="G246" s="167"/>
      <c r="H246" s="167"/>
      <c r="I246" s="167"/>
      <c r="J246" s="866">
        <f t="shared" si="189"/>
        <v>0</v>
      </c>
      <c r="K246" s="167"/>
      <c r="L246" s="761"/>
      <c r="M246" s="761"/>
      <c r="N246" s="761"/>
      <c r="O246" s="867">
        <f t="shared" si="192"/>
        <v>0</v>
      </c>
      <c r="P246" s="866">
        <f t="shared" si="193"/>
        <v>31000000</v>
      </c>
      <c r="R246" s="195"/>
    </row>
    <row r="247" spans="1:18" ht="138.75" thickTop="1" thickBot="1" x14ac:dyDescent="0.25">
      <c r="A247" s="851" t="s">
        <v>645</v>
      </c>
      <c r="B247" s="851" t="s">
        <v>304</v>
      </c>
      <c r="C247" s="851" t="s">
        <v>301</v>
      </c>
      <c r="D247" s="851" t="s">
        <v>305</v>
      </c>
      <c r="E247" s="313">
        <f t="shared" si="197"/>
        <v>3561000</v>
      </c>
      <c r="F247" s="167">
        <f>(3751000)-190000</f>
        <v>3561000</v>
      </c>
      <c r="G247" s="167"/>
      <c r="H247" s="167"/>
      <c r="I247" s="167"/>
      <c r="J247" s="866">
        <f t="shared" si="189"/>
        <v>0</v>
      </c>
      <c r="K247" s="167"/>
      <c r="L247" s="761"/>
      <c r="M247" s="761"/>
      <c r="N247" s="761"/>
      <c r="O247" s="867">
        <f t="shared" si="192"/>
        <v>0</v>
      </c>
      <c r="P247" s="866">
        <f t="shared" si="193"/>
        <v>3561000</v>
      </c>
      <c r="R247" s="195"/>
    </row>
    <row r="248" spans="1:18" ht="230.25" thickTop="1" thickBot="1" x14ac:dyDescent="0.25">
      <c r="A248" s="851" t="s">
        <v>646</v>
      </c>
      <c r="B248" s="851" t="s">
        <v>316</v>
      </c>
      <c r="C248" s="851" t="s">
        <v>301</v>
      </c>
      <c r="D248" s="851" t="s">
        <v>317</v>
      </c>
      <c r="E248" s="313">
        <f t="shared" si="197"/>
        <v>3430000</v>
      </c>
      <c r="F248" s="167">
        <f>-500000+((700000+2730000)+500000)</f>
        <v>3430000</v>
      </c>
      <c r="G248" s="167"/>
      <c r="H248" s="167"/>
      <c r="I248" s="167"/>
      <c r="J248" s="866">
        <f t="shared" si="189"/>
        <v>0</v>
      </c>
      <c r="K248" s="878"/>
      <c r="L248" s="167"/>
      <c r="M248" s="167"/>
      <c r="N248" s="167"/>
      <c r="O248" s="867">
        <f t="shared" si="192"/>
        <v>0</v>
      </c>
      <c r="P248" s="866">
        <f t="shared" ref="P248:P252" si="198">E248+J248</f>
        <v>3430000</v>
      </c>
      <c r="R248" s="195"/>
    </row>
    <row r="249" spans="1:18" ht="93" thickTop="1" thickBot="1" x14ac:dyDescent="0.25">
      <c r="A249" s="851" t="s">
        <v>647</v>
      </c>
      <c r="B249" s="851" t="s">
        <v>307</v>
      </c>
      <c r="C249" s="851" t="s">
        <v>301</v>
      </c>
      <c r="D249" s="851" t="s">
        <v>308</v>
      </c>
      <c r="E249" s="313">
        <f t="shared" si="197"/>
        <v>167038905</v>
      </c>
      <c r="F249" s="167">
        <f>113957+(((149686023)+1365600)+15873325)</f>
        <v>167038905</v>
      </c>
      <c r="G249" s="167"/>
      <c r="H249" s="167">
        <f>(50000)-45000</f>
        <v>5000</v>
      </c>
      <c r="I249" s="167"/>
      <c r="J249" s="866">
        <f t="shared" si="189"/>
        <v>16068531</v>
      </c>
      <c r="K249" s="878">
        <f>-421908+(((15915164)-1205016)+1780291)</f>
        <v>16068531</v>
      </c>
      <c r="L249" s="167"/>
      <c r="M249" s="167"/>
      <c r="N249" s="167"/>
      <c r="O249" s="867">
        <f t="shared" si="192"/>
        <v>16068531</v>
      </c>
      <c r="P249" s="866">
        <f t="shared" si="198"/>
        <v>183107436</v>
      </c>
      <c r="R249" s="125" t="b">
        <f>K249=[1]d6!J192+[1]d6!J193+[1]d6!J194+[1]d6!J195+[1]d6!J196+[1]d6!J197+[1]d6!J198+[1]d6!J199+[1]d6!J200+[1]d6!J201+[1]d6!J203+[1]d6!J204+[1]d6!J205+[1]d6!J206+[1]d6!J207+[1]d6!J208+[1]d6!J209</f>
        <v>1</v>
      </c>
    </row>
    <row r="250" spans="1:18" ht="47.25" thickTop="1" thickBot="1" x14ac:dyDescent="0.25">
      <c r="A250" s="170" t="s">
        <v>959</v>
      </c>
      <c r="B250" s="871" t="s">
        <v>905</v>
      </c>
      <c r="C250" s="871"/>
      <c r="D250" s="871" t="s">
        <v>906</v>
      </c>
      <c r="E250" s="313">
        <f>E251+E253+E256</f>
        <v>50079366</v>
      </c>
      <c r="F250" s="313">
        <f t="shared" ref="F250:P250" si="199">F251+F253+F256</f>
        <v>50079366</v>
      </c>
      <c r="G250" s="313">
        <f t="shared" si="199"/>
        <v>0</v>
      </c>
      <c r="H250" s="313">
        <f t="shared" si="199"/>
        <v>0</v>
      </c>
      <c r="I250" s="313">
        <f t="shared" si="199"/>
        <v>0</v>
      </c>
      <c r="J250" s="313">
        <f>J251+J253+J256</f>
        <v>136374176.61000001</v>
      </c>
      <c r="K250" s="313">
        <f t="shared" si="199"/>
        <v>134576639.57999998</v>
      </c>
      <c r="L250" s="313">
        <f t="shared" si="199"/>
        <v>140000</v>
      </c>
      <c r="M250" s="313">
        <f t="shared" si="199"/>
        <v>0</v>
      </c>
      <c r="N250" s="313">
        <f t="shared" si="199"/>
        <v>0</v>
      </c>
      <c r="O250" s="313">
        <f t="shared" si="199"/>
        <v>136234176.61000001</v>
      </c>
      <c r="P250" s="313">
        <f t="shared" si="199"/>
        <v>186453542.61000001</v>
      </c>
      <c r="R250" s="195"/>
    </row>
    <row r="251" spans="1:18" ht="91.5" thickTop="1" thickBot="1" x14ac:dyDescent="0.25">
      <c r="A251" s="872" t="s">
        <v>960</v>
      </c>
      <c r="B251" s="872" t="s">
        <v>961</v>
      </c>
      <c r="C251" s="872"/>
      <c r="D251" s="872" t="s">
        <v>962</v>
      </c>
      <c r="E251" s="429">
        <f>E252</f>
        <v>0</v>
      </c>
      <c r="F251" s="429">
        <f t="shared" ref="F251:P251" si="200">F252</f>
        <v>0</v>
      </c>
      <c r="G251" s="429">
        <f t="shared" si="200"/>
        <v>0</v>
      </c>
      <c r="H251" s="429">
        <f t="shared" si="200"/>
        <v>0</v>
      </c>
      <c r="I251" s="429">
        <f t="shared" si="200"/>
        <v>0</v>
      </c>
      <c r="J251" s="429">
        <f t="shared" si="200"/>
        <v>5950000</v>
      </c>
      <c r="K251" s="429">
        <f t="shared" si="200"/>
        <v>5950000</v>
      </c>
      <c r="L251" s="429">
        <f t="shared" si="200"/>
        <v>0</v>
      </c>
      <c r="M251" s="429">
        <f t="shared" si="200"/>
        <v>0</v>
      </c>
      <c r="N251" s="429">
        <f t="shared" si="200"/>
        <v>0</v>
      </c>
      <c r="O251" s="429">
        <f t="shared" si="200"/>
        <v>5950000</v>
      </c>
      <c r="P251" s="429">
        <f t="shared" si="200"/>
        <v>5950000</v>
      </c>
      <c r="R251" s="195"/>
    </row>
    <row r="252" spans="1:18" ht="99.75" thickTop="1" thickBot="1" x14ac:dyDescent="0.25">
      <c r="A252" s="851" t="s">
        <v>648</v>
      </c>
      <c r="B252" s="851" t="s">
        <v>324</v>
      </c>
      <c r="C252" s="851" t="s">
        <v>323</v>
      </c>
      <c r="D252" s="851" t="s">
        <v>777</v>
      </c>
      <c r="E252" s="313">
        <f t="shared" si="197"/>
        <v>0</v>
      </c>
      <c r="F252" s="167"/>
      <c r="G252" s="167"/>
      <c r="H252" s="167"/>
      <c r="I252" s="167"/>
      <c r="J252" s="866">
        <f>L252+O252</f>
        <v>5950000</v>
      </c>
      <c r="K252" s="878">
        <f>650000+(((5200000)+1080522)-980522)</f>
        <v>5950000</v>
      </c>
      <c r="L252" s="167"/>
      <c r="M252" s="167"/>
      <c r="N252" s="167"/>
      <c r="O252" s="867">
        <f>K252</f>
        <v>5950000</v>
      </c>
      <c r="P252" s="866">
        <f t="shared" si="198"/>
        <v>5950000</v>
      </c>
      <c r="R252" s="125" t="b">
        <f>K252=[1]d6!J211+[1]d6!J212+[1]d6!J214+[1]d6!J218+[1]d6!J219</f>
        <v>1</v>
      </c>
    </row>
    <row r="253" spans="1:18" ht="136.5" thickTop="1" thickBot="1" x14ac:dyDescent="0.25">
      <c r="A253" s="872" t="s">
        <v>963</v>
      </c>
      <c r="B253" s="872" t="s">
        <v>964</v>
      </c>
      <c r="C253" s="872"/>
      <c r="D253" s="872" t="s">
        <v>965</v>
      </c>
      <c r="E253" s="429">
        <f t="shared" ref="E253:P254" si="201">E254</f>
        <v>50079366</v>
      </c>
      <c r="F253" s="429">
        <f t="shared" si="201"/>
        <v>50079366</v>
      </c>
      <c r="G253" s="429">
        <f t="shared" si="201"/>
        <v>0</v>
      </c>
      <c r="H253" s="429">
        <f t="shared" si="201"/>
        <v>0</v>
      </c>
      <c r="I253" s="429">
        <f t="shared" si="201"/>
        <v>0</v>
      </c>
      <c r="J253" s="429">
        <f t="shared" si="201"/>
        <v>64664228.030000001</v>
      </c>
      <c r="K253" s="429">
        <f t="shared" si="201"/>
        <v>64537213</v>
      </c>
      <c r="L253" s="429">
        <f t="shared" si="201"/>
        <v>0</v>
      </c>
      <c r="M253" s="429">
        <f t="shared" si="201"/>
        <v>0</v>
      </c>
      <c r="N253" s="429">
        <f t="shared" si="201"/>
        <v>0</v>
      </c>
      <c r="O253" s="429">
        <f t="shared" si="201"/>
        <v>64664228.030000001</v>
      </c>
      <c r="P253" s="429">
        <f t="shared" si="201"/>
        <v>114743594.03</v>
      </c>
      <c r="R253" s="195"/>
    </row>
    <row r="254" spans="1:18" ht="138.75" thickTop="1" thickBot="1" x14ac:dyDescent="0.25">
      <c r="A254" s="851" t="s">
        <v>1224</v>
      </c>
      <c r="B254" s="879" t="s">
        <v>1225</v>
      </c>
      <c r="C254" s="872"/>
      <c r="D254" s="879" t="s">
        <v>1226</v>
      </c>
      <c r="E254" s="430">
        <f t="shared" si="201"/>
        <v>50079366</v>
      </c>
      <c r="F254" s="430">
        <f t="shared" si="201"/>
        <v>50079366</v>
      </c>
      <c r="G254" s="430">
        <f t="shared" si="201"/>
        <v>0</v>
      </c>
      <c r="H254" s="430">
        <f t="shared" si="201"/>
        <v>0</v>
      </c>
      <c r="I254" s="430">
        <f t="shared" si="201"/>
        <v>0</v>
      </c>
      <c r="J254" s="430">
        <f t="shared" si="201"/>
        <v>64664228.030000001</v>
      </c>
      <c r="K254" s="430">
        <f t="shared" si="201"/>
        <v>64537213</v>
      </c>
      <c r="L254" s="430">
        <f t="shared" si="201"/>
        <v>0</v>
      </c>
      <c r="M254" s="430">
        <f t="shared" si="201"/>
        <v>0</v>
      </c>
      <c r="N254" s="430">
        <f t="shared" si="201"/>
        <v>0</v>
      </c>
      <c r="O254" s="430">
        <f t="shared" si="201"/>
        <v>64664228.030000001</v>
      </c>
      <c r="P254" s="430">
        <f t="shared" si="201"/>
        <v>114743594.03</v>
      </c>
      <c r="R254" s="195"/>
    </row>
    <row r="255" spans="1:18" ht="230.25" thickTop="1" thickBot="1" x14ac:dyDescent="0.25">
      <c r="A255" s="851" t="s">
        <v>649</v>
      </c>
      <c r="B255" s="851" t="s">
        <v>312</v>
      </c>
      <c r="C255" s="851" t="s">
        <v>314</v>
      </c>
      <c r="D255" s="851" t="s">
        <v>313</v>
      </c>
      <c r="E255" s="313">
        <f t="shared" si="197"/>
        <v>50079366</v>
      </c>
      <c r="F255" s="167">
        <f>((48273558)+4594808)-2789000</f>
        <v>50079366</v>
      </c>
      <c r="G255" s="167"/>
      <c r="H255" s="167"/>
      <c r="I255" s="167"/>
      <c r="J255" s="866">
        <f t="shared" si="189"/>
        <v>64664228.030000001</v>
      </c>
      <c r="K255" s="167">
        <f>(16932021+60000000)-5594808-6800000</f>
        <v>64537213</v>
      </c>
      <c r="L255" s="761"/>
      <c r="M255" s="761"/>
      <c r="N255" s="761"/>
      <c r="O255" s="867">
        <f>K255+127015.03</f>
        <v>64664228.030000001</v>
      </c>
      <c r="P255" s="866">
        <f>+J255+E255</f>
        <v>114743594.03</v>
      </c>
      <c r="R255" s="125" t="b">
        <f>K255=[1]d6!J220</f>
        <v>1</v>
      </c>
    </row>
    <row r="256" spans="1:18" ht="136.5" thickTop="1" thickBot="1" x14ac:dyDescent="0.25">
      <c r="A256" s="872" t="s">
        <v>966</v>
      </c>
      <c r="B256" s="872" t="s">
        <v>847</v>
      </c>
      <c r="C256" s="872"/>
      <c r="D256" s="872" t="s">
        <v>845</v>
      </c>
      <c r="E256" s="429">
        <f>SUM(E257:E261)-E259</f>
        <v>0</v>
      </c>
      <c r="F256" s="429">
        <f t="shared" ref="F256:I256" si="202">SUM(F257:F261)-F259</f>
        <v>0</v>
      </c>
      <c r="G256" s="429">
        <f t="shared" si="202"/>
        <v>0</v>
      </c>
      <c r="H256" s="429">
        <f t="shared" si="202"/>
        <v>0</v>
      </c>
      <c r="I256" s="429">
        <f t="shared" si="202"/>
        <v>0</v>
      </c>
      <c r="J256" s="429">
        <f>SUM(J257:J261)-J259</f>
        <v>65759948.579999998</v>
      </c>
      <c r="K256" s="429">
        <f t="shared" ref="K256:P256" si="203">SUM(K257:K261)-K259</f>
        <v>64089426.579999998</v>
      </c>
      <c r="L256" s="429">
        <f t="shared" si="203"/>
        <v>140000</v>
      </c>
      <c r="M256" s="429">
        <f t="shared" si="203"/>
        <v>0</v>
      </c>
      <c r="N256" s="429">
        <f t="shared" si="203"/>
        <v>0</v>
      </c>
      <c r="O256" s="429">
        <f t="shared" si="203"/>
        <v>65619948.579999998</v>
      </c>
      <c r="P256" s="429">
        <f t="shared" si="203"/>
        <v>65759948.579999998</v>
      </c>
      <c r="R256" s="125"/>
    </row>
    <row r="257" spans="1:18" ht="48" thickTop="1" thickBot="1" x14ac:dyDescent="0.25">
      <c r="A257" s="851" t="s">
        <v>650</v>
      </c>
      <c r="B257" s="851" t="s">
        <v>230</v>
      </c>
      <c r="C257" s="851" t="s">
        <v>231</v>
      </c>
      <c r="D257" s="851" t="s">
        <v>43</v>
      </c>
      <c r="E257" s="313">
        <f t="shared" si="197"/>
        <v>0</v>
      </c>
      <c r="F257" s="167"/>
      <c r="G257" s="167"/>
      <c r="H257" s="167"/>
      <c r="I257" s="167"/>
      <c r="J257" s="866">
        <f t="shared" si="189"/>
        <v>20549522.579999998</v>
      </c>
      <c r="K257" s="878">
        <f>(18508795.58)+2040727</f>
        <v>20549522.579999998</v>
      </c>
      <c r="L257" s="167"/>
      <c r="M257" s="167"/>
      <c r="N257" s="167"/>
      <c r="O257" s="867">
        <f t="shared" si="192"/>
        <v>20549522.579999998</v>
      </c>
      <c r="P257" s="866">
        <f>E257+J257</f>
        <v>20549522.579999998</v>
      </c>
      <c r="R257" s="125" t="b">
        <f>K257=[1]d6!J221</f>
        <v>1</v>
      </c>
    </row>
    <row r="258" spans="1:18" ht="93" thickTop="1" thickBot="1" x14ac:dyDescent="0.25">
      <c r="A258" s="851" t="s">
        <v>651</v>
      </c>
      <c r="B258" s="851" t="s">
        <v>215</v>
      </c>
      <c r="C258" s="851" t="s">
        <v>184</v>
      </c>
      <c r="D258" s="851" t="s">
        <v>36</v>
      </c>
      <c r="E258" s="313">
        <f t="shared" si="197"/>
        <v>0</v>
      </c>
      <c r="F258" s="167"/>
      <c r="G258" s="167"/>
      <c r="H258" s="167"/>
      <c r="I258" s="167"/>
      <c r="J258" s="866">
        <f t="shared" si="189"/>
        <v>43539904</v>
      </c>
      <c r="K258" s="878">
        <f>-28935+(((14547011+1000000)+25241713)+2780115)</f>
        <v>43539904</v>
      </c>
      <c r="L258" s="167"/>
      <c r="M258" s="167"/>
      <c r="N258" s="167"/>
      <c r="O258" s="867">
        <f t="shared" si="192"/>
        <v>43539904</v>
      </c>
      <c r="P258" s="866">
        <f>E258+J258</f>
        <v>43539904</v>
      </c>
      <c r="R258" s="125" t="b">
        <f>K258=[1]d6!J223+[1]d6!J224+[1]d6!J225+[1]d6!J226+[1]d6!J227+[1]d6!J228+[1]d6!J229+[1]d6!J231+[1]d6!J233+[1]d6!J235+[1]d6!J236+[1]d6!J237+[1]d6!J238+[1]d6!J239+[1]d6!J240+[1]d6!J241+[1]d6!J242+[1]d6!J243+[1]d6!J244+[1]d6!J245+[1]d6!J246+[1]d6!J247+[1]d6!J248+[1]d6!J249+[1]d6!J250+[1]d6!J251+[1]d6!J254+[1]d6!J255+[1]d6!J256+[1]d6!J257+[1]d6!J258+[1]d6!J259+[1]d6!J260+[1]d6!J261+[1]d6!J262+[1]d6!J263+[1]d6!J264+[1]d6!J265+[1]d6!J266+[1]d6!J267+[1]d6!J268+[1]d6!J269</f>
        <v>1</v>
      </c>
    </row>
    <row r="259" spans="1:18" ht="48" thickTop="1" thickBot="1" x14ac:dyDescent="0.25">
      <c r="A259" s="879" t="s">
        <v>967</v>
      </c>
      <c r="B259" s="879" t="s">
        <v>850</v>
      </c>
      <c r="C259" s="879"/>
      <c r="D259" s="879" t="s">
        <v>955</v>
      </c>
      <c r="E259" s="430">
        <f>E260</f>
        <v>0</v>
      </c>
      <c r="F259" s="430">
        <f t="shared" ref="F259:P259" si="204">F260</f>
        <v>0</v>
      </c>
      <c r="G259" s="430">
        <f t="shared" si="204"/>
        <v>0</v>
      </c>
      <c r="H259" s="430">
        <f t="shared" si="204"/>
        <v>0</v>
      </c>
      <c r="I259" s="430">
        <f t="shared" si="204"/>
        <v>0</v>
      </c>
      <c r="J259" s="430">
        <f t="shared" si="204"/>
        <v>1670522</v>
      </c>
      <c r="K259" s="430">
        <f t="shared" si="204"/>
        <v>0</v>
      </c>
      <c r="L259" s="430">
        <f t="shared" si="204"/>
        <v>140000</v>
      </c>
      <c r="M259" s="430">
        <f t="shared" si="204"/>
        <v>0</v>
      </c>
      <c r="N259" s="430">
        <f t="shared" si="204"/>
        <v>0</v>
      </c>
      <c r="O259" s="430">
        <f t="shared" si="204"/>
        <v>1530522</v>
      </c>
      <c r="P259" s="430">
        <f t="shared" si="204"/>
        <v>1670522</v>
      </c>
      <c r="R259" s="195"/>
    </row>
    <row r="260" spans="1:18" ht="409.6" thickTop="1" thickBot="1" x14ac:dyDescent="0.7">
      <c r="A260" s="1093" t="s">
        <v>652</v>
      </c>
      <c r="B260" s="1093" t="s">
        <v>363</v>
      </c>
      <c r="C260" s="1093" t="s">
        <v>184</v>
      </c>
      <c r="D260" s="315" t="s">
        <v>473</v>
      </c>
      <c r="E260" s="1176"/>
      <c r="F260" s="1089"/>
      <c r="G260" s="1089"/>
      <c r="H260" s="1089"/>
      <c r="I260" s="1089"/>
      <c r="J260" s="1176">
        <f t="shared" si="189"/>
        <v>1670522</v>
      </c>
      <c r="K260" s="1089"/>
      <c r="L260" s="1089">
        <f>((190000)-50000)</f>
        <v>140000</v>
      </c>
      <c r="M260" s="1089"/>
      <c r="N260" s="1089"/>
      <c r="O260" s="1178">
        <f>500000+((K260+50000)+980522)</f>
        <v>1530522</v>
      </c>
      <c r="P260" s="1180">
        <f>E260+J260</f>
        <v>1670522</v>
      </c>
      <c r="R260" s="195"/>
    </row>
    <row r="261" spans="1:18" ht="184.5" thickTop="1" thickBot="1" x14ac:dyDescent="0.25">
      <c r="A261" s="1093"/>
      <c r="B261" s="1093"/>
      <c r="C261" s="1093"/>
      <c r="D261" s="317" t="s">
        <v>474</v>
      </c>
      <c r="E261" s="1176"/>
      <c r="F261" s="1089"/>
      <c r="G261" s="1089"/>
      <c r="H261" s="1089"/>
      <c r="I261" s="1089"/>
      <c r="J261" s="1176"/>
      <c r="K261" s="1089"/>
      <c r="L261" s="1089"/>
      <c r="M261" s="1089"/>
      <c r="N261" s="1089"/>
      <c r="O261" s="1178"/>
      <c r="P261" s="1180"/>
      <c r="R261" s="195"/>
    </row>
    <row r="262" spans="1:18" ht="47.25" thickTop="1" thickBot="1" x14ac:dyDescent="0.25">
      <c r="A262" s="170" t="s">
        <v>968</v>
      </c>
      <c r="B262" s="170" t="s">
        <v>852</v>
      </c>
      <c r="C262" s="170"/>
      <c r="D262" s="433" t="s">
        <v>853</v>
      </c>
      <c r="E262" s="866">
        <f>E263</f>
        <v>2456178</v>
      </c>
      <c r="F262" s="866">
        <f t="shared" ref="F262:P262" si="205">F263</f>
        <v>2456178</v>
      </c>
      <c r="G262" s="866">
        <f t="shared" si="205"/>
        <v>1719659</v>
      </c>
      <c r="H262" s="866">
        <f t="shared" si="205"/>
        <v>19785</v>
      </c>
      <c r="I262" s="866">
        <f t="shared" si="205"/>
        <v>0</v>
      </c>
      <c r="J262" s="866">
        <f t="shared" si="205"/>
        <v>32000</v>
      </c>
      <c r="K262" s="866">
        <f t="shared" si="205"/>
        <v>32000</v>
      </c>
      <c r="L262" s="866">
        <f t="shared" si="205"/>
        <v>0</v>
      </c>
      <c r="M262" s="866">
        <f t="shared" si="205"/>
        <v>0</v>
      </c>
      <c r="N262" s="866">
        <f t="shared" si="205"/>
        <v>0</v>
      </c>
      <c r="O262" s="866">
        <f t="shared" si="205"/>
        <v>32000</v>
      </c>
      <c r="P262" s="866">
        <f t="shared" si="205"/>
        <v>2488178</v>
      </c>
      <c r="R262" s="195"/>
    </row>
    <row r="263" spans="1:18" ht="181.5" thickTop="1" thickBot="1" x14ac:dyDescent="0.25">
      <c r="A263" s="872" t="s">
        <v>970</v>
      </c>
      <c r="B263" s="872" t="s">
        <v>971</v>
      </c>
      <c r="C263" s="872"/>
      <c r="D263" s="434" t="s">
        <v>969</v>
      </c>
      <c r="E263" s="873">
        <f>SUM(E264:E266)</f>
        <v>2456178</v>
      </c>
      <c r="F263" s="873">
        <f t="shared" ref="F263:P263" si="206">SUM(F264:F266)</f>
        <v>2456178</v>
      </c>
      <c r="G263" s="873">
        <f t="shared" si="206"/>
        <v>1719659</v>
      </c>
      <c r="H263" s="873">
        <f t="shared" si="206"/>
        <v>19785</v>
      </c>
      <c r="I263" s="873">
        <f t="shared" si="206"/>
        <v>0</v>
      </c>
      <c r="J263" s="873">
        <f t="shared" si="206"/>
        <v>32000</v>
      </c>
      <c r="K263" s="873">
        <f t="shared" si="206"/>
        <v>32000</v>
      </c>
      <c r="L263" s="873">
        <f t="shared" si="206"/>
        <v>0</v>
      </c>
      <c r="M263" s="873">
        <f t="shared" si="206"/>
        <v>0</v>
      </c>
      <c r="N263" s="873">
        <f t="shared" si="206"/>
        <v>0</v>
      </c>
      <c r="O263" s="873">
        <f t="shared" si="206"/>
        <v>32000</v>
      </c>
      <c r="P263" s="873">
        <f t="shared" si="206"/>
        <v>2488178</v>
      </c>
      <c r="R263" s="195"/>
    </row>
    <row r="264" spans="1:18" ht="184.5" thickTop="1" thickBot="1" x14ac:dyDescent="0.25">
      <c r="A264" s="851" t="s">
        <v>653</v>
      </c>
      <c r="B264" s="851" t="s">
        <v>565</v>
      </c>
      <c r="C264" s="851" t="s">
        <v>269</v>
      </c>
      <c r="D264" s="851" t="s">
        <v>566</v>
      </c>
      <c r="E264" s="313">
        <f>F264</f>
        <v>108400</v>
      </c>
      <c r="F264" s="167">
        <v>108400</v>
      </c>
      <c r="G264" s="167"/>
      <c r="H264" s="167"/>
      <c r="I264" s="167"/>
      <c r="J264" s="866">
        <f>L264+O264</f>
        <v>0</v>
      </c>
      <c r="K264" s="878"/>
      <c r="L264" s="167"/>
      <c r="M264" s="167"/>
      <c r="N264" s="167"/>
      <c r="O264" s="867">
        <f>K264</f>
        <v>0</v>
      </c>
      <c r="P264" s="866">
        <f>E264+J264</f>
        <v>108400</v>
      </c>
      <c r="R264" s="195"/>
    </row>
    <row r="265" spans="1:18" ht="93" thickTop="1" thickBot="1" x14ac:dyDescent="0.25">
      <c r="A265" s="851" t="s">
        <v>654</v>
      </c>
      <c r="B265" s="851" t="s">
        <v>268</v>
      </c>
      <c r="C265" s="851" t="s">
        <v>269</v>
      </c>
      <c r="D265" s="851" t="s">
        <v>267</v>
      </c>
      <c r="E265" s="313">
        <f t="shared" ref="E265:E266" si="207">F265</f>
        <v>2347778</v>
      </c>
      <c r="F265" s="167">
        <f>-69200-15200-10000-10000+((1833178+1219000)-600000)</f>
        <v>2347778</v>
      </c>
      <c r="G265" s="167">
        <f>-69200+(((1494859)+894000)-600000)</f>
        <v>1719659</v>
      </c>
      <c r="H265" s="167">
        <f>-10000+((20785)+9000)</f>
        <v>19785</v>
      </c>
      <c r="I265" s="167"/>
      <c r="J265" s="866">
        <f>L265+O265</f>
        <v>32000</v>
      </c>
      <c r="K265" s="878">
        <v>32000</v>
      </c>
      <c r="L265" s="167"/>
      <c r="M265" s="167"/>
      <c r="N265" s="167"/>
      <c r="O265" s="867">
        <f>K265</f>
        <v>32000</v>
      </c>
      <c r="P265" s="866">
        <f>E265+J265</f>
        <v>2379778</v>
      </c>
      <c r="R265" s="849" t="b">
        <f>K265=[1]d6!J270</f>
        <v>1</v>
      </c>
    </row>
    <row r="266" spans="1:18" ht="93" hidden="1" thickTop="1" thickBot="1" x14ac:dyDescent="0.25">
      <c r="A266" s="900" t="s">
        <v>655</v>
      </c>
      <c r="B266" s="900" t="s">
        <v>656</v>
      </c>
      <c r="C266" s="900" t="s">
        <v>269</v>
      </c>
      <c r="D266" s="900" t="s">
        <v>657</v>
      </c>
      <c r="E266" s="901">
        <f t="shared" si="207"/>
        <v>0</v>
      </c>
      <c r="F266" s="902">
        <f>(1219000)-1219000</f>
        <v>0</v>
      </c>
      <c r="G266" s="902">
        <f>(354000+540000)-894000</f>
        <v>0</v>
      </c>
      <c r="H266" s="902">
        <f>(6000+3000)-9000</f>
        <v>0</v>
      </c>
      <c r="I266" s="902"/>
      <c r="J266" s="883">
        <f>L266+O266</f>
        <v>0</v>
      </c>
      <c r="K266" s="884"/>
      <c r="L266" s="903"/>
      <c r="M266" s="903"/>
      <c r="N266" s="903"/>
      <c r="O266" s="885">
        <f>K266</f>
        <v>0</v>
      </c>
      <c r="P266" s="883">
        <f>E266+J266</f>
        <v>0</v>
      </c>
      <c r="R266" s="195"/>
    </row>
    <row r="267" spans="1:18" ht="316.5" thickTop="1" thickBot="1" x14ac:dyDescent="0.25">
      <c r="A267" s="766" t="s">
        <v>25</v>
      </c>
      <c r="B267" s="766"/>
      <c r="C267" s="766"/>
      <c r="D267" s="767" t="s">
        <v>400</v>
      </c>
      <c r="E267" s="768">
        <f>E268</f>
        <v>3171607</v>
      </c>
      <c r="F267" s="769">
        <f t="shared" ref="F267:G267" si="208">F268</f>
        <v>3171607</v>
      </c>
      <c r="G267" s="769">
        <f t="shared" si="208"/>
        <v>2187850</v>
      </c>
      <c r="H267" s="769">
        <f>H268</f>
        <v>86370</v>
      </c>
      <c r="I267" s="769">
        <f t="shared" ref="I267" si="209">I268</f>
        <v>0</v>
      </c>
      <c r="J267" s="768">
        <f>J268</f>
        <v>265150566.50999999</v>
      </c>
      <c r="K267" s="769">
        <f>K268</f>
        <v>263650566.50999999</v>
      </c>
      <c r="L267" s="769">
        <f>L268</f>
        <v>0</v>
      </c>
      <c r="M267" s="769">
        <f t="shared" ref="M267" si="210">M268</f>
        <v>0</v>
      </c>
      <c r="N267" s="769">
        <f>N268</f>
        <v>0</v>
      </c>
      <c r="O267" s="768">
        <f>O268</f>
        <v>265150566.50999999</v>
      </c>
      <c r="P267" s="769">
        <f t="shared" ref="P267" si="211">P268</f>
        <v>268322173.50999999</v>
      </c>
    </row>
    <row r="268" spans="1:18" ht="181.5" thickTop="1" thickBot="1" x14ac:dyDescent="0.25">
      <c r="A268" s="863" t="s">
        <v>26</v>
      </c>
      <c r="B268" s="863"/>
      <c r="C268" s="863"/>
      <c r="D268" s="864" t="s">
        <v>1065</v>
      </c>
      <c r="E268" s="865">
        <f>E269+E273+E276</f>
        <v>3171607</v>
      </c>
      <c r="F268" s="865">
        <f t="shared" ref="F268:I268" si="212">F269+F273+F276</f>
        <v>3171607</v>
      </c>
      <c r="G268" s="865">
        <f t="shared" si="212"/>
        <v>2187850</v>
      </c>
      <c r="H268" s="865">
        <f t="shared" si="212"/>
        <v>86370</v>
      </c>
      <c r="I268" s="865">
        <f t="shared" si="212"/>
        <v>0</v>
      </c>
      <c r="J268" s="865">
        <f>L268+O268</f>
        <v>265150566.50999999</v>
      </c>
      <c r="K268" s="865">
        <f t="shared" ref="K268:O268" si="213">K269+K273+K276</f>
        <v>263650566.50999999</v>
      </c>
      <c r="L268" s="865">
        <f t="shared" si="213"/>
        <v>0</v>
      </c>
      <c r="M268" s="865">
        <f t="shared" si="213"/>
        <v>0</v>
      </c>
      <c r="N268" s="865">
        <f t="shared" si="213"/>
        <v>0</v>
      </c>
      <c r="O268" s="865">
        <f t="shared" si="213"/>
        <v>265150566.50999999</v>
      </c>
      <c r="P268" s="865">
        <f t="shared" ref="P268:P284" si="214">E268+J268</f>
        <v>268322173.50999999</v>
      </c>
      <c r="Q268" s="125" t="b">
        <f>P268=P280+P282+P283+P270+P284+P275+P281+P271+P278+P272+P287</f>
        <v>1</v>
      </c>
      <c r="R268" s="849" t="b">
        <f>K268=[1]d6!J272</f>
        <v>1</v>
      </c>
    </row>
    <row r="269" spans="1:18" ht="47.25" thickTop="1" thickBot="1" x14ac:dyDescent="0.25">
      <c r="A269" s="170" t="s">
        <v>972</v>
      </c>
      <c r="B269" s="170" t="s">
        <v>840</v>
      </c>
      <c r="C269" s="170"/>
      <c r="D269" s="170" t="s">
        <v>841</v>
      </c>
      <c r="E269" s="866">
        <f t="shared" ref="E269:P269" si="215">SUM(E270:E272)</f>
        <v>3171607</v>
      </c>
      <c r="F269" s="866">
        <f t="shared" si="215"/>
        <v>3171607</v>
      </c>
      <c r="G269" s="866">
        <f t="shared" si="215"/>
        <v>2187850</v>
      </c>
      <c r="H269" s="866">
        <f t="shared" si="215"/>
        <v>86370</v>
      </c>
      <c r="I269" s="866">
        <f t="shared" si="215"/>
        <v>0</v>
      </c>
      <c r="J269" s="866">
        <f t="shared" si="215"/>
        <v>0</v>
      </c>
      <c r="K269" s="866">
        <f t="shared" si="215"/>
        <v>0</v>
      </c>
      <c r="L269" s="866">
        <f t="shared" si="215"/>
        <v>0</v>
      </c>
      <c r="M269" s="866">
        <f t="shared" si="215"/>
        <v>0</v>
      </c>
      <c r="N269" s="866">
        <f t="shared" si="215"/>
        <v>0</v>
      </c>
      <c r="O269" s="866">
        <f t="shared" si="215"/>
        <v>0</v>
      </c>
      <c r="P269" s="866">
        <f t="shared" si="215"/>
        <v>3171607</v>
      </c>
      <c r="Q269" s="125"/>
      <c r="R269" s="849"/>
    </row>
    <row r="270" spans="1:18" ht="230.25" thickTop="1" thickBot="1" x14ac:dyDescent="0.25">
      <c r="A270" s="851" t="s">
        <v>445</v>
      </c>
      <c r="B270" s="851" t="s">
        <v>254</v>
      </c>
      <c r="C270" s="851" t="s">
        <v>252</v>
      </c>
      <c r="D270" s="851" t="s">
        <v>253</v>
      </c>
      <c r="E270" s="866">
        <f>F270</f>
        <v>3016607</v>
      </c>
      <c r="F270" s="878">
        <f>-180000-70000+7000-50000+((2367850+520950+61660+322000+2000+1570+24500+53300+1610+1075-5000)-145008-1000+1000+49750+17000+10000+20835+3015+1000+1500)</f>
        <v>3016607</v>
      </c>
      <c r="G270" s="878">
        <f>-180000+(2367850)</f>
        <v>2187850</v>
      </c>
      <c r="H270" s="878">
        <f>7000+(1570+24500+53300)</f>
        <v>86370</v>
      </c>
      <c r="I270" s="878"/>
      <c r="J270" s="866">
        <f t="shared" ref="J270:J284" si="216">L270+O270</f>
        <v>0</v>
      </c>
      <c r="K270" s="878"/>
      <c r="L270" s="878"/>
      <c r="M270" s="878"/>
      <c r="N270" s="878"/>
      <c r="O270" s="867">
        <f>K270</f>
        <v>0</v>
      </c>
      <c r="P270" s="866">
        <f t="shared" si="214"/>
        <v>3016607</v>
      </c>
      <c r="Q270" s="194"/>
      <c r="R270" s="195"/>
    </row>
    <row r="271" spans="1:18" ht="184.5" thickTop="1" thickBot="1" x14ac:dyDescent="0.25">
      <c r="A271" s="852" t="s">
        <v>785</v>
      </c>
      <c r="B271" s="852" t="s">
        <v>388</v>
      </c>
      <c r="C271" s="852" t="s">
        <v>775</v>
      </c>
      <c r="D271" s="852" t="s">
        <v>776</v>
      </c>
      <c r="E271" s="313">
        <f>F271</f>
        <v>5000</v>
      </c>
      <c r="F271" s="167">
        <v>5000</v>
      </c>
      <c r="G271" s="167"/>
      <c r="H271" s="167"/>
      <c r="I271" s="167"/>
      <c r="J271" s="866">
        <f t="shared" si="216"/>
        <v>0</v>
      </c>
      <c r="K271" s="167"/>
      <c r="L271" s="761"/>
      <c r="M271" s="761"/>
      <c r="N271" s="761"/>
      <c r="O271" s="867">
        <f t="shared" ref="O271:O272" si="217">K271</f>
        <v>0</v>
      </c>
      <c r="P271" s="866">
        <f t="shared" ref="P271:P272" si="218">+J271+E271</f>
        <v>5000</v>
      </c>
      <c r="Q271" s="194"/>
      <c r="R271" s="195"/>
    </row>
    <row r="272" spans="1:18" ht="93" thickTop="1" thickBot="1" x14ac:dyDescent="0.25">
      <c r="A272" s="852" t="s">
        <v>1151</v>
      </c>
      <c r="B272" s="852" t="s">
        <v>45</v>
      </c>
      <c r="C272" s="852" t="s">
        <v>44</v>
      </c>
      <c r="D272" s="852" t="s">
        <v>266</v>
      </c>
      <c r="E272" s="313">
        <f>F272</f>
        <v>150000</v>
      </c>
      <c r="F272" s="167">
        <v>150000</v>
      </c>
      <c r="G272" s="167"/>
      <c r="H272" s="167"/>
      <c r="I272" s="167"/>
      <c r="J272" s="866">
        <f t="shared" si="216"/>
        <v>0</v>
      </c>
      <c r="K272" s="167"/>
      <c r="L272" s="761"/>
      <c r="M272" s="761"/>
      <c r="N272" s="761"/>
      <c r="O272" s="867">
        <f t="shared" si="217"/>
        <v>0</v>
      </c>
      <c r="P272" s="866">
        <f t="shared" si="218"/>
        <v>150000</v>
      </c>
      <c r="Q272" s="194"/>
      <c r="R272" s="195"/>
    </row>
    <row r="273" spans="1:18" ht="47.25" thickTop="1" thickBot="1" x14ac:dyDescent="0.25">
      <c r="A273" s="170" t="s">
        <v>973</v>
      </c>
      <c r="B273" s="170" t="s">
        <v>928</v>
      </c>
      <c r="C273" s="851"/>
      <c r="D273" s="170" t="s">
        <v>929</v>
      </c>
      <c r="E273" s="313">
        <f>E274</f>
        <v>0</v>
      </c>
      <c r="F273" s="313">
        <f t="shared" ref="F273:P274" si="219">F274</f>
        <v>0</v>
      </c>
      <c r="G273" s="313">
        <f t="shared" si="219"/>
        <v>0</v>
      </c>
      <c r="H273" s="313">
        <f t="shared" si="219"/>
        <v>0</v>
      </c>
      <c r="I273" s="313">
        <f t="shared" si="219"/>
        <v>0</v>
      </c>
      <c r="J273" s="313">
        <f t="shared" si="219"/>
        <v>112000000</v>
      </c>
      <c r="K273" s="313">
        <f t="shared" si="219"/>
        <v>112000000</v>
      </c>
      <c r="L273" s="313">
        <f t="shared" si="219"/>
        <v>0</v>
      </c>
      <c r="M273" s="313">
        <f t="shared" si="219"/>
        <v>0</v>
      </c>
      <c r="N273" s="313">
        <f t="shared" si="219"/>
        <v>0</v>
      </c>
      <c r="O273" s="313">
        <f t="shared" si="219"/>
        <v>112000000</v>
      </c>
      <c r="P273" s="313">
        <f t="shared" si="219"/>
        <v>112000000</v>
      </c>
      <c r="Q273" s="194"/>
      <c r="R273" s="195"/>
    </row>
    <row r="274" spans="1:18" ht="93" thickTop="1" thickBot="1" x14ac:dyDescent="0.25">
      <c r="A274" s="879" t="s">
        <v>974</v>
      </c>
      <c r="B274" s="879" t="s">
        <v>975</v>
      </c>
      <c r="C274" s="879"/>
      <c r="D274" s="879" t="s">
        <v>976</v>
      </c>
      <c r="E274" s="430">
        <f>E275</f>
        <v>0</v>
      </c>
      <c r="F274" s="430">
        <f t="shared" si="219"/>
        <v>0</v>
      </c>
      <c r="G274" s="430">
        <f t="shared" si="219"/>
        <v>0</v>
      </c>
      <c r="H274" s="430">
        <f t="shared" si="219"/>
        <v>0</v>
      </c>
      <c r="I274" s="430">
        <f t="shared" si="219"/>
        <v>0</v>
      </c>
      <c r="J274" s="430">
        <f t="shared" si="219"/>
        <v>112000000</v>
      </c>
      <c r="K274" s="430">
        <f t="shared" si="219"/>
        <v>112000000</v>
      </c>
      <c r="L274" s="430">
        <f t="shared" si="219"/>
        <v>0</v>
      </c>
      <c r="M274" s="430">
        <f t="shared" si="219"/>
        <v>0</v>
      </c>
      <c r="N274" s="430">
        <f t="shared" si="219"/>
        <v>0</v>
      </c>
      <c r="O274" s="430">
        <f t="shared" si="219"/>
        <v>112000000</v>
      </c>
      <c r="P274" s="430">
        <f t="shared" si="219"/>
        <v>112000000</v>
      </c>
      <c r="Q274" s="194"/>
      <c r="R274" s="195"/>
    </row>
    <row r="275" spans="1:18" ht="321.75" thickTop="1" thickBot="1" x14ac:dyDescent="0.25">
      <c r="A275" s="851" t="s">
        <v>463</v>
      </c>
      <c r="B275" s="851" t="s">
        <v>465</v>
      </c>
      <c r="C275" s="851" t="s">
        <v>213</v>
      </c>
      <c r="D275" s="851" t="s">
        <v>464</v>
      </c>
      <c r="E275" s="866">
        <f t="shared" ref="E275:E282" si="220">F275</f>
        <v>0</v>
      </c>
      <c r="F275" s="878"/>
      <c r="G275" s="878"/>
      <c r="H275" s="878"/>
      <c r="I275" s="878"/>
      <c r="J275" s="866">
        <f t="shared" si="216"/>
        <v>112000000</v>
      </c>
      <c r="K275" s="878">
        <f>((8000000+2000000+7000000)+70000000)+25000000</f>
        <v>112000000</v>
      </c>
      <c r="L275" s="878"/>
      <c r="M275" s="878"/>
      <c r="N275" s="878"/>
      <c r="O275" s="867">
        <f t="shared" ref="O275" si="221">K275</f>
        <v>112000000</v>
      </c>
      <c r="P275" s="866">
        <f t="shared" si="214"/>
        <v>112000000</v>
      </c>
      <c r="Q275" s="194"/>
      <c r="R275" s="849" t="b">
        <f>K275=[1]d6!J273</f>
        <v>1</v>
      </c>
    </row>
    <row r="276" spans="1:18" ht="47.25" thickTop="1" thickBot="1" x14ac:dyDescent="0.25">
      <c r="A276" s="170" t="s">
        <v>977</v>
      </c>
      <c r="B276" s="170" t="s">
        <v>905</v>
      </c>
      <c r="C276" s="851"/>
      <c r="D276" s="170" t="s">
        <v>952</v>
      </c>
      <c r="E276" s="866">
        <f>E277+E285</f>
        <v>0</v>
      </c>
      <c r="F276" s="866">
        <f t="shared" ref="F276:P276" si="222">F277+F285</f>
        <v>0</v>
      </c>
      <c r="G276" s="866">
        <f t="shared" si="222"/>
        <v>0</v>
      </c>
      <c r="H276" s="866">
        <f t="shared" si="222"/>
        <v>0</v>
      </c>
      <c r="I276" s="866">
        <f t="shared" si="222"/>
        <v>0</v>
      </c>
      <c r="J276" s="866">
        <f t="shared" si="222"/>
        <v>153150566.50999999</v>
      </c>
      <c r="K276" s="866">
        <f t="shared" si="222"/>
        <v>151650566.50999999</v>
      </c>
      <c r="L276" s="866">
        <f t="shared" si="222"/>
        <v>0</v>
      </c>
      <c r="M276" s="866">
        <f t="shared" si="222"/>
        <v>0</v>
      </c>
      <c r="N276" s="866">
        <f t="shared" si="222"/>
        <v>0</v>
      </c>
      <c r="O276" s="866">
        <f t="shared" si="222"/>
        <v>153150566.50999999</v>
      </c>
      <c r="P276" s="866">
        <f t="shared" si="222"/>
        <v>153150566.50999999</v>
      </c>
      <c r="Q276" s="194"/>
      <c r="R276" s="195"/>
    </row>
    <row r="277" spans="1:18" ht="91.5" thickTop="1" thickBot="1" x14ac:dyDescent="0.25">
      <c r="A277" s="872" t="s">
        <v>978</v>
      </c>
      <c r="B277" s="872" t="s">
        <v>961</v>
      </c>
      <c r="C277" s="872"/>
      <c r="D277" s="872" t="s">
        <v>962</v>
      </c>
      <c r="E277" s="873">
        <f t="shared" ref="E277:P277" si="223">SUM(E278:E284)-E279</f>
        <v>0</v>
      </c>
      <c r="F277" s="873">
        <f t="shared" si="223"/>
        <v>0</v>
      </c>
      <c r="G277" s="873">
        <f t="shared" si="223"/>
        <v>0</v>
      </c>
      <c r="H277" s="873">
        <f t="shared" si="223"/>
        <v>0</v>
      </c>
      <c r="I277" s="873">
        <f t="shared" si="223"/>
        <v>0</v>
      </c>
      <c r="J277" s="873">
        <f t="shared" si="223"/>
        <v>151650566.50999999</v>
      </c>
      <c r="K277" s="873">
        <f t="shared" si="223"/>
        <v>151650566.50999999</v>
      </c>
      <c r="L277" s="873">
        <f t="shared" si="223"/>
        <v>0</v>
      </c>
      <c r="M277" s="873">
        <f t="shared" si="223"/>
        <v>0</v>
      </c>
      <c r="N277" s="873">
        <f t="shared" si="223"/>
        <v>0</v>
      </c>
      <c r="O277" s="873">
        <f t="shared" si="223"/>
        <v>151650566.50999999</v>
      </c>
      <c r="P277" s="873">
        <f t="shared" si="223"/>
        <v>151650566.50999999</v>
      </c>
      <c r="Q277" s="194"/>
      <c r="R277" s="195"/>
    </row>
    <row r="278" spans="1:18" ht="99.75" thickTop="1" thickBot="1" x14ac:dyDescent="0.25">
      <c r="A278" s="851" t="s">
        <v>1150</v>
      </c>
      <c r="B278" s="851" t="s">
        <v>324</v>
      </c>
      <c r="C278" s="851" t="s">
        <v>323</v>
      </c>
      <c r="D278" s="851" t="s">
        <v>777</v>
      </c>
      <c r="E278" s="866">
        <f t="shared" ref="E278" si="224">F278</f>
        <v>0</v>
      </c>
      <c r="F278" s="878"/>
      <c r="G278" s="878"/>
      <c r="H278" s="878"/>
      <c r="I278" s="878"/>
      <c r="J278" s="866">
        <f t="shared" ref="J278" si="225">L278+O278</f>
        <v>80574.510000000009</v>
      </c>
      <c r="K278" s="878">
        <f>(36872.51)+43702</f>
        <v>80574.510000000009</v>
      </c>
      <c r="L278" s="878"/>
      <c r="M278" s="878"/>
      <c r="N278" s="878"/>
      <c r="O278" s="867">
        <f>K278</f>
        <v>80574.510000000009</v>
      </c>
      <c r="P278" s="866">
        <f t="shared" ref="P278" si="226">E278+J278</f>
        <v>80574.510000000009</v>
      </c>
      <c r="Q278" s="194"/>
      <c r="R278" s="849" t="b">
        <f>K278=[1]d6!J275</f>
        <v>1</v>
      </c>
    </row>
    <row r="279" spans="1:18" ht="146.25" thickTop="1" thickBot="1" x14ac:dyDescent="0.25">
      <c r="A279" s="879" t="s">
        <v>979</v>
      </c>
      <c r="B279" s="879" t="s">
        <v>980</v>
      </c>
      <c r="C279" s="879"/>
      <c r="D279" s="879" t="s">
        <v>981</v>
      </c>
      <c r="E279" s="877">
        <f>SUM(E280:E281)</f>
        <v>0</v>
      </c>
      <c r="F279" s="877">
        <f t="shared" ref="F279:P279" si="227">SUM(F280:F281)</f>
        <v>0</v>
      </c>
      <c r="G279" s="877">
        <f t="shared" si="227"/>
        <v>0</v>
      </c>
      <c r="H279" s="877">
        <f t="shared" si="227"/>
        <v>0</v>
      </c>
      <c r="I279" s="877">
        <f t="shared" si="227"/>
        <v>0</v>
      </c>
      <c r="J279" s="877">
        <f t="shared" si="227"/>
        <v>24014264</v>
      </c>
      <c r="K279" s="877">
        <f t="shared" si="227"/>
        <v>24014264</v>
      </c>
      <c r="L279" s="877">
        <f t="shared" si="227"/>
        <v>0</v>
      </c>
      <c r="M279" s="877">
        <f t="shared" si="227"/>
        <v>0</v>
      </c>
      <c r="N279" s="877">
        <f t="shared" si="227"/>
        <v>0</v>
      </c>
      <c r="O279" s="877">
        <f t="shared" si="227"/>
        <v>24014264</v>
      </c>
      <c r="P279" s="877">
        <f t="shared" si="227"/>
        <v>24014264</v>
      </c>
      <c r="Q279" s="194"/>
      <c r="R279" s="195"/>
    </row>
    <row r="280" spans="1:18" ht="99.75" thickTop="1" thickBot="1" x14ac:dyDescent="0.25">
      <c r="A280" s="851" t="s">
        <v>333</v>
      </c>
      <c r="B280" s="851" t="s">
        <v>334</v>
      </c>
      <c r="C280" s="851" t="s">
        <v>323</v>
      </c>
      <c r="D280" s="851" t="s">
        <v>778</v>
      </c>
      <c r="E280" s="866">
        <f t="shared" si="220"/>
        <v>0</v>
      </c>
      <c r="F280" s="878"/>
      <c r="G280" s="878"/>
      <c r="H280" s="878"/>
      <c r="I280" s="878"/>
      <c r="J280" s="866">
        <f t="shared" si="216"/>
        <v>23814264</v>
      </c>
      <c r="K280" s="878">
        <f>443307+(((6855987)+16002910-1087940)+1600000)</f>
        <v>23814264</v>
      </c>
      <c r="L280" s="878"/>
      <c r="M280" s="878"/>
      <c r="N280" s="878"/>
      <c r="O280" s="867">
        <f>K280</f>
        <v>23814264</v>
      </c>
      <c r="P280" s="866">
        <f t="shared" si="214"/>
        <v>23814264</v>
      </c>
      <c r="Q280" s="185"/>
      <c r="R280" s="849" t="b">
        <f>K280=[1]d6!J276+[1]d6!J277+[1]d6!J278+[1]d6!J279+[1]d6!J280</f>
        <v>1</v>
      </c>
    </row>
    <row r="281" spans="1:18" ht="99.75" thickTop="1" thickBot="1" x14ac:dyDescent="0.25">
      <c r="A281" s="851" t="s">
        <v>563</v>
      </c>
      <c r="B281" s="851" t="s">
        <v>564</v>
      </c>
      <c r="C281" s="851" t="s">
        <v>323</v>
      </c>
      <c r="D281" s="851" t="s">
        <v>779</v>
      </c>
      <c r="E281" s="866">
        <f t="shared" si="220"/>
        <v>0</v>
      </c>
      <c r="F281" s="878"/>
      <c r="G281" s="878"/>
      <c r="H281" s="878"/>
      <c r="I281" s="878"/>
      <c r="J281" s="866">
        <f t="shared" si="216"/>
        <v>200000</v>
      </c>
      <c r="K281" s="878">
        <v>200000</v>
      </c>
      <c r="L281" s="878"/>
      <c r="M281" s="878"/>
      <c r="N281" s="878"/>
      <c r="O281" s="867">
        <f>K281</f>
        <v>200000</v>
      </c>
      <c r="P281" s="866">
        <f t="shared" si="214"/>
        <v>200000</v>
      </c>
      <c r="Q281" s="185"/>
      <c r="R281" s="849" t="b">
        <f>K281=[1]d6!J281</f>
        <v>1</v>
      </c>
    </row>
    <row r="282" spans="1:18" ht="145.5" hidden="1" thickTop="1" thickBot="1" x14ac:dyDescent="0.25">
      <c r="A282" s="851" t="s">
        <v>335</v>
      </c>
      <c r="B282" s="851" t="s">
        <v>336</v>
      </c>
      <c r="C282" s="851" t="s">
        <v>323</v>
      </c>
      <c r="D282" s="851" t="s">
        <v>780</v>
      </c>
      <c r="E282" s="866">
        <f t="shared" si="220"/>
        <v>0</v>
      </c>
      <c r="F282" s="878"/>
      <c r="G282" s="878"/>
      <c r="H282" s="878"/>
      <c r="I282" s="878"/>
      <c r="J282" s="866">
        <f t="shared" si="216"/>
        <v>0</v>
      </c>
      <c r="K282" s="878">
        <v>0</v>
      </c>
      <c r="L282" s="878"/>
      <c r="M282" s="878"/>
      <c r="N282" s="878"/>
      <c r="O282" s="867">
        <f>K282</f>
        <v>0</v>
      </c>
      <c r="P282" s="866">
        <f t="shared" si="214"/>
        <v>0</v>
      </c>
      <c r="Q282" s="185"/>
    </row>
    <row r="283" spans="1:18" ht="99.75" thickTop="1" thickBot="1" x14ac:dyDescent="0.3">
      <c r="A283" s="851" t="s">
        <v>337</v>
      </c>
      <c r="B283" s="851" t="s">
        <v>338</v>
      </c>
      <c r="C283" s="851" t="s">
        <v>323</v>
      </c>
      <c r="D283" s="851" t="s">
        <v>781</v>
      </c>
      <c r="E283" s="866">
        <f>F283</f>
        <v>0</v>
      </c>
      <c r="F283" s="878"/>
      <c r="G283" s="878"/>
      <c r="H283" s="878"/>
      <c r="I283" s="878"/>
      <c r="J283" s="866">
        <f t="shared" si="216"/>
        <v>17474426</v>
      </c>
      <c r="K283" s="878">
        <f>-487009+(((9126836+5000000+370000)+2068629+795970)-1400000)+2000000</f>
        <v>17474426</v>
      </c>
      <c r="L283" s="878"/>
      <c r="M283" s="878"/>
      <c r="N283" s="878"/>
      <c r="O283" s="867">
        <f>K283</f>
        <v>17474426</v>
      </c>
      <c r="P283" s="866">
        <f t="shared" si="214"/>
        <v>17474426</v>
      </c>
      <c r="Q283" s="197"/>
      <c r="R283" s="849" t="b">
        <f>K283=[1]d6!J282+[1]d6!J283+[1]d6!J284+[1]d6!J285+[1]d6!J286+[1]d6!J287+[1]d6!J288+[1]d6!J289+[1]d6!J290+[1]d6!J291+[1]d6!J292+[1]d6!J293</f>
        <v>1</v>
      </c>
    </row>
    <row r="284" spans="1:18" ht="138.75" thickTop="1" thickBot="1" x14ac:dyDescent="0.25">
      <c r="A284" s="851" t="s">
        <v>469</v>
      </c>
      <c r="B284" s="851" t="s">
        <v>376</v>
      </c>
      <c r="C284" s="851" t="s">
        <v>184</v>
      </c>
      <c r="D284" s="851" t="s">
        <v>280</v>
      </c>
      <c r="E284" s="866">
        <f>F284</f>
        <v>0</v>
      </c>
      <c r="F284" s="878"/>
      <c r="G284" s="878"/>
      <c r="H284" s="878"/>
      <c r="I284" s="878"/>
      <c r="J284" s="866">
        <f t="shared" si="216"/>
        <v>110081302</v>
      </c>
      <c r="K284" s="878">
        <f>((23737852+6343450)+20000000)+60000000</f>
        <v>110081302</v>
      </c>
      <c r="L284" s="878"/>
      <c r="M284" s="878"/>
      <c r="N284" s="878"/>
      <c r="O284" s="867">
        <f>K284</f>
        <v>110081302</v>
      </c>
      <c r="P284" s="866">
        <f t="shared" si="214"/>
        <v>110081302</v>
      </c>
      <c r="R284" s="849" t="b">
        <f>K284=[1]d6!J294</f>
        <v>1</v>
      </c>
    </row>
    <row r="285" spans="1:18" ht="136.5" thickTop="1" thickBot="1" x14ac:dyDescent="0.25">
      <c r="A285" s="872" t="s">
        <v>1289</v>
      </c>
      <c r="B285" s="872" t="s">
        <v>847</v>
      </c>
      <c r="C285" s="872"/>
      <c r="D285" s="872" t="s">
        <v>845</v>
      </c>
      <c r="E285" s="429">
        <f>E286</f>
        <v>0</v>
      </c>
      <c r="F285" s="429">
        <f>F286</f>
        <v>0</v>
      </c>
      <c r="G285" s="429">
        <f>G286</f>
        <v>0</v>
      </c>
      <c r="H285" s="429">
        <f>H286</f>
        <v>0</v>
      </c>
      <c r="I285" s="429">
        <f>I286</f>
        <v>0</v>
      </c>
      <c r="J285" s="429">
        <f t="shared" ref="J285:O285" si="228">J286</f>
        <v>1500000</v>
      </c>
      <c r="K285" s="429">
        <f t="shared" si="228"/>
        <v>0</v>
      </c>
      <c r="L285" s="429">
        <f t="shared" si="228"/>
        <v>0</v>
      </c>
      <c r="M285" s="429">
        <f t="shared" si="228"/>
        <v>0</v>
      </c>
      <c r="N285" s="429">
        <f t="shared" si="228"/>
        <v>0</v>
      </c>
      <c r="O285" s="429">
        <f t="shared" si="228"/>
        <v>1500000</v>
      </c>
      <c r="P285" s="429">
        <f>P286</f>
        <v>1500000</v>
      </c>
      <c r="R285" s="849"/>
    </row>
    <row r="286" spans="1:18" ht="48" thickTop="1" thickBot="1" x14ac:dyDescent="0.25">
      <c r="A286" s="879" t="s">
        <v>1290</v>
      </c>
      <c r="B286" s="879" t="s">
        <v>850</v>
      </c>
      <c r="C286" s="879"/>
      <c r="D286" s="879" t="s">
        <v>955</v>
      </c>
      <c r="E286" s="430">
        <f>E287</f>
        <v>0</v>
      </c>
      <c r="F286" s="430">
        <f t="shared" ref="F286:P286" si="229">F287</f>
        <v>0</v>
      </c>
      <c r="G286" s="430">
        <f t="shared" si="229"/>
        <v>0</v>
      </c>
      <c r="H286" s="430">
        <f t="shared" si="229"/>
        <v>0</v>
      </c>
      <c r="I286" s="430">
        <f t="shared" si="229"/>
        <v>0</v>
      </c>
      <c r="J286" s="430">
        <f t="shared" si="229"/>
        <v>1500000</v>
      </c>
      <c r="K286" s="430">
        <f t="shared" si="229"/>
        <v>0</v>
      </c>
      <c r="L286" s="430">
        <f t="shared" si="229"/>
        <v>0</v>
      </c>
      <c r="M286" s="430">
        <f t="shared" si="229"/>
        <v>0</v>
      </c>
      <c r="N286" s="430">
        <f t="shared" si="229"/>
        <v>0</v>
      </c>
      <c r="O286" s="430">
        <f t="shared" si="229"/>
        <v>1500000</v>
      </c>
      <c r="P286" s="430">
        <f t="shared" si="229"/>
        <v>1500000</v>
      </c>
      <c r="R286" s="849"/>
    </row>
    <row r="287" spans="1:18" ht="409.6" thickTop="1" thickBot="1" x14ac:dyDescent="0.7">
      <c r="A287" s="1093" t="s">
        <v>1291</v>
      </c>
      <c r="B287" s="1093" t="s">
        <v>363</v>
      </c>
      <c r="C287" s="1093" t="s">
        <v>184</v>
      </c>
      <c r="D287" s="315" t="s">
        <v>473</v>
      </c>
      <c r="E287" s="1176">
        <f t="shared" ref="E287" si="230">F287</f>
        <v>0</v>
      </c>
      <c r="F287" s="1089"/>
      <c r="G287" s="1089"/>
      <c r="H287" s="1089"/>
      <c r="I287" s="1089"/>
      <c r="J287" s="1176">
        <f t="shared" ref="J287" si="231">L287+O287</f>
        <v>1500000</v>
      </c>
      <c r="K287" s="1089"/>
      <c r="L287" s="1089"/>
      <c r="M287" s="1089"/>
      <c r="N287" s="1089"/>
      <c r="O287" s="1178">
        <f>K287+1500000</f>
        <v>1500000</v>
      </c>
      <c r="P287" s="1180">
        <f>E287+J287</f>
        <v>1500000</v>
      </c>
      <c r="R287" s="849"/>
    </row>
    <row r="288" spans="1:18" ht="184.5" thickTop="1" thickBot="1" x14ac:dyDescent="0.25">
      <c r="A288" s="1093"/>
      <c r="B288" s="1093"/>
      <c r="C288" s="1093"/>
      <c r="D288" s="317" t="s">
        <v>474</v>
      </c>
      <c r="E288" s="1176"/>
      <c r="F288" s="1089"/>
      <c r="G288" s="1089"/>
      <c r="H288" s="1089"/>
      <c r="I288" s="1089"/>
      <c r="J288" s="1176"/>
      <c r="K288" s="1089"/>
      <c r="L288" s="1089"/>
      <c r="M288" s="1089"/>
      <c r="N288" s="1089"/>
      <c r="O288" s="1178"/>
      <c r="P288" s="1180"/>
      <c r="R288" s="849"/>
    </row>
    <row r="289" spans="1:18" ht="181.5" thickTop="1" thickBot="1" x14ac:dyDescent="0.25">
      <c r="A289" s="766" t="s">
        <v>174</v>
      </c>
      <c r="B289" s="766"/>
      <c r="C289" s="766"/>
      <c r="D289" s="767" t="s">
        <v>1066</v>
      </c>
      <c r="E289" s="768">
        <f>E290</f>
        <v>6219215</v>
      </c>
      <c r="F289" s="769">
        <f t="shared" ref="F289:G289" si="232">F290</f>
        <v>6219215</v>
      </c>
      <c r="G289" s="769">
        <f t="shared" si="232"/>
        <v>4475575</v>
      </c>
      <c r="H289" s="769">
        <f>H290</f>
        <v>177645</v>
      </c>
      <c r="I289" s="769">
        <f t="shared" ref="I289" si="233">I290</f>
        <v>0</v>
      </c>
      <c r="J289" s="768">
        <f>J290</f>
        <v>837700</v>
      </c>
      <c r="K289" s="769">
        <f>K290</f>
        <v>837700</v>
      </c>
      <c r="L289" s="769">
        <f>L290</f>
        <v>0</v>
      </c>
      <c r="M289" s="769">
        <f t="shared" ref="M289" si="234">M290</f>
        <v>0</v>
      </c>
      <c r="N289" s="769">
        <f>N290</f>
        <v>0</v>
      </c>
      <c r="O289" s="768">
        <f>O290</f>
        <v>837700</v>
      </c>
      <c r="P289" s="769">
        <f t="shared" ref="P289" si="235">P290</f>
        <v>7056915</v>
      </c>
    </row>
    <row r="290" spans="1:18" ht="181.5" thickTop="1" thickBot="1" x14ac:dyDescent="0.25">
      <c r="A290" s="863" t="s">
        <v>175</v>
      </c>
      <c r="B290" s="863"/>
      <c r="C290" s="863"/>
      <c r="D290" s="864" t="s">
        <v>1067</v>
      </c>
      <c r="E290" s="865">
        <f>E291+E294</f>
        <v>6219215</v>
      </c>
      <c r="F290" s="865">
        <f>F291+F294</f>
        <v>6219215</v>
      </c>
      <c r="G290" s="865">
        <f>G291+G294</f>
        <v>4475575</v>
      </c>
      <c r="H290" s="865">
        <f>H291+H294</f>
        <v>177645</v>
      </c>
      <c r="I290" s="865">
        <f>I291+I294</f>
        <v>0</v>
      </c>
      <c r="J290" s="865">
        <f>L290+O290</f>
        <v>837700</v>
      </c>
      <c r="K290" s="865">
        <f>K291+K294</f>
        <v>837700</v>
      </c>
      <c r="L290" s="865">
        <f>L291+L294</f>
        <v>0</v>
      </c>
      <c r="M290" s="865">
        <f>M291+M294</f>
        <v>0</v>
      </c>
      <c r="N290" s="865">
        <f>N291+N294</f>
        <v>0</v>
      </c>
      <c r="O290" s="865">
        <f>O291+O294</f>
        <v>837700</v>
      </c>
      <c r="P290" s="865">
        <f>E290+J290</f>
        <v>7056915</v>
      </c>
      <c r="Q290" s="125" t="b">
        <f>P290=P292+P293+P296</f>
        <v>1</v>
      </c>
      <c r="R290" s="849" t="b">
        <f>J290=[1]d6!J295</f>
        <v>1</v>
      </c>
    </row>
    <row r="291" spans="1:18" ht="47.25" thickTop="1" thickBot="1" x14ac:dyDescent="0.25">
      <c r="A291" s="170" t="s">
        <v>982</v>
      </c>
      <c r="B291" s="170" t="s">
        <v>840</v>
      </c>
      <c r="C291" s="170"/>
      <c r="D291" s="170" t="s">
        <v>841</v>
      </c>
      <c r="E291" s="866">
        <f>SUM(E292:E293)</f>
        <v>6219215</v>
      </c>
      <c r="F291" s="866">
        <f t="shared" ref="F291:P291" si="236">SUM(F292:F293)</f>
        <v>6219215</v>
      </c>
      <c r="G291" s="866">
        <f t="shared" si="236"/>
        <v>4475575</v>
      </c>
      <c r="H291" s="866">
        <f t="shared" si="236"/>
        <v>177645</v>
      </c>
      <c r="I291" s="866">
        <f t="shared" si="236"/>
        <v>0</v>
      </c>
      <c r="J291" s="866">
        <f t="shared" si="236"/>
        <v>239700</v>
      </c>
      <c r="K291" s="866">
        <f t="shared" si="236"/>
        <v>239700</v>
      </c>
      <c r="L291" s="866">
        <f t="shared" si="236"/>
        <v>0</v>
      </c>
      <c r="M291" s="866">
        <f t="shared" si="236"/>
        <v>0</v>
      </c>
      <c r="N291" s="866">
        <f t="shared" si="236"/>
        <v>0</v>
      </c>
      <c r="O291" s="866">
        <f t="shared" si="236"/>
        <v>239700</v>
      </c>
      <c r="P291" s="866">
        <f t="shared" si="236"/>
        <v>6458915</v>
      </c>
      <c r="Q291" s="125"/>
      <c r="R291" s="849"/>
    </row>
    <row r="292" spans="1:18" ht="230.25" thickTop="1" thickBot="1" x14ac:dyDescent="0.25">
      <c r="A292" s="851" t="s">
        <v>447</v>
      </c>
      <c r="B292" s="851" t="s">
        <v>254</v>
      </c>
      <c r="C292" s="851" t="s">
        <v>252</v>
      </c>
      <c r="D292" s="851" t="s">
        <v>253</v>
      </c>
      <c r="E292" s="866">
        <f>F292</f>
        <v>6212215</v>
      </c>
      <c r="F292" s="878">
        <f>-450000-115000+41600+7000+((6523715-7000)+55900+140000+16000)</f>
        <v>6212215</v>
      </c>
      <c r="G292" s="878">
        <f>(4925575)-450000</f>
        <v>4475575</v>
      </c>
      <c r="H292" s="878">
        <f>41600+7000+(97095+1950+30000)</f>
        <v>177645</v>
      </c>
      <c r="I292" s="878"/>
      <c r="J292" s="866">
        <f>L292+O292</f>
        <v>239700</v>
      </c>
      <c r="K292" s="878">
        <f>63700+((140000)+36000)</f>
        <v>239700</v>
      </c>
      <c r="L292" s="878"/>
      <c r="M292" s="878"/>
      <c r="N292" s="878"/>
      <c r="O292" s="867">
        <f>K292</f>
        <v>239700</v>
      </c>
      <c r="P292" s="866">
        <f>E292+J292</f>
        <v>6451915</v>
      </c>
      <c r="Q292" s="194"/>
      <c r="R292" s="849" t="b">
        <f>K292=[1]d6!J297</f>
        <v>1</v>
      </c>
    </row>
    <row r="293" spans="1:18" ht="184.5" thickTop="1" thickBot="1" x14ac:dyDescent="0.25">
      <c r="A293" s="851" t="s">
        <v>786</v>
      </c>
      <c r="B293" s="851" t="s">
        <v>388</v>
      </c>
      <c r="C293" s="851" t="s">
        <v>775</v>
      </c>
      <c r="D293" s="851" t="s">
        <v>776</v>
      </c>
      <c r="E293" s="313">
        <f>F293</f>
        <v>7000</v>
      </c>
      <c r="F293" s="167">
        <v>7000</v>
      </c>
      <c r="G293" s="167"/>
      <c r="H293" s="167"/>
      <c r="I293" s="167"/>
      <c r="J293" s="866">
        <f t="shared" ref="J293" si="237">L293+O293</f>
        <v>0</v>
      </c>
      <c r="K293" s="167"/>
      <c r="L293" s="761"/>
      <c r="M293" s="761"/>
      <c r="N293" s="761"/>
      <c r="O293" s="867">
        <f t="shared" ref="O293" si="238">K293</f>
        <v>0</v>
      </c>
      <c r="P293" s="866">
        <f t="shared" ref="P293" si="239">+J293+E293</f>
        <v>7000</v>
      </c>
      <c r="Q293" s="194"/>
      <c r="R293" s="849"/>
    </row>
    <row r="294" spans="1:18" ht="47.25" thickTop="1" thickBot="1" x14ac:dyDescent="0.25">
      <c r="A294" s="170" t="s">
        <v>1112</v>
      </c>
      <c r="B294" s="170" t="s">
        <v>905</v>
      </c>
      <c r="C294" s="851"/>
      <c r="D294" s="170" t="s">
        <v>952</v>
      </c>
      <c r="E294" s="866">
        <f>E295</f>
        <v>0</v>
      </c>
      <c r="F294" s="866">
        <f t="shared" ref="F294:P295" si="240">F295</f>
        <v>0</v>
      </c>
      <c r="G294" s="866">
        <f t="shared" si="240"/>
        <v>0</v>
      </c>
      <c r="H294" s="866">
        <f t="shared" si="240"/>
        <v>0</v>
      </c>
      <c r="I294" s="866">
        <f t="shared" si="240"/>
        <v>0</v>
      </c>
      <c r="J294" s="866">
        <f t="shared" si="240"/>
        <v>598000</v>
      </c>
      <c r="K294" s="866">
        <f t="shared" si="240"/>
        <v>598000</v>
      </c>
      <c r="L294" s="866">
        <f t="shared" si="240"/>
        <v>0</v>
      </c>
      <c r="M294" s="866">
        <f t="shared" si="240"/>
        <v>0</v>
      </c>
      <c r="N294" s="866">
        <f t="shared" si="240"/>
        <v>0</v>
      </c>
      <c r="O294" s="866">
        <f t="shared" si="240"/>
        <v>598000</v>
      </c>
      <c r="P294" s="866">
        <f t="shared" si="240"/>
        <v>598000</v>
      </c>
      <c r="Q294" s="194"/>
      <c r="R294" s="849"/>
    </row>
    <row r="295" spans="1:18" ht="91.5" thickTop="1" thickBot="1" x14ac:dyDescent="0.25">
      <c r="A295" s="872" t="s">
        <v>1113</v>
      </c>
      <c r="B295" s="872" t="s">
        <v>961</v>
      </c>
      <c r="C295" s="872"/>
      <c r="D295" s="872" t="s">
        <v>962</v>
      </c>
      <c r="E295" s="873">
        <f>E296</f>
        <v>0</v>
      </c>
      <c r="F295" s="873">
        <f t="shared" si="240"/>
        <v>0</v>
      </c>
      <c r="G295" s="873">
        <f t="shared" si="240"/>
        <v>0</v>
      </c>
      <c r="H295" s="873">
        <f t="shared" si="240"/>
        <v>0</v>
      </c>
      <c r="I295" s="873">
        <f t="shared" si="240"/>
        <v>0</v>
      </c>
      <c r="J295" s="873">
        <f t="shared" si="240"/>
        <v>598000</v>
      </c>
      <c r="K295" s="873">
        <f t="shared" si="240"/>
        <v>598000</v>
      </c>
      <c r="L295" s="873">
        <f t="shared" si="240"/>
        <v>0</v>
      </c>
      <c r="M295" s="873">
        <f t="shared" si="240"/>
        <v>0</v>
      </c>
      <c r="N295" s="873">
        <f t="shared" si="240"/>
        <v>0</v>
      </c>
      <c r="O295" s="873">
        <f t="shared" si="240"/>
        <v>598000</v>
      </c>
      <c r="P295" s="873">
        <f t="shared" si="240"/>
        <v>598000</v>
      </c>
      <c r="Q295" s="194"/>
      <c r="R295" s="849"/>
    </row>
    <row r="296" spans="1:18" ht="138.75" thickTop="1" thickBot="1" x14ac:dyDescent="0.25">
      <c r="A296" s="851" t="s">
        <v>1114</v>
      </c>
      <c r="B296" s="851" t="s">
        <v>1115</v>
      </c>
      <c r="C296" s="851" t="s">
        <v>323</v>
      </c>
      <c r="D296" s="851" t="s">
        <v>1116</v>
      </c>
      <c r="E296" s="313">
        <f>F296</f>
        <v>0</v>
      </c>
      <c r="F296" s="167"/>
      <c r="G296" s="167"/>
      <c r="H296" s="167"/>
      <c r="I296" s="167"/>
      <c r="J296" s="866">
        <f t="shared" ref="J296" si="241">L296+O296</f>
        <v>598000</v>
      </c>
      <c r="K296" s="167">
        <f>(611000)-13000</f>
        <v>598000</v>
      </c>
      <c r="L296" s="761"/>
      <c r="M296" s="761"/>
      <c r="N296" s="761"/>
      <c r="O296" s="867">
        <f t="shared" ref="O296" si="242">K296</f>
        <v>598000</v>
      </c>
      <c r="P296" s="866">
        <f t="shared" ref="P296" si="243">+J296+E296</f>
        <v>598000</v>
      </c>
      <c r="Q296" s="194"/>
      <c r="R296" s="849" t="b">
        <f>K296=[1]d6!J300+[1]d6!J299+[1]d6!J298</f>
        <v>1</v>
      </c>
    </row>
    <row r="297" spans="1:18" ht="136.5" thickTop="1" thickBot="1" x14ac:dyDescent="0.25">
      <c r="A297" s="766" t="s">
        <v>477</v>
      </c>
      <c r="B297" s="766"/>
      <c r="C297" s="766"/>
      <c r="D297" s="767" t="s">
        <v>479</v>
      </c>
      <c r="E297" s="768">
        <f>E298</f>
        <v>94682461</v>
      </c>
      <c r="F297" s="769">
        <f t="shared" ref="F297:G297" si="244">F298</f>
        <v>94682461</v>
      </c>
      <c r="G297" s="769">
        <f t="shared" si="244"/>
        <v>2452610</v>
      </c>
      <c r="H297" s="769">
        <f>H298</f>
        <v>72945</v>
      </c>
      <c r="I297" s="769">
        <f t="shared" ref="I297" si="245">I298</f>
        <v>0</v>
      </c>
      <c r="J297" s="768">
        <f>J298</f>
        <v>36000</v>
      </c>
      <c r="K297" s="769">
        <f>K298</f>
        <v>36000</v>
      </c>
      <c r="L297" s="769">
        <f>L298</f>
        <v>0</v>
      </c>
      <c r="M297" s="769">
        <f t="shared" ref="M297" si="246">M298</f>
        <v>0</v>
      </c>
      <c r="N297" s="769">
        <f>N298</f>
        <v>0</v>
      </c>
      <c r="O297" s="768">
        <f>O298</f>
        <v>36000</v>
      </c>
      <c r="P297" s="769">
        <f t="shared" ref="P297" si="247">P298</f>
        <v>94718461</v>
      </c>
    </row>
    <row r="298" spans="1:18" ht="181.5" thickTop="1" thickBot="1" x14ac:dyDescent="0.25">
      <c r="A298" s="863" t="s">
        <v>478</v>
      </c>
      <c r="B298" s="863"/>
      <c r="C298" s="863"/>
      <c r="D298" s="864" t="s">
        <v>480</v>
      </c>
      <c r="E298" s="865">
        <f>E299+E303</f>
        <v>94682461</v>
      </c>
      <c r="F298" s="865">
        <f t="shared" ref="F298:I298" si="248">F299+F303</f>
        <v>94682461</v>
      </c>
      <c r="G298" s="865">
        <f t="shared" si="248"/>
        <v>2452610</v>
      </c>
      <c r="H298" s="865">
        <f t="shared" si="248"/>
        <v>72945</v>
      </c>
      <c r="I298" s="865">
        <f t="shared" si="248"/>
        <v>0</v>
      </c>
      <c r="J298" s="865">
        <f>L298+O298</f>
        <v>36000</v>
      </c>
      <c r="K298" s="865">
        <f t="shared" ref="K298:O298" si="249">K299+K303</f>
        <v>36000</v>
      </c>
      <c r="L298" s="865">
        <f t="shared" si="249"/>
        <v>0</v>
      </c>
      <c r="M298" s="865">
        <f t="shared" si="249"/>
        <v>0</v>
      </c>
      <c r="N298" s="865">
        <f t="shared" si="249"/>
        <v>0</v>
      </c>
      <c r="O298" s="865">
        <f t="shared" si="249"/>
        <v>36000</v>
      </c>
      <c r="P298" s="865">
        <f>E298+J298</f>
        <v>94718461</v>
      </c>
      <c r="Q298" s="125" t="b">
        <f>P298=P300+P302+P308+P301+P306+P309</f>
        <v>1</v>
      </c>
      <c r="R298" s="849" t="b">
        <f>K298=[1]d6!J301</f>
        <v>1</v>
      </c>
    </row>
    <row r="299" spans="1:18" ht="47.25" thickTop="1" thickBot="1" x14ac:dyDescent="0.25">
      <c r="A299" s="170" t="s">
        <v>983</v>
      </c>
      <c r="B299" s="170" t="s">
        <v>840</v>
      </c>
      <c r="C299" s="170"/>
      <c r="D299" s="170" t="s">
        <v>841</v>
      </c>
      <c r="E299" s="866">
        <f>SUM(E300:E301)</f>
        <v>3746840</v>
      </c>
      <c r="F299" s="866">
        <f t="shared" ref="F299:P299" si="250">SUM(F300:F301)</f>
        <v>3746840</v>
      </c>
      <c r="G299" s="866">
        <f t="shared" si="250"/>
        <v>2452610</v>
      </c>
      <c r="H299" s="866">
        <f t="shared" si="250"/>
        <v>72945</v>
      </c>
      <c r="I299" s="866">
        <f t="shared" si="250"/>
        <v>0</v>
      </c>
      <c r="J299" s="866">
        <f t="shared" si="250"/>
        <v>36000</v>
      </c>
      <c r="K299" s="866">
        <f t="shared" si="250"/>
        <v>36000</v>
      </c>
      <c r="L299" s="866">
        <f t="shared" si="250"/>
        <v>0</v>
      </c>
      <c r="M299" s="866">
        <f t="shared" si="250"/>
        <v>0</v>
      </c>
      <c r="N299" s="866">
        <f t="shared" si="250"/>
        <v>0</v>
      </c>
      <c r="O299" s="866">
        <f t="shared" si="250"/>
        <v>36000</v>
      </c>
      <c r="P299" s="866">
        <f t="shared" si="250"/>
        <v>3782840</v>
      </c>
      <c r="Q299" s="125"/>
      <c r="R299" s="849"/>
    </row>
    <row r="300" spans="1:18" ht="230.25" thickTop="1" thickBot="1" x14ac:dyDescent="0.25">
      <c r="A300" s="851" t="s">
        <v>481</v>
      </c>
      <c r="B300" s="851" t="s">
        <v>254</v>
      </c>
      <c r="C300" s="851" t="s">
        <v>252</v>
      </c>
      <c r="D300" s="851" t="s">
        <v>253</v>
      </c>
      <c r="E300" s="866">
        <f>F300</f>
        <v>3741760</v>
      </c>
      <c r="F300" s="878">
        <f>7800+40000+49530+7000+2000+49000+((3546620-5080)+240240+4650-200000)</f>
        <v>3741760</v>
      </c>
      <c r="G300" s="878">
        <f>(2452610)</f>
        <v>2452610</v>
      </c>
      <c r="H300" s="878">
        <f>7800+(40290+1200+22400+1255)</f>
        <v>72945</v>
      </c>
      <c r="I300" s="878"/>
      <c r="J300" s="866">
        <f>L300+O300</f>
        <v>36000</v>
      </c>
      <c r="K300" s="878">
        <f>(18000)+18000</f>
        <v>36000</v>
      </c>
      <c r="L300" s="878"/>
      <c r="M300" s="878"/>
      <c r="N300" s="878"/>
      <c r="O300" s="867">
        <f>K300</f>
        <v>36000</v>
      </c>
      <c r="P300" s="866">
        <f>E300+J300</f>
        <v>3777760</v>
      </c>
      <c r="Q300" s="194"/>
      <c r="R300" s="849" t="b">
        <f>K300=[1]d6!J303</f>
        <v>1</v>
      </c>
    </row>
    <row r="301" spans="1:18" ht="184.5" thickTop="1" thickBot="1" x14ac:dyDescent="0.25">
      <c r="A301" s="851" t="s">
        <v>787</v>
      </c>
      <c r="B301" s="851" t="s">
        <v>388</v>
      </c>
      <c r="C301" s="851" t="s">
        <v>775</v>
      </c>
      <c r="D301" s="851" t="s">
        <v>776</v>
      </c>
      <c r="E301" s="313">
        <f>F301</f>
        <v>5080</v>
      </c>
      <c r="F301" s="167">
        <v>5080</v>
      </c>
      <c r="G301" s="167"/>
      <c r="H301" s="167"/>
      <c r="I301" s="167"/>
      <c r="J301" s="866">
        <f t="shared" ref="J301" si="251">L301+O301</f>
        <v>0</v>
      </c>
      <c r="K301" s="167"/>
      <c r="L301" s="761"/>
      <c r="M301" s="761"/>
      <c r="N301" s="761"/>
      <c r="O301" s="867">
        <f t="shared" ref="O301" si="252">K301</f>
        <v>0</v>
      </c>
      <c r="P301" s="866">
        <f t="shared" ref="P301" si="253">+J301+E301</f>
        <v>5080</v>
      </c>
      <c r="Q301" s="194"/>
      <c r="R301" s="849"/>
    </row>
    <row r="302" spans="1:18" ht="93" hidden="1" thickTop="1" thickBot="1" x14ac:dyDescent="0.25">
      <c r="A302" s="183" t="s">
        <v>504</v>
      </c>
      <c r="B302" s="183" t="s">
        <v>440</v>
      </c>
      <c r="C302" s="183" t="s">
        <v>441</v>
      </c>
      <c r="D302" s="183" t="s">
        <v>442</v>
      </c>
      <c r="E302" s="904">
        <f>F302</f>
        <v>0</v>
      </c>
      <c r="F302" s="905">
        <f>(34016813)-19850000-9713396-4453417</f>
        <v>0</v>
      </c>
      <c r="G302" s="905"/>
      <c r="H302" s="905"/>
      <c r="I302" s="905"/>
      <c r="J302" s="904">
        <f>L302+O302</f>
        <v>0</v>
      </c>
      <c r="K302" s="905"/>
      <c r="L302" s="905"/>
      <c r="M302" s="905"/>
      <c r="N302" s="905"/>
      <c r="O302" s="906">
        <f>K302</f>
        <v>0</v>
      </c>
      <c r="P302" s="904">
        <f>E302+J302</f>
        <v>0</v>
      </c>
      <c r="Q302" s="194"/>
      <c r="R302" s="195"/>
    </row>
    <row r="303" spans="1:18" ht="47.25" thickTop="1" thickBot="1" x14ac:dyDescent="0.25">
      <c r="A303" s="170" t="s">
        <v>984</v>
      </c>
      <c r="B303" s="170" t="s">
        <v>905</v>
      </c>
      <c r="C303" s="851"/>
      <c r="D303" s="170" t="s">
        <v>952</v>
      </c>
      <c r="E303" s="866">
        <f>E304</f>
        <v>90935621</v>
      </c>
      <c r="F303" s="866">
        <f t="shared" ref="F303:P307" si="254">F304</f>
        <v>90935621</v>
      </c>
      <c r="G303" s="866">
        <f t="shared" si="254"/>
        <v>0</v>
      </c>
      <c r="H303" s="866">
        <f t="shared" si="254"/>
        <v>0</v>
      </c>
      <c r="I303" s="866">
        <f t="shared" si="254"/>
        <v>0</v>
      </c>
      <c r="J303" s="866">
        <f t="shared" si="254"/>
        <v>0</v>
      </c>
      <c r="K303" s="866">
        <f t="shared" si="254"/>
        <v>0</v>
      </c>
      <c r="L303" s="866">
        <f t="shared" si="254"/>
        <v>0</v>
      </c>
      <c r="M303" s="866">
        <f t="shared" si="254"/>
        <v>0</v>
      </c>
      <c r="N303" s="866">
        <f t="shared" si="254"/>
        <v>0</v>
      </c>
      <c r="O303" s="866">
        <f t="shared" si="254"/>
        <v>0</v>
      </c>
      <c r="P303" s="866">
        <f t="shared" si="254"/>
        <v>90935621</v>
      </c>
      <c r="Q303" s="194"/>
      <c r="R303" s="195"/>
    </row>
    <row r="304" spans="1:18" ht="136.5" thickTop="1" thickBot="1" x14ac:dyDescent="0.25">
      <c r="A304" s="872" t="s">
        <v>985</v>
      </c>
      <c r="B304" s="872" t="s">
        <v>964</v>
      </c>
      <c r="C304" s="872"/>
      <c r="D304" s="872" t="s">
        <v>965</v>
      </c>
      <c r="E304" s="873">
        <f>E307+E305+E309</f>
        <v>90935621</v>
      </c>
      <c r="F304" s="873">
        <f t="shared" ref="F304:P304" si="255">F307+F305+F309</f>
        <v>90935621</v>
      </c>
      <c r="G304" s="873">
        <f t="shared" si="255"/>
        <v>0</v>
      </c>
      <c r="H304" s="873">
        <f t="shared" si="255"/>
        <v>0</v>
      </c>
      <c r="I304" s="873">
        <f t="shared" si="255"/>
        <v>0</v>
      </c>
      <c r="J304" s="873">
        <f t="shared" si="255"/>
        <v>0</v>
      </c>
      <c r="K304" s="873">
        <f t="shared" si="255"/>
        <v>0</v>
      </c>
      <c r="L304" s="873">
        <f t="shared" si="255"/>
        <v>0</v>
      </c>
      <c r="M304" s="873">
        <f t="shared" si="255"/>
        <v>0</v>
      </c>
      <c r="N304" s="873">
        <f t="shared" si="255"/>
        <v>0</v>
      </c>
      <c r="O304" s="873">
        <f t="shared" si="255"/>
        <v>0</v>
      </c>
      <c r="P304" s="873">
        <f t="shared" si="255"/>
        <v>90935621</v>
      </c>
      <c r="Q304" s="194"/>
      <c r="R304" s="195"/>
    </row>
    <row r="305" spans="1:18" ht="138.75" thickTop="1" thickBot="1" x14ac:dyDescent="0.25">
      <c r="A305" s="879" t="s">
        <v>1334</v>
      </c>
      <c r="B305" s="879" t="s">
        <v>1335</v>
      </c>
      <c r="C305" s="879"/>
      <c r="D305" s="879" t="s">
        <v>1333</v>
      </c>
      <c r="E305" s="877">
        <f>E306</f>
        <v>2093008</v>
      </c>
      <c r="F305" s="877">
        <f t="shared" ref="F305:O305" si="256">F306</f>
        <v>2093008</v>
      </c>
      <c r="G305" s="877">
        <f t="shared" si="256"/>
        <v>0</v>
      </c>
      <c r="H305" s="877">
        <f t="shared" si="256"/>
        <v>0</v>
      </c>
      <c r="I305" s="877">
        <f t="shared" si="256"/>
        <v>0</v>
      </c>
      <c r="J305" s="877">
        <f t="shared" si="256"/>
        <v>0</v>
      </c>
      <c r="K305" s="877">
        <f t="shared" si="256"/>
        <v>0</v>
      </c>
      <c r="L305" s="877">
        <f t="shared" si="256"/>
        <v>0</v>
      </c>
      <c r="M305" s="877">
        <f t="shared" si="256"/>
        <v>0</v>
      </c>
      <c r="N305" s="877">
        <f t="shared" si="256"/>
        <v>0</v>
      </c>
      <c r="O305" s="877">
        <f t="shared" si="256"/>
        <v>0</v>
      </c>
      <c r="P305" s="877">
        <f t="shared" si="254"/>
        <v>2093008</v>
      </c>
      <c r="Q305" s="194"/>
      <c r="R305" s="195"/>
    </row>
    <row r="306" spans="1:18" ht="93" thickTop="1" thickBot="1" x14ac:dyDescent="0.25">
      <c r="A306" s="851" t="s">
        <v>504</v>
      </c>
      <c r="B306" s="851" t="s">
        <v>440</v>
      </c>
      <c r="C306" s="851" t="s">
        <v>441</v>
      </c>
      <c r="D306" s="851" t="s">
        <v>442</v>
      </c>
      <c r="E306" s="866">
        <f>F306</f>
        <v>2093008</v>
      </c>
      <c r="F306" s="878">
        <v>2093008</v>
      </c>
      <c r="G306" s="878"/>
      <c r="H306" s="878"/>
      <c r="I306" s="878"/>
      <c r="J306" s="866">
        <f>L306+O306</f>
        <v>0</v>
      </c>
      <c r="K306" s="878"/>
      <c r="L306" s="878"/>
      <c r="M306" s="878"/>
      <c r="N306" s="878"/>
      <c r="O306" s="867">
        <f>K306</f>
        <v>0</v>
      </c>
      <c r="P306" s="866">
        <f>E306+J306</f>
        <v>2093008</v>
      </c>
      <c r="Q306" s="194"/>
      <c r="R306" s="195"/>
    </row>
    <row r="307" spans="1:18" ht="138.75" thickTop="1" thickBot="1" x14ac:dyDescent="0.25">
      <c r="A307" s="879" t="s">
        <v>986</v>
      </c>
      <c r="B307" s="879" t="s">
        <v>987</v>
      </c>
      <c r="C307" s="879"/>
      <c r="D307" s="879" t="s">
        <v>988</v>
      </c>
      <c r="E307" s="877">
        <f>E308</f>
        <v>88642613</v>
      </c>
      <c r="F307" s="877">
        <f t="shared" si="254"/>
        <v>88642613</v>
      </c>
      <c r="G307" s="877">
        <f t="shared" si="254"/>
        <v>0</v>
      </c>
      <c r="H307" s="877">
        <f t="shared" si="254"/>
        <v>0</v>
      </c>
      <c r="I307" s="877">
        <f t="shared" si="254"/>
        <v>0</v>
      </c>
      <c r="J307" s="877">
        <f t="shared" si="254"/>
        <v>0</v>
      </c>
      <c r="K307" s="877">
        <f t="shared" si="254"/>
        <v>0</v>
      </c>
      <c r="L307" s="877">
        <f t="shared" si="254"/>
        <v>0</v>
      </c>
      <c r="M307" s="877">
        <f t="shared" si="254"/>
        <v>0</v>
      </c>
      <c r="N307" s="877">
        <f t="shared" si="254"/>
        <v>0</v>
      </c>
      <c r="O307" s="877">
        <f t="shared" si="254"/>
        <v>0</v>
      </c>
      <c r="P307" s="877">
        <f t="shared" si="254"/>
        <v>88642613</v>
      </c>
      <c r="Q307" s="194"/>
      <c r="R307" s="195"/>
    </row>
    <row r="308" spans="1:18" ht="93" thickTop="1" thickBot="1" x14ac:dyDescent="0.25">
      <c r="A308" s="851" t="s">
        <v>505</v>
      </c>
      <c r="B308" s="851" t="s">
        <v>309</v>
      </c>
      <c r="C308" s="851" t="s">
        <v>311</v>
      </c>
      <c r="D308" s="851" t="s">
        <v>310</v>
      </c>
      <c r="E308" s="866">
        <f>F308</f>
        <v>88642613</v>
      </c>
      <c r="F308" s="878">
        <f>(54505073)+34137540</f>
        <v>88642613</v>
      </c>
      <c r="G308" s="878"/>
      <c r="H308" s="878"/>
      <c r="I308" s="878"/>
      <c r="J308" s="866">
        <f>L308+O308</f>
        <v>0</v>
      </c>
      <c r="K308" s="878"/>
      <c r="L308" s="878"/>
      <c r="M308" s="878"/>
      <c r="N308" s="878"/>
      <c r="O308" s="867">
        <f>K308</f>
        <v>0</v>
      </c>
      <c r="P308" s="866">
        <f>E308+J308</f>
        <v>88642613</v>
      </c>
      <c r="Q308" s="194"/>
      <c r="R308" s="195"/>
    </row>
    <row r="309" spans="1:18" ht="93" thickTop="1" thickBot="1" x14ac:dyDescent="0.25">
      <c r="A309" s="851" t="s">
        <v>1462</v>
      </c>
      <c r="B309" s="851" t="s">
        <v>1463</v>
      </c>
      <c r="C309" s="851" t="s">
        <v>314</v>
      </c>
      <c r="D309" s="851" t="s">
        <v>1461</v>
      </c>
      <c r="E309" s="866">
        <f>F309</f>
        <v>200000</v>
      </c>
      <c r="F309" s="878">
        <v>200000</v>
      </c>
      <c r="G309" s="878"/>
      <c r="H309" s="878"/>
      <c r="I309" s="878"/>
      <c r="J309" s="866">
        <f>L309+O309</f>
        <v>0</v>
      </c>
      <c r="K309" s="878"/>
      <c r="L309" s="878"/>
      <c r="M309" s="878"/>
      <c r="N309" s="878"/>
      <c r="O309" s="867">
        <f>K309</f>
        <v>0</v>
      </c>
      <c r="P309" s="866">
        <f>E309+J309</f>
        <v>200000</v>
      </c>
      <c r="Q309" s="194"/>
      <c r="R309" s="195"/>
    </row>
    <row r="310" spans="1:18" ht="136.5" thickTop="1" thickBot="1" x14ac:dyDescent="0.25">
      <c r="A310" s="766" t="s">
        <v>180</v>
      </c>
      <c r="B310" s="766"/>
      <c r="C310" s="766"/>
      <c r="D310" s="767" t="s">
        <v>380</v>
      </c>
      <c r="E310" s="768">
        <f>E311</f>
        <v>12182501.41</v>
      </c>
      <c r="F310" s="769">
        <f t="shared" ref="F310:G310" si="257">F311</f>
        <v>12182501.41</v>
      </c>
      <c r="G310" s="769">
        <f t="shared" si="257"/>
        <v>0</v>
      </c>
      <c r="H310" s="769">
        <f>H311</f>
        <v>0</v>
      </c>
      <c r="I310" s="769">
        <f t="shared" ref="I310" si="258">I311</f>
        <v>0</v>
      </c>
      <c r="J310" s="768">
        <f>J311</f>
        <v>1569885</v>
      </c>
      <c r="K310" s="769">
        <f>K311</f>
        <v>1569885</v>
      </c>
      <c r="L310" s="769">
        <f>L311</f>
        <v>0</v>
      </c>
      <c r="M310" s="769">
        <f t="shared" ref="M310" si="259">M311</f>
        <v>0</v>
      </c>
      <c r="N310" s="769">
        <f>N311</f>
        <v>0</v>
      </c>
      <c r="O310" s="768">
        <f>O311</f>
        <v>1569885</v>
      </c>
      <c r="P310" s="769">
        <f t="shared" ref="P310" si="260">P311</f>
        <v>13752386.41</v>
      </c>
    </row>
    <row r="311" spans="1:18" ht="136.5" thickTop="1" thickBot="1" x14ac:dyDescent="0.25">
      <c r="A311" s="863" t="s">
        <v>181</v>
      </c>
      <c r="B311" s="863"/>
      <c r="C311" s="863"/>
      <c r="D311" s="864" t="s">
        <v>381</v>
      </c>
      <c r="E311" s="865">
        <f>E312+E320</f>
        <v>12182501.41</v>
      </c>
      <c r="F311" s="865">
        <f>F312+F320</f>
        <v>12182501.41</v>
      </c>
      <c r="G311" s="865">
        <f t="shared" ref="G311:O311" si="261">G312+G320</f>
        <v>0</v>
      </c>
      <c r="H311" s="865">
        <f t="shared" si="261"/>
        <v>0</v>
      </c>
      <c r="I311" s="865">
        <f t="shared" si="261"/>
        <v>0</v>
      </c>
      <c r="J311" s="865">
        <f t="shared" ref="J311:J319" si="262">L311+O311</f>
        <v>1569885</v>
      </c>
      <c r="K311" s="865">
        <f t="shared" si="261"/>
        <v>1569885</v>
      </c>
      <c r="L311" s="865">
        <f t="shared" si="261"/>
        <v>0</v>
      </c>
      <c r="M311" s="865">
        <f t="shared" si="261"/>
        <v>0</v>
      </c>
      <c r="N311" s="865">
        <f t="shared" si="261"/>
        <v>0</v>
      </c>
      <c r="O311" s="865">
        <f t="shared" si="261"/>
        <v>1569885</v>
      </c>
      <c r="P311" s="865">
        <f t="shared" ref="P311:P319" si="263">E311+J311</f>
        <v>13752386.41</v>
      </c>
      <c r="Q311" s="125" t="b">
        <f>P311=P316+P317+P319+P322+P314</f>
        <v>1</v>
      </c>
      <c r="R311" s="849" t="b">
        <f>K311=[1]d6!J305</f>
        <v>1</v>
      </c>
    </row>
    <row r="312" spans="1:18" ht="47.25" thickTop="1" thickBot="1" x14ac:dyDescent="0.25">
      <c r="A312" s="170" t="s">
        <v>989</v>
      </c>
      <c r="B312" s="170" t="s">
        <v>905</v>
      </c>
      <c r="C312" s="851"/>
      <c r="D312" s="170" t="s">
        <v>952</v>
      </c>
      <c r="E312" s="435">
        <f t="shared" ref="E312:P312" si="264">E315+E313</f>
        <v>10142501.41</v>
      </c>
      <c r="F312" s="435">
        <f t="shared" si="264"/>
        <v>10142501.41</v>
      </c>
      <c r="G312" s="435">
        <f t="shared" si="264"/>
        <v>0</v>
      </c>
      <c r="H312" s="435">
        <f t="shared" si="264"/>
        <v>0</v>
      </c>
      <c r="I312" s="435">
        <f t="shared" si="264"/>
        <v>0</v>
      </c>
      <c r="J312" s="435">
        <f t="shared" si="264"/>
        <v>209885</v>
      </c>
      <c r="K312" s="435">
        <f t="shared" si="264"/>
        <v>209885</v>
      </c>
      <c r="L312" s="435">
        <f t="shared" si="264"/>
        <v>0</v>
      </c>
      <c r="M312" s="435">
        <f t="shared" si="264"/>
        <v>0</v>
      </c>
      <c r="N312" s="435">
        <f t="shared" si="264"/>
        <v>0</v>
      </c>
      <c r="O312" s="435">
        <f t="shared" si="264"/>
        <v>209885</v>
      </c>
      <c r="P312" s="435">
        <f t="shared" si="264"/>
        <v>10352386.41</v>
      </c>
      <c r="Q312" s="125"/>
      <c r="R312" s="849"/>
    </row>
    <row r="313" spans="1:18" ht="91.5" thickTop="1" thickBot="1" x14ac:dyDescent="0.25">
      <c r="A313" s="872" t="s">
        <v>1331</v>
      </c>
      <c r="B313" s="872" t="s">
        <v>961</v>
      </c>
      <c r="C313" s="872"/>
      <c r="D313" s="872" t="s">
        <v>962</v>
      </c>
      <c r="E313" s="436">
        <f>E314</f>
        <v>70000</v>
      </c>
      <c r="F313" s="436">
        <f>F314</f>
        <v>70000</v>
      </c>
      <c r="G313" s="436">
        <f t="shared" ref="G313:O313" si="265">G314</f>
        <v>0</v>
      </c>
      <c r="H313" s="436">
        <f t="shared" si="265"/>
        <v>0</v>
      </c>
      <c r="I313" s="436">
        <f t="shared" si="265"/>
        <v>0</v>
      </c>
      <c r="J313" s="436">
        <f t="shared" si="265"/>
        <v>0</v>
      </c>
      <c r="K313" s="436">
        <f t="shared" si="265"/>
        <v>0</v>
      </c>
      <c r="L313" s="436">
        <f t="shared" si="265"/>
        <v>0</v>
      </c>
      <c r="M313" s="436">
        <f t="shared" si="265"/>
        <v>0</v>
      </c>
      <c r="N313" s="436">
        <f t="shared" si="265"/>
        <v>0</v>
      </c>
      <c r="O313" s="436">
        <f t="shared" si="265"/>
        <v>0</v>
      </c>
      <c r="P313" s="436">
        <f>P314</f>
        <v>70000</v>
      </c>
      <c r="Q313" s="125"/>
      <c r="R313" s="849"/>
    </row>
    <row r="314" spans="1:18" ht="138.75" thickTop="1" thickBot="1" x14ac:dyDescent="0.25">
      <c r="A314" s="851" t="s">
        <v>1332</v>
      </c>
      <c r="B314" s="851" t="s">
        <v>376</v>
      </c>
      <c r="C314" s="851" t="s">
        <v>184</v>
      </c>
      <c r="D314" s="851" t="s">
        <v>280</v>
      </c>
      <c r="E314" s="866">
        <f t="shared" ref="E314" si="266">F314</f>
        <v>70000</v>
      </c>
      <c r="F314" s="878">
        <v>70000</v>
      </c>
      <c r="G314" s="878"/>
      <c r="H314" s="878"/>
      <c r="I314" s="878"/>
      <c r="J314" s="866">
        <f t="shared" ref="J314" si="267">L314+O314</f>
        <v>0</v>
      </c>
      <c r="K314" s="878"/>
      <c r="L314" s="878"/>
      <c r="M314" s="878"/>
      <c r="N314" s="878"/>
      <c r="O314" s="867">
        <f>K314</f>
        <v>0</v>
      </c>
      <c r="P314" s="866">
        <f t="shared" ref="P314" si="268">E314+J314</f>
        <v>70000</v>
      </c>
      <c r="Q314" s="125"/>
      <c r="R314" s="849"/>
    </row>
    <row r="315" spans="1:18" ht="136.5" thickTop="1" thickBot="1" x14ac:dyDescent="0.25">
      <c r="A315" s="872" t="s">
        <v>990</v>
      </c>
      <c r="B315" s="872" t="s">
        <v>847</v>
      </c>
      <c r="C315" s="872"/>
      <c r="D315" s="872" t="s">
        <v>845</v>
      </c>
      <c r="E315" s="436">
        <f>SUM(E316:E319)-E318</f>
        <v>10072501.41</v>
      </c>
      <c r="F315" s="436">
        <f t="shared" ref="F315:P315" si="269">SUM(F316:F319)-F318</f>
        <v>10072501.41</v>
      </c>
      <c r="G315" s="436">
        <f t="shared" si="269"/>
        <v>0</v>
      </c>
      <c r="H315" s="436">
        <f t="shared" si="269"/>
        <v>0</v>
      </c>
      <c r="I315" s="436">
        <f t="shared" si="269"/>
        <v>0</v>
      </c>
      <c r="J315" s="436">
        <f t="shared" si="269"/>
        <v>209885</v>
      </c>
      <c r="K315" s="436">
        <f t="shared" si="269"/>
        <v>209885</v>
      </c>
      <c r="L315" s="436">
        <f t="shared" si="269"/>
        <v>0</v>
      </c>
      <c r="M315" s="436">
        <f t="shared" si="269"/>
        <v>0</v>
      </c>
      <c r="N315" s="436">
        <f t="shared" si="269"/>
        <v>0</v>
      </c>
      <c r="O315" s="436">
        <f t="shared" si="269"/>
        <v>209885</v>
      </c>
      <c r="P315" s="436">
        <f t="shared" si="269"/>
        <v>10282386.41</v>
      </c>
      <c r="Q315" s="125"/>
      <c r="R315" s="849"/>
    </row>
    <row r="316" spans="1:18" ht="93" thickTop="1" thickBot="1" x14ac:dyDescent="0.25">
      <c r="A316" s="851" t="s">
        <v>278</v>
      </c>
      <c r="B316" s="851" t="s">
        <v>279</v>
      </c>
      <c r="C316" s="851" t="s">
        <v>277</v>
      </c>
      <c r="D316" s="851" t="s">
        <v>276</v>
      </c>
      <c r="E316" s="866">
        <f t="shared" ref="E316:E319" si="270">F316</f>
        <v>4452230</v>
      </c>
      <c r="F316" s="878">
        <f>-150000+(-490000+300000+((5588200)-795970))</f>
        <v>4452230</v>
      </c>
      <c r="G316" s="878"/>
      <c r="H316" s="878"/>
      <c r="I316" s="878"/>
      <c r="J316" s="866">
        <f t="shared" si="262"/>
        <v>0</v>
      </c>
      <c r="K316" s="878"/>
      <c r="L316" s="878"/>
      <c r="M316" s="878"/>
      <c r="N316" s="878"/>
      <c r="O316" s="867">
        <f>K316</f>
        <v>0</v>
      </c>
      <c r="P316" s="866">
        <f t="shared" si="263"/>
        <v>4452230</v>
      </c>
      <c r="R316" s="849"/>
    </row>
    <row r="317" spans="1:18" ht="138.75" thickTop="1" thickBot="1" x14ac:dyDescent="0.25">
      <c r="A317" s="851" t="s">
        <v>270</v>
      </c>
      <c r="B317" s="851" t="s">
        <v>272</v>
      </c>
      <c r="C317" s="851" t="s">
        <v>231</v>
      </c>
      <c r="D317" s="851" t="s">
        <v>271</v>
      </c>
      <c r="E317" s="866">
        <f t="shared" si="270"/>
        <v>1235000</v>
      </c>
      <c r="F317" s="878">
        <f>(745000)+490000</f>
        <v>1235000</v>
      </c>
      <c r="G317" s="878"/>
      <c r="H317" s="878"/>
      <c r="I317" s="878"/>
      <c r="J317" s="866">
        <f t="shared" si="262"/>
        <v>0</v>
      </c>
      <c r="K317" s="878"/>
      <c r="L317" s="878"/>
      <c r="M317" s="878"/>
      <c r="N317" s="878"/>
      <c r="O317" s="867">
        <f>K317</f>
        <v>0</v>
      </c>
      <c r="P317" s="866">
        <f t="shared" si="263"/>
        <v>1235000</v>
      </c>
      <c r="R317" s="849"/>
    </row>
    <row r="318" spans="1:18" ht="48" thickTop="1" thickBot="1" x14ac:dyDescent="0.25">
      <c r="A318" s="879" t="s">
        <v>991</v>
      </c>
      <c r="B318" s="879" t="s">
        <v>850</v>
      </c>
      <c r="C318" s="879"/>
      <c r="D318" s="879" t="s">
        <v>848</v>
      </c>
      <c r="E318" s="877">
        <f>E319</f>
        <v>4385271.41</v>
      </c>
      <c r="F318" s="877">
        <f t="shared" ref="F318:P318" si="271">F319</f>
        <v>4385271.41</v>
      </c>
      <c r="G318" s="877">
        <f t="shared" si="271"/>
        <v>0</v>
      </c>
      <c r="H318" s="877">
        <f t="shared" si="271"/>
        <v>0</v>
      </c>
      <c r="I318" s="877">
        <f t="shared" si="271"/>
        <v>0</v>
      </c>
      <c r="J318" s="877">
        <f t="shared" si="271"/>
        <v>209885</v>
      </c>
      <c r="K318" s="877">
        <f t="shared" si="271"/>
        <v>209885</v>
      </c>
      <c r="L318" s="877">
        <f t="shared" si="271"/>
        <v>0</v>
      </c>
      <c r="M318" s="877">
        <f t="shared" si="271"/>
        <v>0</v>
      </c>
      <c r="N318" s="877">
        <f t="shared" si="271"/>
        <v>0</v>
      </c>
      <c r="O318" s="877">
        <f t="shared" si="271"/>
        <v>209885</v>
      </c>
      <c r="P318" s="877">
        <f t="shared" si="271"/>
        <v>4595156.41</v>
      </c>
      <c r="R318" s="849"/>
    </row>
    <row r="319" spans="1:18" ht="93" thickTop="1" thickBot="1" x14ac:dyDescent="0.25">
      <c r="A319" s="851" t="s">
        <v>274</v>
      </c>
      <c r="B319" s="851" t="s">
        <v>275</v>
      </c>
      <c r="C319" s="851" t="s">
        <v>184</v>
      </c>
      <c r="D319" s="851" t="s">
        <v>273</v>
      </c>
      <c r="E319" s="866">
        <f t="shared" si="270"/>
        <v>4385271.41</v>
      </c>
      <c r="F319" s="878">
        <f>500000+1500000+(30296+105938+(800000+2049580)-1600542.59+300000+700000)</f>
        <v>4385271.41</v>
      </c>
      <c r="G319" s="878"/>
      <c r="H319" s="878"/>
      <c r="I319" s="878"/>
      <c r="J319" s="866">
        <f t="shared" si="262"/>
        <v>209885</v>
      </c>
      <c r="K319" s="878">
        <f>(400000)-190115</f>
        <v>209885</v>
      </c>
      <c r="L319" s="878"/>
      <c r="M319" s="878"/>
      <c r="N319" s="878"/>
      <c r="O319" s="867">
        <f>K319</f>
        <v>209885</v>
      </c>
      <c r="P319" s="866">
        <f t="shared" si="263"/>
        <v>4595156.41</v>
      </c>
      <c r="R319" s="849" t="b">
        <f>K319=[1]d6!J306</f>
        <v>1</v>
      </c>
    </row>
    <row r="320" spans="1:18" ht="47.25" thickTop="1" thickBot="1" x14ac:dyDescent="0.25">
      <c r="A320" s="170" t="s">
        <v>1099</v>
      </c>
      <c r="B320" s="170" t="s">
        <v>858</v>
      </c>
      <c r="C320" s="170"/>
      <c r="D320" s="170" t="s">
        <v>859</v>
      </c>
      <c r="E320" s="866">
        <f>E321</f>
        <v>2040000</v>
      </c>
      <c r="F320" s="866">
        <f t="shared" ref="F320:P321" si="272">F321</f>
        <v>2040000</v>
      </c>
      <c r="G320" s="866">
        <f t="shared" si="272"/>
        <v>0</v>
      </c>
      <c r="H320" s="866">
        <f t="shared" si="272"/>
        <v>0</v>
      </c>
      <c r="I320" s="866">
        <f t="shared" si="272"/>
        <v>0</v>
      </c>
      <c r="J320" s="866">
        <f t="shared" si="272"/>
        <v>1360000</v>
      </c>
      <c r="K320" s="866">
        <f t="shared" si="272"/>
        <v>1360000</v>
      </c>
      <c r="L320" s="866">
        <f t="shared" si="272"/>
        <v>0</v>
      </c>
      <c r="M320" s="866">
        <f t="shared" si="272"/>
        <v>0</v>
      </c>
      <c r="N320" s="866">
        <f t="shared" si="272"/>
        <v>0</v>
      </c>
      <c r="O320" s="866">
        <f t="shared" si="272"/>
        <v>1360000</v>
      </c>
      <c r="P320" s="866">
        <f t="shared" si="272"/>
        <v>3400000</v>
      </c>
      <c r="R320" s="849"/>
    </row>
    <row r="321" spans="1:18" ht="271.5" thickTop="1" thickBot="1" x14ac:dyDescent="0.25">
      <c r="A321" s="872" t="s">
        <v>1100</v>
      </c>
      <c r="B321" s="872" t="s">
        <v>861</v>
      </c>
      <c r="C321" s="872"/>
      <c r="D321" s="872" t="s">
        <v>862</v>
      </c>
      <c r="E321" s="873">
        <f>E322</f>
        <v>2040000</v>
      </c>
      <c r="F321" s="873">
        <f t="shared" si="272"/>
        <v>2040000</v>
      </c>
      <c r="G321" s="873">
        <f t="shared" si="272"/>
        <v>0</v>
      </c>
      <c r="H321" s="873">
        <f t="shared" si="272"/>
        <v>0</v>
      </c>
      <c r="I321" s="873">
        <f t="shared" si="272"/>
        <v>0</v>
      </c>
      <c r="J321" s="873">
        <f t="shared" si="272"/>
        <v>1360000</v>
      </c>
      <c r="K321" s="873">
        <f t="shared" si="272"/>
        <v>1360000</v>
      </c>
      <c r="L321" s="873">
        <f t="shared" si="272"/>
        <v>0</v>
      </c>
      <c r="M321" s="873">
        <f t="shared" si="272"/>
        <v>0</v>
      </c>
      <c r="N321" s="873">
        <f t="shared" si="272"/>
        <v>0</v>
      </c>
      <c r="O321" s="873">
        <f t="shared" si="272"/>
        <v>1360000</v>
      </c>
      <c r="P321" s="873">
        <f t="shared" si="272"/>
        <v>3400000</v>
      </c>
      <c r="R321" s="849"/>
    </row>
    <row r="322" spans="1:18" ht="93" thickTop="1" thickBot="1" x14ac:dyDescent="0.25">
      <c r="A322" s="851" t="s">
        <v>1101</v>
      </c>
      <c r="B322" s="851" t="s">
        <v>389</v>
      </c>
      <c r="C322" s="851" t="s">
        <v>45</v>
      </c>
      <c r="D322" s="851" t="s">
        <v>390</v>
      </c>
      <c r="E322" s="866">
        <f t="shared" ref="E322" si="273">F322</f>
        <v>2040000</v>
      </c>
      <c r="F322" s="878">
        <f>((700000)+1000000)+340000</f>
        <v>2040000</v>
      </c>
      <c r="G322" s="878"/>
      <c r="H322" s="878"/>
      <c r="I322" s="878"/>
      <c r="J322" s="866">
        <f>L322+O322</f>
        <v>1360000</v>
      </c>
      <c r="K322" s="878">
        <f>(1000000)+700000-340000</f>
        <v>1360000</v>
      </c>
      <c r="L322" s="878"/>
      <c r="M322" s="878"/>
      <c r="N322" s="878"/>
      <c r="O322" s="867">
        <f>K322</f>
        <v>1360000</v>
      </c>
      <c r="P322" s="866">
        <f>E322+J322</f>
        <v>3400000</v>
      </c>
      <c r="R322" s="849" t="b">
        <f>K322=[1]d6!J307</f>
        <v>1</v>
      </c>
    </row>
    <row r="323" spans="1:18" ht="226.5" thickTop="1" thickBot="1" x14ac:dyDescent="0.25">
      <c r="A323" s="766" t="s">
        <v>178</v>
      </c>
      <c r="B323" s="766"/>
      <c r="C323" s="766"/>
      <c r="D323" s="767" t="s">
        <v>1058</v>
      </c>
      <c r="E323" s="768">
        <f>E324</f>
        <v>5845885</v>
      </c>
      <c r="F323" s="769">
        <f t="shared" ref="F323:G323" si="274">F324</f>
        <v>5845885</v>
      </c>
      <c r="G323" s="769">
        <f t="shared" si="274"/>
        <v>4568055</v>
      </c>
      <c r="H323" s="769">
        <f>H324</f>
        <v>89200</v>
      </c>
      <c r="I323" s="769">
        <f t="shared" ref="I323" si="275">I324</f>
        <v>0</v>
      </c>
      <c r="J323" s="768">
        <f>J324</f>
        <v>3249138.96</v>
      </c>
      <c r="K323" s="769">
        <f>K324</f>
        <v>64000</v>
      </c>
      <c r="L323" s="769">
        <f>L324</f>
        <v>1485138.96</v>
      </c>
      <c r="M323" s="769">
        <f t="shared" ref="M323" si="276">M324</f>
        <v>0</v>
      </c>
      <c r="N323" s="769">
        <f>N324</f>
        <v>0</v>
      </c>
      <c r="O323" s="768">
        <f>O324</f>
        <v>1764000</v>
      </c>
      <c r="P323" s="769">
        <f t="shared" ref="P323" si="277">P324</f>
        <v>9095023.9600000009</v>
      </c>
    </row>
    <row r="324" spans="1:18" ht="226.5" thickTop="1" thickBot="1" x14ac:dyDescent="0.25">
      <c r="A324" s="863" t="s">
        <v>179</v>
      </c>
      <c r="B324" s="863"/>
      <c r="C324" s="863"/>
      <c r="D324" s="864" t="s">
        <v>1057</v>
      </c>
      <c r="E324" s="865">
        <f>E325+E328</f>
        <v>5845885</v>
      </c>
      <c r="F324" s="865">
        <f t="shared" ref="F324:I324" si="278">F325+F328</f>
        <v>5845885</v>
      </c>
      <c r="G324" s="865">
        <f t="shared" si="278"/>
        <v>4568055</v>
      </c>
      <c r="H324" s="865">
        <f t="shared" si="278"/>
        <v>89200</v>
      </c>
      <c r="I324" s="865">
        <f t="shared" si="278"/>
        <v>0</v>
      </c>
      <c r="J324" s="865">
        <f>L324+O324</f>
        <v>3249138.96</v>
      </c>
      <c r="K324" s="865">
        <f t="shared" ref="K324:O324" si="279">K325+K328</f>
        <v>64000</v>
      </c>
      <c r="L324" s="865">
        <f t="shared" si="279"/>
        <v>1485138.96</v>
      </c>
      <c r="M324" s="865">
        <f t="shared" si="279"/>
        <v>0</v>
      </c>
      <c r="N324" s="865">
        <f t="shared" si="279"/>
        <v>0</v>
      </c>
      <c r="O324" s="865">
        <f t="shared" si="279"/>
        <v>1764000</v>
      </c>
      <c r="P324" s="865">
        <f t="shared" ref="P324:P334" si="280">E324+J324</f>
        <v>9095023.9600000009</v>
      </c>
      <c r="Q324" s="125" t="b">
        <f>P324=P331+P334+P326+P332+P333+P327</f>
        <v>1</v>
      </c>
      <c r="R324" s="849" t="b">
        <f>K324=[1]d6!J308</f>
        <v>1</v>
      </c>
    </row>
    <row r="325" spans="1:18" ht="47.25" thickTop="1" thickBot="1" x14ac:dyDescent="0.25">
      <c r="A325" s="170" t="s">
        <v>992</v>
      </c>
      <c r="B325" s="170" t="s">
        <v>840</v>
      </c>
      <c r="C325" s="170"/>
      <c r="D325" s="170" t="s">
        <v>841</v>
      </c>
      <c r="E325" s="866">
        <f>SUM(E326:E327)</f>
        <v>5845885</v>
      </c>
      <c r="F325" s="866">
        <f t="shared" ref="F325:N325" si="281">SUM(F326:F327)</f>
        <v>5845885</v>
      </c>
      <c r="G325" s="866">
        <f t="shared" si="281"/>
        <v>4568055</v>
      </c>
      <c r="H325" s="866">
        <f t="shared" si="281"/>
        <v>89200</v>
      </c>
      <c r="I325" s="866">
        <f t="shared" si="281"/>
        <v>0</v>
      </c>
      <c r="J325" s="866">
        <f t="shared" si="281"/>
        <v>64000</v>
      </c>
      <c r="K325" s="866">
        <f t="shared" si="281"/>
        <v>64000</v>
      </c>
      <c r="L325" s="866">
        <f t="shared" si="281"/>
        <v>0</v>
      </c>
      <c r="M325" s="866">
        <f t="shared" si="281"/>
        <v>0</v>
      </c>
      <c r="N325" s="866">
        <f t="shared" si="281"/>
        <v>0</v>
      </c>
      <c r="O325" s="866">
        <f>SUM(O326:O327)</f>
        <v>64000</v>
      </c>
      <c r="P325" s="866">
        <f t="shared" ref="P325" si="282">SUM(P326:P327)</f>
        <v>5909885</v>
      </c>
      <c r="Q325" s="125"/>
      <c r="R325" s="849"/>
    </row>
    <row r="326" spans="1:18" s="99" customFormat="1" ht="230.25" thickTop="1" thickBot="1" x14ac:dyDescent="0.25">
      <c r="A326" s="851" t="s">
        <v>450</v>
      </c>
      <c r="B326" s="851" t="s">
        <v>254</v>
      </c>
      <c r="C326" s="851" t="s">
        <v>252</v>
      </c>
      <c r="D326" s="851" t="s">
        <v>253</v>
      </c>
      <c r="E326" s="866">
        <f>F326</f>
        <v>5840885</v>
      </c>
      <c r="F326" s="878">
        <f>-40000-84000-10000-4500+(5984385-5000)</f>
        <v>5840885</v>
      </c>
      <c r="G326" s="878">
        <f>-40000+(4608055)</f>
        <v>4568055</v>
      </c>
      <c r="H326" s="878">
        <f>-10000-4500+(70880+8160+21000+3660)</f>
        <v>89200</v>
      </c>
      <c r="I326" s="878"/>
      <c r="J326" s="866">
        <f t="shared" ref="J326:J334" si="283">L326+O326</f>
        <v>64000</v>
      </c>
      <c r="K326" s="878">
        <f>(18000)+46000</f>
        <v>64000</v>
      </c>
      <c r="L326" s="878"/>
      <c r="M326" s="878"/>
      <c r="N326" s="878"/>
      <c r="O326" s="867">
        <f>K326</f>
        <v>64000</v>
      </c>
      <c r="P326" s="866">
        <f t="shared" si="280"/>
        <v>5904885</v>
      </c>
      <c r="Q326" s="254"/>
      <c r="R326" s="849" t="b">
        <f>K326=[1]d6!J310</f>
        <v>1</v>
      </c>
    </row>
    <row r="327" spans="1:18" s="99" customFormat="1" ht="184.5" thickTop="1" thickBot="1" x14ac:dyDescent="0.25">
      <c r="A327" s="851" t="s">
        <v>788</v>
      </c>
      <c r="B327" s="851" t="s">
        <v>388</v>
      </c>
      <c r="C327" s="851" t="s">
        <v>775</v>
      </c>
      <c r="D327" s="851" t="s">
        <v>776</v>
      </c>
      <c r="E327" s="313">
        <f>F327</f>
        <v>5000</v>
      </c>
      <c r="F327" s="167">
        <v>5000</v>
      </c>
      <c r="G327" s="167"/>
      <c r="H327" s="167"/>
      <c r="I327" s="167"/>
      <c r="J327" s="866">
        <f t="shared" si="283"/>
        <v>0</v>
      </c>
      <c r="K327" s="167"/>
      <c r="L327" s="761"/>
      <c r="M327" s="761"/>
      <c r="N327" s="761"/>
      <c r="O327" s="867">
        <f t="shared" ref="O327" si="284">K327</f>
        <v>0</v>
      </c>
      <c r="P327" s="866">
        <f t="shared" ref="P327" si="285">+J327+E327</f>
        <v>5000</v>
      </c>
      <c r="Q327" s="254"/>
      <c r="R327" s="849"/>
    </row>
    <row r="328" spans="1:18" s="99" customFormat="1" ht="47.25" thickTop="1" thickBot="1" x14ac:dyDescent="0.25">
      <c r="A328" s="170" t="s">
        <v>993</v>
      </c>
      <c r="B328" s="170" t="s">
        <v>852</v>
      </c>
      <c r="C328" s="170"/>
      <c r="D328" s="170" t="s">
        <v>853</v>
      </c>
      <c r="E328" s="313">
        <f>E329</f>
        <v>0</v>
      </c>
      <c r="F328" s="313">
        <f t="shared" ref="F328:P328" si="286">F329</f>
        <v>0</v>
      </c>
      <c r="G328" s="313">
        <f t="shared" si="286"/>
        <v>0</v>
      </c>
      <c r="H328" s="313">
        <f t="shared" si="286"/>
        <v>0</v>
      </c>
      <c r="I328" s="313">
        <f t="shared" si="286"/>
        <v>0</v>
      </c>
      <c r="J328" s="313">
        <f t="shared" si="286"/>
        <v>3185138.96</v>
      </c>
      <c r="K328" s="313">
        <f t="shared" si="286"/>
        <v>0</v>
      </c>
      <c r="L328" s="313">
        <f t="shared" si="286"/>
        <v>1485138.96</v>
      </c>
      <c r="M328" s="313">
        <f t="shared" si="286"/>
        <v>0</v>
      </c>
      <c r="N328" s="313">
        <f t="shared" si="286"/>
        <v>0</v>
      </c>
      <c r="O328" s="313">
        <f t="shared" si="286"/>
        <v>1700000</v>
      </c>
      <c r="P328" s="313">
        <f t="shared" si="286"/>
        <v>3185138.96</v>
      </c>
      <c r="Q328" s="254"/>
      <c r="R328" s="849"/>
    </row>
    <row r="329" spans="1:18" s="99" customFormat="1" ht="91.5" thickTop="1" thickBot="1" x14ac:dyDescent="0.25">
      <c r="A329" s="872" t="s">
        <v>994</v>
      </c>
      <c r="B329" s="872" t="s">
        <v>995</v>
      </c>
      <c r="C329" s="872"/>
      <c r="D329" s="872" t="s">
        <v>996</v>
      </c>
      <c r="E329" s="429">
        <f>SUM(E330:E334)-E330</f>
        <v>0</v>
      </c>
      <c r="F329" s="429">
        <f t="shared" ref="F329:P329" si="287">SUM(F330:F334)-F330</f>
        <v>0</v>
      </c>
      <c r="G329" s="429">
        <f t="shared" si="287"/>
        <v>0</v>
      </c>
      <c r="H329" s="429">
        <f t="shared" si="287"/>
        <v>0</v>
      </c>
      <c r="I329" s="429">
        <f t="shared" si="287"/>
        <v>0</v>
      </c>
      <c r="J329" s="429">
        <f t="shared" si="287"/>
        <v>3185138.96</v>
      </c>
      <c r="K329" s="429">
        <f t="shared" si="287"/>
        <v>0</v>
      </c>
      <c r="L329" s="429">
        <f t="shared" si="287"/>
        <v>1485138.96</v>
      </c>
      <c r="M329" s="429">
        <f t="shared" si="287"/>
        <v>0</v>
      </c>
      <c r="N329" s="429">
        <f t="shared" si="287"/>
        <v>0</v>
      </c>
      <c r="O329" s="429">
        <f t="shared" si="287"/>
        <v>1700000</v>
      </c>
      <c r="P329" s="429">
        <f t="shared" si="287"/>
        <v>3185138.96</v>
      </c>
      <c r="Q329" s="254"/>
      <c r="R329" s="849"/>
    </row>
    <row r="330" spans="1:18" s="99" customFormat="1" ht="138.75" thickTop="1" thickBot="1" x14ac:dyDescent="0.25">
      <c r="A330" s="879" t="s">
        <v>997</v>
      </c>
      <c r="B330" s="879" t="s">
        <v>998</v>
      </c>
      <c r="C330" s="879"/>
      <c r="D330" s="879" t="s">
        <v>999</v>
      </c>
      <c r="E330" s="430">
        <f>SUM(E331:E332)</f>
        <v>0</v>
      </c>
      <c r="F330" s="430">
        <f t="shared" ref="F330:P330" si="288">SUM(F331:F332)</f>
        <v>0</v>
      </c>
      <c r="G330" s="430">
        <f t="shared" si="288"/>
        <v>0</v>
      </c>
      <c r="H330" s="430">
        <f t="shared" si="288"/>
        <v>0</v>
      </c>
      <c r="I330" s="430">
        <f t="shared" si="288"/>
        <v>0</v>
      </c>
      <c r="J330" s="430">
        <f t="shared" si="288"/>
        <v>765138.96</v>
      </c>
      <c r="K330" s="430">
        <f t="shared" si="288"/>
        <v>0</v>
      </c>
      <c r="L330" s="430">
        <f t="shared" si="288"/>
        <v>765138.96</v>
      </c>
      <c r="M330" s="430">
        <f t="shared" si="288"/>
        <v>0</v>
      </c>
      <c r="N330" s="430">
        <f t="shared" si="288"/>
        <v>0</v>
      </c>
      <c r="O330" s="430">
        <f t="shared" si="288"/>
        <v>0</v>
      </c>
      <c r="P330" s="430">
        <f t="shared" si="288"/>
        <v>765138.96</v>
      </c>
      <c r="Q330" s="254"/>
      <c r="R330" s="849"/>
    </row>
    <row r="331" spans="1:18" s="99" customFormat="1" ht="138.75" thickTop="1" thickBot="1" x14ac:dyDescent="0.25">
      <c r="A331" s="851" t="s">
        <v>328</v>
      </c>
      <c r="B331" s="851" t="s">
        <v>329</v>
      </c>
      <c r="C331" s="851" t="s">
        <v>54</v>
      </c>
      <c r="D331" s="851" t="s">
        <v>55</v>
      </c>
      <c r="E331" s="866">
        <f t="shared" ref="E331:E333" si="289">F331</f>
        <v>0</v>
      </c>
      <c r="F331" s="878"/>
      <c r="G331" s="878"/>
      <c r="H331" s="878"/>
      <c r="I331" s="878"/>
      <c r="J331" s="866">
        <f t="shared" si="283"/>
        <v>403900</v>
      </c>
      <c r="K331" s="878"/>
      <c r="L331" s="878">
        <f>(248900)+155000</f>
        <v>403900</v>
      </c>
      <c r="M331" s="878"/>
      <c r="N331" s="878"/>
      <c r="O331" s="867">
        <f t="shared" ref="O331:O332" si="290">K331</f>
        <v>0</v>
      </c>
      <c r="P331" s="866">
        <f t="shared" si="280"/>
        <v>403900</v>
      </c>
      <c r="Q331" s="125" t="b">
        <f>J331=[1]d9!F13+[1]d9!F14+[1]d9!F15+[1]d9!F16</f>
        <v>1</v>
      </c>
      <c r="R331" s="198"/>
    </row>
    <row r="332" spans="1:18" s="99" customFormat="1" ht="48" thickTop="1" thickBot="1" x14ac:dyDescent="0.25">
      <c r="A332" s="851" t="s">
        <v>508</v>
      </c>
      <c r="B332" s="851" t="s">
        <v>509</v>
      </c>
      <c r="C332" s="851" t="s">
        <v>507</v>
      </c>
      <c r="D332" s="851" t="s">
        <v>510</v>
      </c>
      <c r="E332" s="866">
        <f t="shared" si="289"/>
        <v>0</v>
      </c>
      <c r="F332" s="878"/>
      <c r="G332" s="878"/>
      <c r="H332" s="878"/>
      <c r="I332" s="878"/>
      <c r="J332" s="866">
        <f t="shared" si="283"/>
        <v>361238.96</v>
      </c>
      <c r="K332" s="878"/>
      <c r="L332" s="878">
        <f>(70000)+291238.96</f>
        <v>361238.96</v>
      </c>
      <c r="M332" s="878"/>
      <c r="N332" s="878"/>
      <c r="O332" s="867">
        <f t="shared" si="290"/>
        <v>0</v>
      </c>
      <c r="P332" s="866">
        <f t="shared" si="280"/>
        <v>361238.96</v>
      </c>
      <c r="Q332" s="125" t="b">
        <f>J332=[1]d9!F17+[1]d9!F18</f>
        <v>1</v>
      </c>
      <c r="R332" s="198"/>
    </row>
    <row r="333" spans="1:18" s="99" customFormat="1" ht="93" thickTop="1" thickBot="1" x14ac:dyDescent="0.25">
      <c r="A333" s="851" t="s">
        <v>569</v>
      </c>
      <c r="B333" s="851" t="s">
        <v>567</v>
      </c>
      <c r="C333" s="851" t="s">
        <v>570</v>
      </c>
      <c r="D333" s="851" t="s">
        <v>568</v>
      </c>
      <c r="E333" s="866">
        <f t="shared" si="289"/>
        <v>0</v>
      </c>
      <c r="F333" s="878"/>
      <c r="G333" s="878"/>
      <c r="H333" s="878"/>
      <c r="I333" s="878"/>
      <c r="J333" s="866">
        <f t="shared" si="283"/>
        <v>175000</v>
      </c>
      <c r="K333" s="878"/>
      <c r="L333" s="878">
        <f>(125000)+50000</f>
        <v>175000</v>
      </c>
      <c r="M333" s="878"/>
      <c r="N333" s="878"/>
      <c r="O333" s="867">
        <f>K333</f>
        <v>0</v>
      </c>
      <c r="P333" s="866">
        <f t="shared" si="280"/>
        <v>175000</v>
      </c>
      <c r="Q333" s="125" t="b">
        <f>J333=[1]d9!F19+[1]d9!F20+[1]d9!F21</f>
        <v>1</v>
      </c>
      <c r="R333" s="198"/>
    </row>
    <row r="334" spans="1:18" s="99" customFormat="1" ht="138.75" thickTop="1" thickBot="1" x14ac:dyDescent="0.25">
      <c r="A334" s="851" t="s">
        <v>330</v>
      </c>
      <c r="B334" s="851" t="s">
        <v>331</v>
      </c>
      <c r="C334" s="851" t="s">
        <v>56</v>
      </c>
      <c r="D334" s="851" t="s">
        <v>511</v>
      </c>
      <c r="E334" s="866">
        <v>0</v>
      </c>
      <c r="F334" s="878"/>
      <c r="G334" s="878"/>
      <c r="H334" s="878"/>
      <c r="I334" s="878"/>
      <c r="J334" s="866">
        <f t="shared" si="283"/>
        <v>2245000</v>
      </c>
      <c r="K334" s="866"/>
      <c r="L334" s="878">
        <f>(187000)+358000</f>
        <v>545000</v>
      </c>
      <c r="M334" s="878"/>
      <c r="N334" s="878"/>
      <c r="O334" s="867">
        <f>K334+1700000</f>
        <v>1700000</v>
      </c>
      <c r="P334" s="866">
        <f t="shared" si="280"/>
        <v>2245000</v>
      </c>
      <c r="Q334" s="125" t="b">
        <f>J334=[1]d9!F22+[1]d9!F23+[1]d9!F24+[1]d9!F25+[1]d9!F26+[1]d9!F27+[1]d9!F28+1700000</f>
        <v>1</v>
      </c>
      <c r="R334" s="198"/>
    </row>
    <row r="335" spans="1:18" ht="181.5" thickTop="1" thickBot="1" x14ac:dyDescent="0.25">
      <c r="A335" s="766" t="s">
        <v>176</v>
      </c>
      <c r="B335" s="766"/>
      <c r="C335" s="766"/>
      <c r="D335" s="767" t="s">
        <v>1070</v>
      </c>
      <c r="E335" s="768">
        <f>E336</f>
        <v>7101225</v>
      </c>
      <c r="F335" s="769">
        <f t="shared" ref="F335:G335" si="291">F336</f>
        <v>7101225</v>
      </c>
      <c r="G335" s="769">
        <f t="shared" si="291"/>
        <v>5311200</v>
      </c>
      <c r="H335" s="769">
        <f>H336</f>
        <v>99200</v>
      </c>
      <c r="I335" s="769">
        <f t="shared" ref="I335" si="292">I336</f>
        <v>0</v>
      </c>
      <c r="J335" s="768">
        <f>J336</f>
        <v>350000</v>
      </c>
      <c r="K335" s="769">
        <f>K336</f>
        <v>350000</v>
      </c>
      <c r="L335" s="769">
        <f>L336</f>
        <v>0</v>
      </c>
      <c r="M335" s="769">
        <f t="shared" ref="M335" si="293">M336</f>
        <v>0</v>
      </c>
      <c r="N335" s="769">
        <f>N336</f>
        <v>0</v>
      </c>
      <c r="O335" s="768">
        <f>O336</f>
        <v>350000</v>
      </c>
      <c r="P335" s="769">
        <f t="shared" ref="P335" si="294">P336</f>
        <v>7451225</v>
      </c>
    </row>
    <row r="336" spans="1:18" ht="181.5" thickTop="1" thickBot="1" x14ac:dyDescent="0.25">
      <c r="A336" s="863" t="s">
        <v>177</v>
      </c>
      <c r="B336" s="863"/>
      <c r="C336" s="863"/>
      <c r="D336" s="864" t="s">
        <v>1069</v>
      </c>
      <c r="E336" s="865">
        <f>E337+E339</f>
        <v>7101225</v>
      </c>
      <c r="F336" s="865">
        <f t="shared" ref="F336:I336" si="295">F337+F339</f>
        <v>7101225</v>
      </c>
      <c r="G336" s="865">
        <f t="shared" si="295"/>
        <v>5311200</v>
      </c>
      <c r="H336" s="865">
        <f t="shared" si="295"/>
        <v>99200</v>
      </c>
      <c r="I336" s="865">
        <f t="shared" si="295"/>
        <v>0</v>
      </c>
      <c r="J336" s="865">
        <f>L336+O336</f>
        <v>350000</v>
      </c>
      <c r="K336" s="865">
        <f t="shared" ref="K336:O336" si="296">K337+K339</f>
        <v>350000</v>
      </c>
      <c r="L336" s="865">
        <f t="shared" si="296"/>
        <v>0</v>
      </c>
      <c r="M336" s="865">
        <f t="shared" si="296"/>
        <v>0</v>
      </c>
      <c r="N336" s="865">
        <f t="shared" si="296"/>
        <v>0</v>
      </c>
      <c r="O336" s="865">
        <f t="shared" si="296"/>
        <v>350000</v>
      </c>
      <c r="P336" s="865">
        <f>E336+J336</f>
        <v>7451225</v>
      </c>
      <c r="Q336" s="125" t="b">
        <f>P336=P341+P343+P338</f>
        <v>1</v>
      </c>
      <c r="R336" s="125" t="b">
        <f>K336=[1]d6!J311</f>
        <v>1</v>
      </c>
    </row>
    <row r="337" spans="1:19" ht="47.25" thickTop="1" thickBot="1" x14ac:dyDescent="0.25">
      <c r="A337" s="170" t="s">
        <v>1000</v>
      </c>
      <c r="B337" s="170" t="s">
        <v>840</v>
      </c>
      <c r="C337" s="170"/>
      <c r="D337" s="170" t="s">
        <v>841</v>
      </c>
      <c r="E337" s="866">
        <f>SUM(E338)</f>
        <v>7101225</v>
      </c>
      <c r="F337" s="866">
        <f t="shared" ref="F337:P337" si="297">SUM(F338)</f>
        <v>7101225</v>
      </c>
      <c r="G337" s="866">
        <f t="shared" si="297"/>
        <v>5311200</v>
      </c>
      <c r="H337" s="866">
        <f t="shared" si="297"/>
        <v>99200</v>
      </c>
      <c r="I337" s="866">
        <f t="shared" si="297"/>
        <v>0</v>
      </c>
      <c r="J337" s="866">
        <f t="shared" si="297"/>
        <v>100000</v>
      </c>
      <c r="K337" s="866">
        <f t="shared" si="297"/>
        <v>100000</v>
      </c>
      <c r="L337" s="866">
        <f t="shared" si="297"/>
        <v>0</v>
      </c>
      <c r="M337" s="866">
        <f t="shared" si="297"/>
        <v>0</v>
      </c>
      <c r="N337" s="866">
        <f t="shared" si="297"/>
        <v>0</v>
      </c>
      <c r="O337" s="866">
        <f t="shared" si="297"/>
        <v>100000</v>
      </c>
      <c r="P337" s="866">
        <f t="shared" si="297"/>
        <v>7201225</v>
      </c>
      <c r="Q337" s="125"/>
      <c r="R337" s="125"/>
    </row>
    <row r="338" spans="1:19" ht="230.25" thickTop="1" thickBot="1" x14ac:dyDescent="0.25">
      <c r="A338" s="851" t="s">
        <v>446</v>
      </c>
      <c r="B338" s="851" t="s">
        <v>254</v>
      </c>
      <c r="C338" s="851" t="s">
        <v>252</v>
      </c>
      <c r="D338" s="851" t="s">
        <v>253</v>
      </c>
      <c r="E338" s="866">
        <f>F338</f>
        <v>7101225</v>
      </c>
      <c r="F338" s="878">
        <f>23900+2600+((5014525)+1688700+371500)</f>
        <v>7101225</v>
      </c>
      <c r="G338" s="878">
        <f>(3622500)+1688700</f>
        <v>5311200</v>
      </c>
      <c r="H338" s="878">
        <f>23900+2600+(53320+2000+17380)</f>
        <v>99200</v>
      </c>
      <c r="I338" s="878"/>
      <c r="J338" s="866">
        <f>L338+O338</f>
        <v>100000</v>
      </c>
      <c r="K338" s="878">
        <v>100000</v>
      </c>
      <c r="L338" s="878"/>
      <c r="M338" s="878"/>
      <c r="N338" s="878"/>
      <c r="O338" s="867">
        <f>K338</f>
        <v>100000</v>
      </c>
      <c r="P338" s="866">
        <f>E338+J338</f>
        <v>7201225</v>
      </c>
      <c r="R338" s="125" t="b">
        <f>K338=[1]d6!J313</f>
        <v>1</v>
      </c>
    </row>
    <row r="339" spans="1:19" ht="47.25" thickTop="1" thickBot="1" x14ac:dyDescent="0.25">
      <c r="A339" s="170" t="s">
        <v>1001</v>
      </c>
      <c r="B339" s="170" t="s">
        <v>905</v>
      </c>
      <c r="C339" s="851"/>
      <c r="D339" s="170" t="s">
        <v>952</v>
      </c>
      <c r="E339" s="866">
        <f t="shared" ref="E339:P339" si="298">E340+E342</f>
        <v>0</v>
      </c>
      <c r="F339" s="866">
        <f t="shared" si="298"/>
        <v>0</v>
      </c>
      <c r="G339" s="866">
        <f t="shared" si="298"/>
        <v>0</v>
      </c>
      <c r="H339" s="866">
        <f t="shared" si="298"/>
        <v>0</v>
      </c>
      <c r="I339" s="866">
        <f t="shared" si="298"/>
        <v>0</v>
      </c>
      <c r="J339" s="866">
        <f t="shared" si="298"/>
        <v>250000</v>
      </c>
      <c r="K339" s="866">
        <f t="shared" si="298"/>
        <v>250000</v>
      </c>
      <c r="L339" s="866">
        <f t="shared" si="298"/>
        <v>0</v>
      </c>
      <c r="M339" s="866">
        <f t="shared" si="298"/>
        <v>0</v>
      </c>
      <c r="N339" s="866">
        <f t="shared" si="298"/>
        <v>0</v>
      </c>
      <c r="O339" s="866">
        <f t="shared" si="298"/>
        <v>250000</v>
      </c>
      <c r="P339" s="866">
        <f t="shared" si="298"/>
        <v>250000</v>
      </c>
      <c r="Q339" s="836"/>
      <c r="R339" s="194"/>
    </row>
    <row r="340" spans="1:19" ht="91.5" thickTop="1" thickBot="1" x14ac:dyDescent="0.25">
      <c r="A340" s="872" t="s">
        <v>1002</v>
      </c>
      <c r="B340" s="872" t="s">
        <v>1003</v>
      </c>
      <c r="C340" s="872"/>
      <c r="D340" s="872" t="s">
        <v>1004</v>
      </c>
      <c r="E340" s="873">
        <f>SUM(E341)</f>
        <v>0</v>
      </c>
      <c r="F340" s="873">
        <f t="shared" ref="F340:P340" si="299">SUM(F341)</f>
        <v>0</v>
      </c>
      <c r="G340" s="873">
        <f t="shared" si="299"/>
        <v>0</v>
      </c>
      <c r="H340" s="873">
        <f t="shared" si="299"/>
        <v>0</v>
      </c>
      <c r="I340" s="873">
        <f t="shared" si="299"/>
        <v>0</v>
      </c>
      <c r="J340" s="873">
        <f t="shared" si="299"/>
        <v>200000</v>
      </c>
      <c r="K340" s="873">
        <f t="shared" si="299"/>
        <v>200000</v>
      </c>
      <c r="L340" s="873">
        <f t="shared" si="299"/>
        <v>0</v>
      </c>
      <c r="M340" s="873">
        <f t="shared" si="299"/>
        <v>0</v>
      </c>
      <c r="N340" s="873">
        <f t="shared" si="299"/>
        <v>0</v>
      </c>
      <c r="O340" s="873">
        <f t="shared" si="299"/>
        <v>200000</v>
      </c>
      <c r="P340" s="873">
        <f t="shared" si="299"/>
        <v>200000</v>
      </c>
      <c r="Q340" s="836"/>
      <c r="R340" s="194"/>
    </row>
    <row r="341" spans="1:19" ht="93" thickTop="1" thickBot="1" x14ac:dyDescent="0.25">
      <c r="A341" s="851" t="s">
        <v>325</v>
      </c>
      <c r="B341" s="851" t="s">
        <v>326</v>
      </c>
      <c r="C341" s="851" t="s">
        <v>327</v>
      </c>
      <c r="D341" s="851" t="s">
        <v>497</v>
      </c>
      <c r="E341" s="866">
        <f>F341</f>
        <v>0</v>
      </c>
      <c r="F341" s="878"/>
      <c r="G341" s="878"/>
      <c r="H341" s="878"/>
      <c r="I341" s="878"/>
      <c r="J341" s="866">
        <f>L341+O341</f>
        <v>200000</v>
      </c>
      <c r="K341" s="878">
        <v>200000</v>
      </c>
      <c r="L341" s="878"/>
      <c r="M341" s="878"/>
      <c r="N341" s="878"/>
      <c r="O341" s="867">
        <v>200000</v>
      </c>
      <c r="P341" s="866">
        <f>E341+J341</f>
        <v>200000</v>
      </c>
      <c r="R341" s="125" t="b">
        <f>K341=[1]d6!J314+[1]d6!J315</f>
        <v>1</v>
      </c>
    </row>
    <row r="342" spans="1:19" ht="136.5" thickTop="1" thickBot="1" x14ac:dyDescent="0.25">
      <c r="A342" s="872" t="s">
        <v>1005</v>
      </c>
      <c r="B342" s="872" t="s">
        <v>847</v>
      </c>
      <c r="C342" s="851"/>
      <c r="D342" s="872" t="s">
        <v>1006</v>
      </c>
      <c r="E342" s="873">
        <f>SUM(E343)</f>
        <v>0</v>
      </c>
      <c r="F342" s="873">
        <f t="shared" ref="F342:P342" si="300">SUM(F343)</f>
        <v>0</v>
      </c>
      <c r="G342" s="873">
        <f t="shared" si="300"/>
        <v>0</v>
      </c>
      <c r="H342" s="873">
        <f t="shared" si="300"/>
        <v>0</v>
      </c>
      <c r="I342" s="873">
        <f t="shared" si="300"/>
        <v>0</v>
      </c>
      <c r="J342" s="873">
        <f t="shared" si="300"/>
        <v>50000</v>
      </c>
      <c r="K342" s="873">
        <f t="shared" si="300"/>
        <v>50000</v>
      </c>
      <c r="L342" s="873">
        <f t="shared" si="300"/>
        <v>0</v>
      </c>
      <c r="M342" s="873">
        <f t="shared" si="300"/>
        <v>0</v>
      </c>
      <c r="N342" s="873">
        <f t="shared" si="300"/>
        <v>0</v>
      </c>
      <c r="O342" s="873">
        <f t="shared" si="300"/>
        <v>50000</v>
      </c>
      <c r="P342" s="873">
        <f t="shared" si="300"/>
        <v>50000</v>
      </c>
      <c r="Q342" s="836"/>
    </row>
    <row r="343" spans="1:19" ht="138.75" thickTop="1" thickBot="1" x14ac:dyDescent="0.25">
      <c r="A343" s="851" t="s">
        <v>394</v>
      </c>
      <c r="B343" s="851" t="s">
        <v>395</v>
      </c>
      <c r="C343" s="851" t="s">
        <v>184</v>
      </c>
      <c r="D343" s="851" t="s">
        <v>396</v>
      </c>
      <c r="E343" s="866">
        <f>F343</f>
        <v>0</v>
      </c>
      <c r="F343" s="878"/>
      <c r="G343" s="878"/>
      <c r="H343" s="878"/>
      <c r="I343" s="878"/>
      <c r="J343" s="866">
        <f>L343+O343</f>
        <v>50000</v>
      </c>
      <c r="K343" s="878">
        <v>50000</v>
      </c>
      <c r="L343" s="878"/>
      <c r="M343" s="878"/>
      <c r="N343" s="878"/>
      <c r="O343" s="867">
        <f>K343</f>
        <v>50000</v>
      </c>
      <c r="P343" s="866">
        <f>E343+J343</f>
        <v>50000</v>
      </c>
      <c r="R343" s="125" t="b">
        <f>K343=[1]d6!J316</f>
        <v>1</v>
      </c>
    </row>
    <row r="344" spans="1:19" ht="136.5" thickTop="1" thickBot="1" x14ac:dyDescent="0.25">
      <c r="A344" s="766" t="s">
        <v>182</v>
      </c>
      <c r="B344" s="766"/>
      <c r="C344" s="766"/>
      <c r="D344" s="767" t="s">
        <v>27</v>
      </c>
      <c r="E344" s="768">
        <f>E345</f>
        <v>86990348.180000007</v>
      </c>
      <c r="F344" s="769">
        <f t="shared" ref="F344:G344" si="301">F345</f>
        <v>86990348.180000007</v>
      </c>
      <c r="G344" s="769">
        <f t="shared" si="301"/>
        <v>6740000</v>
      </c>
      <c r="H344" s="769">
        <f>H345</f>
        <v>158150</v>
      </c>
      <c r="I344" s="769">
        <f t="shared" ref="I344" si="302">I345</f>
        <v>0</v>
      </c>
      <c r="J344" s="768">
        <f>J345</f>
        <v>40000</v>
      </c>
      <c r="K344" s="769">
        <f>K345</f>
        <v>40000</v>
      </c>
      <c r="L344" s="769">
        <f>L345</f>
        <v>0</v>
      </c>
      <c r="M344" s="769">
        <f t="shared" ref="M344" si="303">M345</f>
        <v>0</v>
      </c>
      <c r="N344" s="769">
        <f>N345</f>
        <v>0</v>
      </c>
      <c r="O344" s="768">
        <f>O345</f>
        <v>40000</v>
      </c>
      <c r="P344" s="769">
        <f t="shared" ref="P344" si="304">P345</f>
        <v>87030348.180000007</v>
      </c>
    </row>
    <row r="345" spans="1:19" ht="136.5" thickTop="1" thickBot="1" x14ac:dyDescent="0.25">
      <c r="A345" s="863" t="s">
        <v>183</v>
      </c>
      <c r="B345" s="863"/>
      <c r="C345" s="863"/>
      <c r="D345" s="864" t="s">
        <v>42</v>
      </c>
      <c r="E345" s="865">
        <f>E346+E349+E353</f>
        <v>86990348.180000007</v>
      </c>
      <c r="F345" s="865">
        <f t="shared" ref="F345:I345" si="305">F346+F349+F353</f>
        <v>86990348.180000007</v>
      </c>
      <c r="G345" s="865">
        <f t="shared" si="305"/>
        <v>6740000</v>
      </c>
      <c r="H345" s="865">
        <f t="shared" si="305"/>
        <v>158150</v>
      </c>
      <c r="I345" s="865">
        <f t="shared" si="305"/>
        <v>0</v>
      </c>
      <c r="J345" s="865">
        <f>L345+O345</f>
        <v>40000</v>
      </c>
      <c r="K345" s="865">
        <f t="shared" ref="K345:O345" si="306">K346+K349+K353</f>
        <v>40000</v>
      </c>
      <c r="L345" s="865">
        <f t="shared" si="306"/>
        <v>0</v>
      </c>
      <c r="M345" s="865">
        <f t="shared" si="306"/>
        <v>0</v>
      </c>
      <c r="N345" s="865">
        <f t="shared" si="306"/>
        <v>0</v>
      </c>
      <c r="O345" s="865">
        <f t="shared" si="306"/>
        <v>40000</v>
      </c>
      <c r="P345" s="865">
        <f>E345+J345</f>
        <v>87030348.180000007</v>
      </c>
      <c r="Q345" s="125" t="b">
        <f>P345=P350+P352+P355+P347+P348</f>
        <v>1</v>
      </c>
      <c r="R345" s="125" t="b">
        <f>K345=[1]d6!J317</f>
        <v>1</v>
      </c>
    </row>
    <row r="346" spans="1:19" ht="47.25" thickTop="1" thickBot="1" x14ac:dyDescent="0.25">
      <c r="A346" s="170" t="s">
        <v>1007</v>
      </c>
      <c r="B346" s="170" t="s">
        <v>840</v>
      </c>
      <c r="C346" s="170"/>
      <c r="D346" s="170" t="s">
        <v>841</v>
      </c>
      <c r="E346" s="866">
        <f>SUM(E347:E348)</f>
        <v>8459005</v>
      </c>
      <c r="F346" s="866">
        <f t="shared" ref="F346:P346" si="307">SUM(F347:F348)</f>
        <v>8459005</v>
      </c>
      <c r="G346" s="866">
        <f t="shared" si="307"/>
        <v>6740000</v>
      </c>
      <c r="H346" s="866">
        <f t="shared" si="307"/>
        <v>158150</v>
      </c>
      <c r="I346" s="866">
        <f t="shared" si="307"/>
        <v>0</v>
      </c>
      <c r="J346" s="866">
        <f t="shared" si="307"/>
        <v>40000</v>
      </c>
      <c r="K346" s="866">
        <f t="shared" si="307"/>
        <v>40000</v>
      </c>
      <c r="L346" s="866">
        <f t="shared" si="307"/>
        <v>0</v>
      </c>
      <c r="M346" s="866">
        <f t="shared" si="307"/>
        <v>0</v>
      </c>
      <c r="N346" s="866">
        <f t="shared" si="307"/>
        <v>0</v>
      </c>
      <c r="O346" s="866">
        <f t="shared" si="307"/>
        <v>40000</v>
      </c>
      <c r="P346" s="866">
        <f t="shared" si="307"/>
        <v>8499005</v>
      </c>
      <c r="Q346" s="125"/>
      <c r="R346" s="195"/>
    </row>
    <row r="347" spans="1:19" ht="230.25" thickTop="1" thickBot="1" x14ac:dyDescent="0.25">
      <c r="A347" s="851" t="s">
        <v>448</v>
      </c>
      <c r="B347" s="851" t="s">
        <v>254</v>
      </c>
      <c r="C347" s="851" t="s">
        <v>252</v>
      </c>
      <c r="D347" s="851" t="s">
        <v>253</v>
      </c>
      <c r="E347" s="866">
        <f>F347</f>
        <v>8456005</v>
      </c>
      <c r="F347" s="878">
        <f>-100000-80000+19400+7400+(((7700000+1540000+152690+146035+7000+71000+4400+51000+4950+1075-3000)-205945)-860000)</f>
        <v>8456005</v>
      </c>
      <c r="G347" s="878">
        <f>-100000+((7700000)-860000)</f>
        <v>6740000</v>
      </c>
      <c r="H347" s="878">
        <f>19400+7400+(71000+4400+51000+4950)</f>
        <v>158150</v>
      </c>
      <c r="I347" s="878"/>
      <c r="J347" s="866">
        <f>L347+O347</f>
        <v>40000</v>
      </c>
      <c r="K347" s="878">
        <v>40000</v>
      </c>
      <c r="L347" s="878"/>
      <c r="M347" s="878"/>
      <c r="N347" s="878"/>
      <c r="O347" s="867">
        <f>K347</f>
        <v>40000</v>
      </c>
      <c r="P347" s="866">
        <f>E347+J347</f>
        <v>8496005</v>
      </c>
      <c r="Q347" s="125" t="b">
        <f>K347=[1]d6!J319</f>
        <v>1</v>
      </c>
      <c r="R347" s="195"/>
      <c r="S347" s="194">
        <f>[1]d6!J319</f>
        <v>40000</v>
      </c>
    </row>
    <row r="348" spans="1:19" ht="184.5" thickTop="1" thickBot="1" x14ac:dyDescent="0.25">
      <c r="A348" s="851" t="s">
        <v>789</v>
      </c>
      <c r="B348" s="851" t="s">
        <v>388</v>
      </c>
      <c r="C348" s="851" t="s">
        <v>775</v>
      </c>
      <c r="D348" s="851" t="s">
        <v>776</v>
      </c>
      <c r="E348" s="313">
        <f>F348</f>
        <v>3000</v>
      </c>
      <c r="F348" s="167">
        <v>3000</v>
      </c>
      <c r="G348" s="167"/>
      <c r="H348" s="167"/>
      <c r="I348" s="167"/>
      <c r="J348" s="866">
        <f t="shared" ref="J348" si="308">L348+O348</f>
        <v>0</v>
      </c>
      <c r="K348" s="167"/>
      <c r="L348" s="761"/>
      <c r="M348" s="761"/>
      <c r="N348" s="761"/>
      <c r="O348" s="867">
        <f t="shared" ref="O348" si="309">K348</f>
        <v>0</v>
      </c>
      <c r="P348" s="866">
        <f t="shared" ref="P348" si="310">+J348+E348</f>
        <v>3000</v>
      </c>
      <c r="Q348" s="194"/>
      <c r="R348" s="195"/>
    </row>
    <row r="349" spans="1:19" ht="47.25" thickTop="1" thickBot="1" x14ac:dyDescent="0.25">
      <c r="A349" s="170" t="s">
        <v>1008</v>
      </c>
      <c r="B349" s="170" t="s">
        <v>852</v>
      </c>
      <c r="C349" s="170"/>
      <c r="D349" s="170" t="s">
        <v>853</v>
      </c>
      <c r="E349" s="313">
        <f>E350+E351</f>
        <v>5227443.18</v>
      </c>
      <c r="F349" s="313">
        <f t="shared" ref="F349:P349" si="311">F350+F351</f>
        <v>5227443.18</v>
      </c>
      <c r="G349" s="313">
        <f t="shared" si="311"/>
        <v>0</v>
      </c>
      <c r="H349" s="313">
        <f t="shared" si="311"/>
        <v>0</v>
      </c>
      <c r="I349" s="313">
        <f t="shared" si="311"/>
        <v>0</v>
      </c>
      <c r="J349" s="313">
        <f t="shared" si="311"/>
        <v>0</v>
      </c>
      <c r="K349" s="313">
        <f t="shared" si="311"/>
        <v>0</v>
      </c>
      <c r="L349" s="313">
        <f t="shared" si="311"/>
        <v>0</v>
      </c>
      <c r="M349" s="313">
        <f t="shared" si="311"/>
        <v>0</v>
      </c>
      <c r="N349" s="313">
        <f t="shared" si="311"/>
        <v>0</v>
      </c>
      <c r="O349" s="313">
        <f t="shared" si="311"/>
        <v>0</v>
      </c>
      <c r="P349" s="313">
        <f t="shared" si="311"/>
        <v>5227443.18</v>
      </c>
      <c r="Q349" s="194"/>
      <c r="R349" s="195"/>
    </row>
    <row r="350" spans="1:19" ht="91.5" thickTop="1" thickBot="1" x14ac:dyDescent="0.25">
      <c r="A350" s="907">
        <v>3718600</v>
      </c>
      <c r="B350" s="907">
        <v>8600</v>
      </c>
      <c r="C350" s="872" t="s">
        <v>388</v>
      </c>
      <c r="D350" s="907" t="s">
        <v>488</v>
      </c>
      <c r="E350" s="873">
        <f>F350</f>
        <v>4377443.18</v>
      </c>
      <c r="F350" s="873">
        <f>200000+355467.18+(((1033835)+205945)+2582196)</f>
        <v>4377443.18</v>
      </c>
      <c r="G350" s="873"/>
      <c r="H350" s="873"/>
      <c r="I350" s="873"/>
      <c r="J350" s="873">
        <f>L350+O350</f>
        <v>0</v>
      </c>
      <c r="K350" s="873"/>
      <c r="L350" s="873"/>
      <c r="M350" s="873"/>
      <c r="N350" s="873"/>
      <c r="O350" s="908">
        <f>K350</f>
        <v>0</v>
      </c>
      <c r="P350" s="873">
        <f>E350+J350</f>
        <v>4377443.18</v>
      </c>
    </row>
    <row r="351" spans="1:19" ht="47.25" thickTop="1" thickBot="1" x14ac:dyDescent="0.25">
      <c r="A351" s="907">
        <v>3718700</v>
      </c>
      <c r="B351" s="907">
        <v>8700</v>
      </c>
      <c r="C351" s="872"/>
      <c r="D351" s="907" t="s">
        <v>1009</v>
      </c>
      <c r="E351" s="873">
        <f>E352</f>
        <v>850000</v>
      </c>
      <c r="F351" s="873">
        <f>F352</f>
        <v>850000</v>
      </c>
      <c r="G351" s="873">
        <f t="shared" ref="G351:P351" si="312">G352</f>
        <v>0</v>
      </c>
      <c r="H351" s="873">
        <f t="shared" si="312"/>
        <v>0</v>
      </c>
      <c r="I351" s="873">
        <f t="shared" si="312"/>
        <v>0</v>
      </c>
      <c r="J351" s="873">
        <f t="shared" si="312"/>
        <v>0</v>
      </c>
      <c r="K351" s="873">
        <f t="shared" si="312"/>
        <v>0</v>
      </c>
      <c r="L351" s="873">
        <f t="shared" si="312"/>
        <v>0</v>
      </c>
      <c r="M351" s="873">
        <f t="shared" si="312"/>
        <v>0</v>
      </c>
      <c r="N351" s="873">
        <f t="shared" si="312"/>
        <v>0</v>
      </c>
      <c r="O351" s="873">
        <f t="shared" si="312"/>
        <v>0</v>
      </c>
      <c r="P351" s="873">
        <f t="shared" si="312"/>
        <v>850000</v>
      </c>
    </row>
    <row r="352" spans="1:19" ht="93" thickTop="1" thickBot="1" x14ac:dyDescent="0.25">
      <c r="A352" s="276">
        <v>3718710</v>
      </c>
      <c r="B352" s="276">
        <v>8710</v>
      </c>
      <c r="C352" s="851" t="s">
        <v>44</v>
      </c>
      <c r="D352" s="321" t="s">
        <v>795</v>
      </c>
      <c r="E352" s="866">
        <f>F352</f>
        <v>850000</v>
      </c>
      <c r="F352" s="878">
        <f>((3000000)-100000)-900000-1000000-150000</f>
        <v>850000</v>
      </c>
      <c r="G352" s="878"/>
      <c r="H352" s="878"/>
      <c r="I352" s="878"/>
      <c r="J352" s="866">
        <f>L352+O352</f>
        <v>0</v>
      </c>
      <c r="K352" s="878"/>
      <c r="L352" s="878"/>
      <c r="M352" s="878"/>
      <c r="N352" s="878"/>
      <c r="O352" s="867">
        <f>K352</f>
        <v>0</v>
      </c>
      <c r="P352" s="866">
        <f>E352+J352</f>
        <v>850000</v>
      </c>
    </row>
    <row r="353" spans="1:18" ht="47.25" thickTop="1" thickBot="1" x14ac:dyDescent="0.25">
      <c r="A353" s="170" t="s">
        <v>1010</v>
      </c>
      <c r="B353" s="170" t="s">
        <v>858</v>
      </c>
      <c r="C353" s="170"/>
      <c r="D353" s="170" t="s">
        <v>859</v>
      </c>
      <c r="E353" s="866">
        <f>E354</f>
        <v>73303900</v>
      </c>
      <c r="F353" s="866">
        <f t="shared" ref="F353:P354" si="313">F354</f>
        <v>73303900</v>
      </c>
      <c r="G353" s="866">
        <f t="shared" si="313"/>
        <v>0</v>
      </c>
      <c r="H353" s="866">
        <f t="shared" si="313"/>
        <v>0</v>
      </c>
      <c r="I353" s="866">
        <f t="shared" si="313"/>
        <v>0</v>
      </c>
      <c r="J353" s="866">
        <f t="shared" si="313"/>
        <v>0</v>
      </c>
      <c r="K353" s="866">
        <f t="shared" si="313"/>
        <v>0</v>
      </c>
      <c r="L353" s="866">
        <f t="shared" si="313"/>
        <v>0</v>
      </c>
      <c r="M353" s="866">
        <f t="shared" si="313"/>
        <v>0</v>
      </c>
      <c r="N353" s="866">
        <f t="shared" si="313"/>
        <v>0</v>
      </c>
      <c r="O353" s="866">
        <f t="shared" si="313"/>
        <v>0</v>
      </c>
      <c r="P353" s="866">
        <f t="shared" si="313"/>
        <v>73303900</v>
      </c>
    </row>
    <row r="354" spans="1:18" ht="91.5" thickTop="1" thickBot="1" x14ac:dyDescent="0.25">
      <c r="A354" s="907">
        <v>3719100</v>
      </c>
      <c r="B354" s="872" t="s">
        <v>1012</v>
      </c>
      <c r="C354" s="872"/>
      <c r="D354" s="872" t="s">
        <v>1011</v>
      </c>
      <c r="E354" s="873">
        <f>E355</f>
        <v>73303900</v>
      </c>
      <c r="F354" s="873">
        <f t="shared" si="313"/>
        <v>73303900</v>
      </c>
      <c r="G354" s="873">
        <f t="shared" si="313"/>
        <v>0</v>
      </c>
      <c r="H354" s="873">
        <f t="shared" si="313"/>
        <v>0</v>
      </c>
      <c r="I354" s="873">
        <f t="shared" si="313"/>
        <v>0</v>
      </c>
      <c r="J354" s="873">
        <f t="shared" si="313"/>
        <v>0</v>
      </c>
      <c r="K354" s="873">
        <f t="shared" si="313"/>
        <v>0</v>
      </c>
      <c r="L354" s="873">
        <f t="shared" si="313"/>
        <v>0</v>
      </c>
      <c r="M354" s="873">
        <f t="shared" si="313"/>
        <v>0</v>
      </c>
      <c r="N354" s="873">
        <f t="shared" si="313"/>
        <v>0</v>
      </c>
      <c r="O354" s="873">
        <f t="shared" si="313"/>
        <v>0</v>
      </c>
      <c r="P354" s="873">
        <f t="shared" si="313"/>
        <v>73303900</v>
      </c>
    </row>
    <row r="355" spans="1:18" ht="48" thickTop="1" thickBot="1" x14ac:dyDescent="0.25">
      <c r="A355" s="276">
        <v>3719110</v>
      </c>
      <c r="B355" s="276">
        <v>9110</v>
      </c>
      <c r="C355" s="851" t="s">
        <v>45</v>
      </c>
      <c r="D355" s="321" t="s">
        <v>487</v>
      </c>
      <c r="E355" s="866">
        <f>F355</f>
        <v>73303900</v>
      </c>
      <c r="F355" s="878">
        <v>73303900</v>
      </c>
      <c r="G355" s="878"/>
      <c r="H355" s="878"/>
      <c r="I355" s="878"/>
      <c r="J355" s="866">
        <f>L355+O355</f>
        <v>0</v>
      </c>
      <c r="K355" s="878"/>
      <c r="L355" s="878"/>
      <c r="M355" s="878"/>
      <c r="N355" s="878"/>
      <c r="O355" s="867">
        <f>K355</f>
        <v>0</v>
      </c>
      <c r="P355" s="866">
        <f>E355+J355</f>
        <v>73303900</v>
      </c>
    </row>
    <row r="356" spans="1:18" ht="159.75" customHeight="1" thickTop="1" thickBot="1" x14ac:dyDescent="0.25">
      <c r="A356" s="242" t="s">
        <v>408</v>
      </c>
      <c r="B356" s="242" t="s">
        <v>408</v>
      </c>
      <c r="C356" s="242" t="s">
        <v>408</v>
      </c>
      <c r="D356" s="243" t="s">
        <v>418</v>
      </c>
      <c r="E356" s="323">
        <f t="shared" ref="E356:P356" si="314">E17+E42+E190+E89+E113+E170++E268+E290+E345+E311+E324+E336+E298+E239+E220</f>
        <v>2778005355.6599994</v>
      </c>
      <c r="F356" s="323">
        <f t="shared" si="314"/>
        <v>2778005355.6599994</v>
      </c>
      <c r="G356" s="323">
        <f t="shared" si="314"/>
        <v>1446103014.5</v>
      </c>
      <c r="H356" s="323">
        <f t="shared" si="314"/>
        <v>133575871.78999999</v>
      </c>
      <c r="I356" s="323">
        <f t="shared" si="314"/>
        <v>0</v>
      </c>
      <c r="J356" s="323">
        <f t="shared" si="314"/>
        <v>754605472.22000003</v>
      </c>
      <c r="K356" s="323">
        <f t="shared" si="314"/>
        <v>583618842.64999998</v>
      </c>
      <c r="L356" s="323">
        <f t="shared" si="314"/>
        <v>164296711.54000002</v>
      </c>
      <c r="M356" s="323">
        <f t="shared" si="314"/>
        <v>50901291</v>
      </c>
      <c r="N356" s="323">
        <f t="shared" si="314"/>
        <v>14358738</v>
      </c>
      <c r="O356" s="323">
        <f t="shared" si="314"/>
        <v>590308760.68000007</v>
      </c>
      <c r="P356" s="323">
        <f t="shared" si="314"/>
        <v>3532610827.8800001</v>
      </c>
      <c r="Q356" s="38" t="b">
        <f>K356=[1]d6!J320</f>
        <v>1</v>
      </c>
      <c r="R356" s="38" t="b">
        <f>P356=J356+E356</f>
        <v>1</v>
      </c>
    </row>
    <row r="357" spans="1:18" ht="46.5" thickTop="1" x14ac:dyDescent="0.2">
      <c r="A357" s="1012" t="s">
        <v>542</v>
      </c>
      <c r="B357" s="1013"/>
      <c r="C357" s="1013"/>
      <c r="D357" s="1013"/>
      <c r="E357" s="1013"/>
      <c r="F357" s="1013"/>
      <c r="G357" s="1013"/>
      <c r="H357" s="1013"/>
      <c r="I357" s="1013"/>
      <c r="J357" s="1013"/>
      <c r="K357" s="1013"/>
      <c r="L357" s="1013"/>
      <c r="M357" s="1013"/>
      <c r="N357" s="1013"/>
      <c r="O357" s="1013"/>
      <c r="P357" s="1013"/>
      <c r="Q357" s="200"/>
    </row>
    <row r="358" spans="1:18" ht="60.75" hidden="1" x14ac:dyDescent="0.2">
      <c r="A358" s="838"/>
      <c r="B358" s="839"/>
      <c r="C358" s="839"/>
      <c r="D358" s="839"/>
      <c r="E358" s="78">
        <f>F358</f>
        <v>2778005355.6599998</v>
      </c>
      <c r="F358" s="78">
        <f>((77438986.82+[1]d2!E19+((((2638170564+6058967+642850)-[1]d4!F17+[1]d2!E28)+16026676.66+1406835-100000)+9712966))+553900)+32367649.18-213900</f>
        <v>2778005355.6599998</v>
      </c>
      <c r="G358" s="78">
        <f>(828700-600000+9997450+1414400+359540+((354000+540000+1494859+80242670+1114143912+4186600+68381820+89280550+40854695+37511680)-3284345.53+1122300+879350))-5636312+6090001.03-2025200-32000-1655</f>
        <v>1446103014.5</v>
      </c>
      <c r="H358" s="78">
        <f>(67000+2735067+49875+1431+((6000+3000+20785+3339900+87477970+201540+2063407+3907125+2243165+730080+50000+6058967)-4296997.21+25300+63000-165000-635000+200000))+27531977+100000+282765+81165+1170490+357860-45000-50000</f>
        <v>133575871.79000001</v>
      </c>
      <c r="I358" s="78">
        <v>0</v>
      </c>
      <c r="J358" s="78">
        <f>((-10623233.82+41402316+((((356021747.58+79713450)+73413409.53-123742.2+22276190+100000)+60000000+70000000)+26383129))+5835403.78+19271337.53)+10721564.82+213900</f>
        <v>754605472.22000003</v>
      </c>
      <c r="K358" s="78">
        <f>((-10623233.82+41402316-2300000-1326174+((((356021747.58+79713450)-4201200-630900-155853885)+73413409.53-123742.2-1155966.58-127015.03-854238.96-95000+(22276190-1700000+100000)+60000000+70000000)+26383129))+5835403.78+19271337.53)+10721564.82-2242250-500000+213900</f>
        <v>583618842.6500001</v>
      </c>
      <c r="L358" s="78">
        <f>(-230522+1326174+((4201200-49000)+630900+(155853885-1788820-106000))+78600-9947+1155966.58+854238.96-50000)+2242250+222586-34800</f>
        <v>164296711.54000002</v>
      </c>
      <c r="M358" s="78">
        <f>(332110+14400+(866362+41217060+104000+7345900))+1021459</f>
        <v>50901291</v>
      </c>
      <c r="N358" s="78">
        <f>(920000-18400+(308978+8654190+137000+257400))+4099570</f>
        <v>14358738</v>
      </c>
      <c r="O358" s="78">
        <f>((-10623233.82+41402316-2300000-1326174+2530522+((((356021747.58+79713450)-(4201200-49000)-630900-(155853885-1788820-106000))+16400+9947+(73413409.53-123742.2-95000-1155966.58-854238.96)+50000+(22276190+100000)+60000000+70000000)+26383129))+5835403.78+19271337.53)+10721564.82-2242250-222586+34800+213900</f>
        <v>590308760.67999995</v>
      </c>
      <c r="P358" s="78">
        <f>(((((2994192311.58+6058967+80356300)-[1]d4!F20+[1]d2!E28+(89440086.19-123742.2)+23683025+60000000+70000000)+36096095)+118841302.82+[1]d2!E19-10623233.82)+4665403.78+1170000+19825237.53)+43089214</f>
        <v>3532610827.8800001</v>
      </c>
      <c r="Q358" s="38" t="b">
        <f>E358+J358=P358</f>
        <v>1</v>
      </c>
      <c r="R358" s="200"/>
    </row>
    <row r="359" spans="1:18" ht="60.75" x14ac:dyDescent="0.2">
      <c r="A359" s="838"/>
      <c r="B359" s="839"/>
      <c r="C359" s="839"/>
      <c r="D359" s="839"/>
      <c r="E359" s="601"/>
      <c r="F359" s="601"/>
      <c r="G359" s="601"/>
      <c r="H359" s="601"/>
      <c r="I359" s="601"/>
      <c r="J359" s="601"/>
      <c r="K359" s="601"/>
      <c r="L359" s="601"/>
      <c r="M359" s="601"/>
      <c r="N359" s="601"/>
      <c r="O359" s="601"/>
      <c r="P359" s="601"/>
      <c r="Q359" s="38"/>
      <c r="R359" s="200"/>
    </row>
    <row r="360" spans="1:18" ht="75.75" customHeight="1" x14ac:dyDescent="0.65">
      <c r="A360" s="838"/>
      <c r="B360" s="839"/>
      <c r="C360" s="839"/>
      <c r="D360" s="850" t="s">
        <v>1270</v>
      </c>
      <c r="E360" s="598"/>
      <c r="F360" s="837"/>
      <c r="G360" s="598"/>
      <c r="H360" s="598"/>
      <c r="I360" s="123"/>
      <c r="J360" s="123"/>
      <c r="K360" s="598" t="s">
        <v>1193</v>
      </c>
      <c r="L360" s="123"/>
      <c r="M360" s="123"/>
      <c r="N360" s="123"/>
      <c r="O360" s="123"/>
      <c r="P360" s="123"/>
      <c r="Q360" s="200"/>
    </row>
    <row r="361" spans="1:18" ht="12.75" customHeight="1" x14ac:dyDescent="0.65">
      <c r="A361" s="838"/>
      <c r="B361" s="839"/>
      <c r="C361" s="839"/>
      <c r="D361" s="954"/>
      <c r="E361" s="954"/>
      <c r="F361" s="954"/>
      <c r="G361" s="954"/>
      <c r="H361" s="954"/>
      <c r="I361" s="954"/>
      <c r="J361" s="954"/>
      <c r="K361" s="954"/>
      <c r="L361" s="954"/>
      <c r="M361" s="954"/>
      <c r="N361" s="954"/>
      <c r="O361" s="954"/>
      <c r="P361" s="954"/>
      <c r="Q361" s="200"/>
    </row>
    <row r="362" spans="1:18" ht="46.5" thickBot="1" x14ac:dyDescent="0.7">
      <c r="A362" s="838"/>
      <c r="B362" s="839"/>
      <c r="C362" s="839"/>
      <c r="D362" s="144" t="s">
        <v>606</v>
      </c>
      <c r="E362" s="837"/>
      <c r="F362" s="837"/>
      <c r="G362" s="837"/>
      <c r="H362" s="144"/>
      <c r="I362" s="123"/>
      <c r="J362" s="123"/>
      <c r="K362" s="144" t="s">
        <v>607</v>
      </c>
      <c r="L362" s="123"/>
      <c r="M362" s="123"/>
      <c r="N362" s="123"/>
      <c r="O362" s="123"/>
      <c r="P362" s="123"/>
      <c r="Q362" s="200"/>
    </row>
    <row r="363" spans="1:18" ht="47.25" thickTop="1" thickBot="1" x14ac:dyDescent="0.7">
      <c r="A363" s="845"/>
      <c r="B363" s="845"/>
      <c r="C363" s="845"/>
      <c r="D363" s="954"/>
      <c r="E363" s="954"/>
      <c r="F363" s="954"/>
      <c r="G363" s="954"/>
      <c r="H363" s="954"/>
      <c r="I363" s="954"/>
      <c r="J363" s="954"/>
      <c r="K363" s="954"/>
      <c r="L363" s="954"/>
      <c r="M363" s="954"/>
      <c r="N363" s="954"/>
      <c r="O363" s="954"/>
      <c r="P363" s="954"/>
      <c r="Q363" s="323"/>
    </row>
    <row r="364" spans="1:18" ht="150.75" hidden="1" customHeight="1" x14ac:dyDescent="0.65">
      <c r="D364" s="954" t="s">
        <v>608</v>
      </c>
      <c r="E364" s="954"/>
      <c r="F364" s="954"/>
      <c r="G364" s="954"/>
      <c r="H364" s="954"/>
      <c r="I364" s="954"/>
      <c r="J364" s="954"/>
      <c r="K364" s="954"/>
      <c r="L364" s="954"/>
      <c r="M364" s="954"/>
      <c r="N364" s="954"/>
      <c r="O364" s="954"/>
      <c r="P364" s="954"/>
    </row>
    <row r="365" spans="1:18" ht="95.25" customHeight="1" thickTop="1" x14ac:dyDescent="0.55000000000000004">
      <c r="G365" s="288"/>
      <c r="H365" s="288"/>
      <c r="Q365" s="192"/>
    </row>
    <row r="366" spans="1:18" hidden="1" x14ac:dyDescent="0.2">
      <c r="E366" s="4"/>
      <c r="F366" s="3"/>
      <c r="G366" s="288"/>
      <c r="H366" s="288"/>
      <c r="J366" s="4"/>
      <c r="K366" s="4"/>
    </row>
    <row r="367" spans="1:18" hidden="1" x14ac:dyDescent="0.2">
      <c r="E367" s="4"/>
      <c r="F367" s="3"/>
      <c r="G367" s="288"/>
      <c r="H367" s="288"/>
      <c r="J367" s="4"/>
      <c r="K367" s="4"/>
    </row>
    <row r="368" spans="1:18" ht="60.75" x14ac:dyDescent="0.2">
      <c r="E368" s="38" t="b">
        <f>E358=E356</f>
        <v>1</v>
      </c>
      <c r="F368" s="38" t="b">
        <f>F358=F356</f>
        <v>1</v>
      </c>
      <c r="G368" s="38" t="b">
        <f>G358=G356</f>
        <v>1</v>
      </c>
      <c r="H368" s="38" t="b">
        <f t="shared" ref="H368:O368" si="315">H358=H356</f>
        <v>1</v>
      </c>
      <c r="I368" s="38" t="b">
        <f>I358=I356</f>
        <v>1</v>
      </c>
      <c r="J368" s="38" t="b">
        <f>J356=J358</f>
        <v>1</v>
      </c>
      <c r="K368" s="38" t="b">
        <f>K358=K356</f>
        <v>1</v>
      </c>
      <c r="L368" s="38" t="b">
        <f t="shared" si="315"/>
        <v>1</v>
      </c>
      <c r="M368" s="38" t="b">
        <f t="shared" si="315"/>
        <v>1</v>
      </c>
      <c r="N368" s="38" t="b">
        <f t="shared" si="315"/>
        <v>1</v>
      </c>
      <c r="O368" s="38" t="b">
        <f t="shared" si="315"/>
        <v>1</v>
      </c>
      <c r="P368" s="38" t="b">
        <f>P358=P356</f>
        <v>1</v>
      </c>
    </row>
    <row r="369" spans="1:18" ht="61.5" x14ac:dyDescent="0.2">
      <c r="E369" s="38" t="b">
        <f>E356=F356</f>
        <v>1</v>
      </c>
      <c r="F369" s="779">
        <f>F352/E356*100</f>
        <v>3.0597493207426042E-2</v>
      </c>
      <c r="G369" s="780" t="s">
        <v>343</v>
      </c>
      <c r="H369" s="292"/>
      <c r="I369" s="126"/>
      <c r="J369" s="38" t="b">
        <f>J358=L358+O358</f>
        <v>1</v>
      </c>
      <c r="K369" s="127"/>
      <c r="L369" s="38"/>
      <c r="M369" s="126"/>
      <c r="N369" s="126"/>
      <c r="O369" s="38"/>
      <c r="P369" s="38" t="b">
        <f>E356+J356=P356</f>
        <v>1</v>
      </c>
    </row>
    <row r="370" spans="1:18" ht="60.75" x14ac:dyDescent="0.2">
      <c r="E370" s="128"/>
      <c r="F370" s="129"/>
      <c r="G370" s="128"/>
      <c r="H370" s="293"/>
      <c r="I370" s="128"/>
      <c r="J370" s="4"/>
      <c r="K370" s="4"/>
    </row>
    <row r="371" spans="1:18" ht="61.5" x14ac:dyDescent="0.2">
      <c r="A371" s="836"/>
      <c r="B371" s="836"/>
      <c r="C371" s="836"/>
      <c r="D371" s="6"/>
      <c r="E371" s="836"/>
      <c r="F371" s="45">
        <f>F352/P356*100</f>
        <v>2.406152393837575E-2</v>
      </c>
      <c r="G371" s="45" t="s">
        <v>343</v>
      </c>
      <c r="H371" s="292"/>
      <c r="I371" s="6"/>
      <c r="J371" s="48">
        <f>J356-J358</f>
        <v>0</v>
      </c>
      <c r="K371" s="48">
        <f>K356-K358</f>
        <v>0</v>
      </c>
      <c r="L371" s="48"/>
      <c r="M371" s="48"/>
      <c r="N371" s="48"/>
      <c r="O371" s="48">
        <f>O356-O358</f>
        <v>0</v>
      </c>
      <c r="P371" s="48"/>
    </row>
    <row r="372" spans="1:18" ht="61.5" x14ac:dyDescent="0.2">
      <c r="D372" s="6"/>
      <c r="E372" s="48"/>
      <c r="F372" s="130"/>
      <c r="G372" s="38"/>
      <c r="H372" s="292"/>
      <c r="I372" s="6"/>
      <c r="J372" s="48"/>
      <c r="K372" s="48"/>
      <c r="L372" s="102"/>
      <c r="P372" s="38"/>
      <c r="Q372" s="196"/>
      <c r="R372" s="199"/>
    </row>
    <row r="373" spans="1:18" ht="60.75" x14ac:dyDescent="0.2">
      <c r="A373" s="836"/>
      <c r="B373" s="836"/>
      <c r="C373" s="836"/>
      <c r="D373" s="6"/>
      <c r="E373" s="124"/>
      <c r="F373" s="124">
        <f>F358-F356</f>
        <v>0</v>
      </c>
      <c r="G373" s="124"/>
      <c r="H373" s="124">
        <f>H358-H356</f>
        <v>0</v>
      </c>
      <c r="I373" s="131"/>
      <c r="J373" s="124"/>
      <c r="K373" s="124"/>
      <c r="L373" s="124"/>
      <c r="M373" s="124"/>
      <c r="N373" s="124"/>
      <c r="O373" s="124"/>
      <c r="P373" s="124"/>
      <c r="Q373" s="196"/>
      <c r="R373" s="199"/>
    </row>
    <row r="374" spans="1:18" ht="60.75" x14ac:dyDescent="0.2">
      <c r="D374" s="6"/>
      <c r="E374" s="48"/>
      <c r="F374" s="68"/>
      <c r="G374" s="260"/>
      <c r="O374" s="38"/>
      <c r="P374" s="38"/>
    </row>
    <row r="375" spans="1:18" ht="60.75" x14ac:dyDescent="0.2">
      <c r="A375" s="836"/>
      <c r="B375" s="836"/>
      <c r="C375" s="836"/>
      <c r="D375" s="6"/>
      <c r="E375" s="48"/>
      <c r="F375" s="45"/>
      <c r="G375" s="102"/>
      <c r="I375" s="138"/>
      <c r="J375" s="4"/>
      <c r="K375" s="4"/>
      <c r="L375" s="836"/>
      <c r="M375" s="836"/>
      <c r="N375" s="836"/>
      <c r="O375" s="836"/>
      <c r="P375" s="38"/>
    </row>
    <row r="376" spans="1:18" ht="62.25" x14ac:dyDescent="0.8">
      <c r="A376" s="836"/>
      <c r="B376" s="836"/>
      <c r="C376" s="836"/>
      <c r="D376" s="836"/>
      <c r="E376" s="9"/>
      <c r="F376" s="45"/>
      <c r="J376" s="4"/>
      <c r="K376" s="4"/>
      <c r="L376" s="836"/>
      <c r="M376" s="836"/>
      <c r="N376" s="836"/>
      <c r="O376" s="836"/>
      <c r="P376" s="50"/>
    </row>
    <row r="377" spans="1:18" ht="45.75" x14ac:dyDescent="0.2">
      <c r="E377" s="103">
        <f>E352/E356</f>
        <v>3.0597493207426042E-4</v>
      </c>
      <c r="F377" s="68"/>
    </row>
    <row r="378" spans="1:18" ht="45.75" x14ac:dyDescent="0.2">
      <c r="A378" s="836"/>
      <c r="B378" s="836"/>
      <c r="C378" s="836"/>
      <c r="D378" s="836"/>
      <c r="E378" s="9"/>
      <c r="F378" s="45"/>
      <c r="L378" s="836"/>
      <c r="M378" s="836"/>
      <c r="N378" s="836"/>
      <c r="O378" s="836"/>
      <c r="P378" s="836"/>
    </row>
    <row r="379" spans="1:18" ht="45.75" x14ac:dyDescent="0.2">
      <c r="E379" s="10"/>
      <c r="F379" s="68"/>
    </row>
    <row r="380" spans="1:18" ht="45.75" x14ac:dyDescent="0.2">
      <c r="E380" s="10"/>
      <c r="F380" s="68"/>
    </row>
    <row r="381" spans="1:18" ht="45.75" x14ac:dyDescent="0.2">
      <c r="E381" s="10"/>
      <c r="F381" s="68"/>
    </row>
    <row r="382" spans="1:18" ht="45.75" x14ac:dyDescent="0.2">
      <c r="A382" s="836"/>
      <c r="B382" s="836"/>
      <c r="C382" s="836"/>
      <c r="D382" s="836"/>
      <c r="E382" s="10"/>
      <c r="F382" s="68"/>
      <c r="G382" s="836"/>
      <c r="H382" s="836"/>
      <c r="I382" s="836"/>
      <c r="J382" s="836"/>
      <c r="K382" s="836"/>
      <c r="L382" s="836"/>
      <c r="M382" s="836"/>
      <c r="N382" s="836"/>
      <c r="O382" s="836"/>
      <c r="P382" s="836"/>
    </row>
    <row r="383" spans="1:18" ht="45.75" x14ac:dyDescent="0.2">
      <c r="A383" s="836"/>
      <c r="B383" s="836"/>
      <c r="C383" s="836"/>
      <c r="D383" s="836"/>
      <c r="E383" s="10"/>
      <c r="F383" s="68"/>
      <c r="G383" s="836"/>
      <c r="H383" s="836"/>
      <c r="I383" s="836"/>
      <c r="J383" s="836"/>
      <c r="K383" s="836"/>
      <c r="L383" s="836"/>
      <c r="M383" s="836"/>
      <c r="N383" s="836"/>
      <c r="O383" s="836"/>
      <c r="P383" s="836"/>
    </row>
    <row r="384" spans="1:18" ht="45.75" x14ac:dyDescent="0.2">
      <c r="A384" s="836"/>
      <c r="B384" s="836"/>
      <c r="C384" s="836"/>
      <c r="D384" s="836"/>
      <c r="E384" s="10"/>
      <c r="F384" s="68"/>
      <c r="G384" s="836"/>
      <c r="H384" s="836"/>
      <c r="I384" s="836"/>
      <c r="J384" s="836"/>
      <c r="K384" s="836"/>
      <c r="L384" s="836"/>
      <c r="M384" s="836"/>
      <c r="N384" s="836"/>
      <c r="O384" s="836"/>
      <c r="P384" s="836"/>
    </row>
    <row r="385" spans="1:16" ht="45.75" x14ac:dyDescent="0.2">
      <c r="A385" s="836"/>
      <c r="B385" s="836"/>
      <c r="C385" s="836"/>
      <c r="D385" s="836"/>
      <c r="E385" s="10"/>
      <c r="F385" s="68"/>
      <c r="G385" s="836"/>
      <c r="H385" s="836"/>
      <c r="I385" s="836"/>
      <c r="J385" s="836"/>
      <c r="K385" s="836"/>
      <c r="L385" s="836"/>
      <c r="M385" s="836"/>
      <c r="N385" s="836"/>
      <c r="O385" s="836"/>
      <c r="P385" s="836"/>
    </row>
  </sheetData>
  <mergeCells count="198">
    <mergeCell ref="A357:P357"/>
    <mergeCell ref="D361:P361"/>
    <mergeCell ref="D363:P363"/>
    <mergeCell ref="D364:P364"/>
    <mergeCell ref="K287:K288"/>
    <mergeCell ref="L287:L288"/>
    <mergeCell ref="M287:M288"/>
    <mergeCell ref="N287:N288"/>
    <mergeCell ref="O287:O288"/>
    <mergeCell ref="P287:P288"/>
    <mergeCell ref="P260:P261"/>
    <mergeCell ref="A287:A288"/>
    <mergeCell ref="B287:B288"/>
    <mergeCell ref="C287:C288"/>
    <mergeCell ref="E287:E288"/>
    <mergeCell ref="F287:F288"/>
    <mergeCell ref="G287:G288"/>
    <mergeCell ref="H287:H288"/>
    <mergeCell ref="I287:I288"/>
    <mergeCell ref="J287:J288"/>
    <mergeCell ref="J260:J261"/>
    <mergeCell ref="K260:K261"/>
    <mergeCell ref="L260:L261"/>
    <mergeCell ref="M260:M261"/>
    <mergeCell ref="N260:N261"/>
    <mergeCell ref="O260:O261"/>
    <mergeCell ref="A260:A261"/>
    <mergeCell ref="B260:B261"/>
    <mergeCell ref="C260:C261"/>
    <mergeCell ref="E260:E261"/>
    <mergeCell ref="F260:F261"/>
    <mergeCell ref="G260:G261"/>
    <mergeCell ref="H260:H261"/>
    <mergeCell ref="I260:I261"/>
    <mergeCell ref="I236:I237"/>
    <mergeCell ref="N167:N168"/>
    <mergeCell ref="O167:O168"/>
    <mergeCell ref="P167:P168"/>
    <mergeCell ref="A236:A237"/>
    <mergeCell ref="B236:B237"/>
    <mergeCell ref="C236:C237"/>
    <mergeCell ref="E236:E237"/>
    <mergeCell ref="F236:F237"/>
    <mergeCell ref="G236:G237"/>
    <mergeCell ref="H236:H237"/>
    <mergeCell ref="H167:H168"/>
    <mergeCell ref="I167:I168"/>
    <mergeCell ref="J167:J168"/>
    <mergeCell ref="K167:K168"/>
    <mergeCell ref="L167:L168"/>
    <mergeCell ref="M167:M168"/>
    <mergeCell ref="O236:O237"/>
    <mergeCell ref="P236:P237"/>
    <mergeCell ref="J236:J237"/>
    <mergeCell ref="K236:K237"/>
    <mergeCell ref="L236:L237"/>
    <mergeCell ref="M236:M237"/>
    <mergeCell ref="N236:N237"/>
    <mergeCell ref="A167:A168"/>
    <mergeCell ref="B167:B168"/>
    <mergeCell ref="C167:C168"/>
    <mergeCell ref="E167:E168"/>
    <mergeCell ref="F167:F168"/>
    <mergeCell ref="G167:G168"/>
    <mergeCell ref="H151:H153"/>
    <mergeCell ref="I151:I153"/>
    <mergeCell ref="J151:J153"/>
    <mergeCell ref="R148:R150"/>
    <mergeCell ref="A151:A153"/>
    <mergeCell ref="B151:B153"/>
    <mergeCell ref="C151:C153"/>
    <mergeCell ref="E151:E153"/>
    <mergeCell ref="F151:F153"/>
    <mergeCell ref="G151:G153"/>
    <mergeCell ref="H148:H150"/>
    <mergeCell ref="I148:I150"/>
    <mergeCell ref="J148:J150"/>
    <mergeCell ref="K148:K150"/>
    <mergeCell ref="L148:L150"/>
    <mergeCell ref="M148:M150"/>
    <mergeCell ref="N151:N153"/>
    <mergeCell ref="O151:O153"/>
    <mergeCell ref="P151:P153"/>
    <mergeCell ref="R151:R153"/>
    <mergeCell ref="K151:K153"/>
    <mergeCell ref="L151:L153"/>
    <mergeCell ref="M151:M153"/>
    <mergeCell ref="A148:A150"/>
    <mergeCell ref="B148:B150"/>
    <mergeCell ref="C148:C150"/>
    <mergeCell ref="E148:E150"/>
    <mergeCell ref="F148:F150"/>
    <mergeCell ref="G148:G150"/>
    <mergeCell ref="H144:H147"/>
    <mergeCell ref="I144:I147"/>
    <mergeCell ref="J144:J147"/>
    <mergeCell ref="Q141:Q143"/>
    <mergeCell ref="N148:N150"/>
    <mergeCell ref="O148:O150"/>
    <mergeCell ref="P148:P150"/>
    <mergeCell ref="R141:R143"/>
    <mergeCell ref="A144:A147"/>
    <mergeCell ref="B144:B147"/>
    <mergeCell ref="C144:C147"/>
    <mergeCell ref="E144:E147"/>
    <mergeCell ref="F144:F147"/>
    <mergeCell ref="G144:G147"/>
    <mergeCell ref="I141:I143"/>
    <mergeCell ref="J141:J143"/>
    <mergeCell ref="K141:K143"/>
    <mergeCell ref="L141:L143"/>
    <mergeCell ref="M141:M143"/>
    <mergeCell ref="N141:N143"/>
    <mergeCell ref="N144:N147"/>
    <mergeCell ref="O144:O147"/>
    <mergeCell ref="P144:P147"/>
    <mergeCell ref="R144:R147"/>
    <mergeCell ref="K144:K147"/>
    <mergeCell ref="L144:L147"/>
    <mergeCell ref="M144:M147"/>
    <mergeCell ref="P70:P71"/>
    <mergeCell ref="A141:A143"/>
    <mergeCell ref="B141:B143"/>
    <mergeCell ref="C141:C143"/>
    <mergeCell ref="E141:E143"/>
    <mergeCell ref="F141:F143"/>
    <mergeCell ref="G141:G143"/>
    <mergeCell ref="H141:H143"/>
    <mergeCell ref="H70:H71"/>
    <mergeCell ref="I70:I71"/>
    <mergeCell ref="J70:J71"/>
    <mergeCell ref="K70:K71"/>
    <mergeCell ref="L70:L71"/>
    <mergeCell ref="M70:M71"/>
    <mergeCell ref="O141:O143"/>
    <mergeCell ref="P141:P143"/>
    <mergeCell ref="N51:N52"/>
    <mergeCell ref="O51:O52"/>
    <mergeCell ref="P51:P52"/>
    <mergeCell ref="A70:A71"/>
    <mergeCell ref="B70:B71"/>
    <mergeCell ref="C70:C71"/>
    <mergeCell ref="D70:D71"/>
    <mergeCell ref="E70:E71"/>
    <mergeCell ref="F70:F71"/>
    <mergeCell ref="G70:G71"/>
    <mergeCell ref="H51:H52"/>
    <mergeCell ref="I51:I52"/>
    <mergeCell ref="J51:J52"/>
    <mergeCell ref="K51:K52"/>
    <mergeCell ref="L51:L52"/>
    <mergeCell ref="M51:M52"/>
    <mergeCell ref="A51:A52"/>
    <mergeCell ref="B51:B52"/>
    <mergeCell ref="C51:C52"/>
    <mergeCell ref="E51:E52"/>
    <mergeCell ref="F51:F52"/>
    <mergeCell ref="G51:G52"/>
    <mergeCell ref="N70:N71"/>
    <mergeCell ref="O70:O71"/>
    <mergeCell ref="K30:K31"/>
    <mergeCell ref="L30:L31"/>
    <mergeCell ref="M30:M31"/>
    <mergeCell ref="N30:N31"/>
    <mergeCell ref="O30:O31"/>
    <mergeCell ref="P30:P31"/>
    <mergeCell ref="O13:O14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</mergeCells>
  <conditionalFormatting sqref="Q345:Q346 Q348:R349 R347:S34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38:R340 Q336:R33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11:R315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300:Q30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00:R30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298:Q299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298:R29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290:R29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290:Q29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292:R29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24:R325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6:R33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324:Q330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R316:R322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31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3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33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4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4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4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43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5" max="15" man="1"/>
    <brk id="52" max="15" man="1"/>
    <brk id="259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2:P361"/>
  <sheetViews>
    <sheetView view="pageBreakPreview" zoomScale="25" zoomScaleNormal="25" zoomScaleSheetLayoutView="25" zoomScalePageLayoutView="10" workbookViewId="0">
      <pane ySplit="15" topLeftCell="A46" activePane="bottomLeft" state="frozen"/>
      <selection activeCell="K379" sqref="K379"/>
      <selection pane="bottomLeft" activeCell="F48" sqref="F48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6384" width="9.140625" style="836"/>
  </cols>
  <sheetData>
    <row r="2" spans="1:16" ht="45.75" x14ac:dyDescent="0.2">
      <c r="D2" s="845"/>
      <c r="E2" s="846"/>
      <c r="F2" s="844"/>
      <c r="G2" s="846"/>
      <c r="H2" s="846"/>
      <c r="I2" s="846"/>
      <c r="J2" s="846"/>
      <c r="K2" s="846"/>
      <c r="L2" s="846"/>
      <c r="M2" s="846"/>
      <c r="N2" s="1000" t="s">
        <v>538</v>
      </c>
      <c r="O2" s="951"/>
      <c r="P2" s="951"/>
    </row>
    <row r="3" spans="1:16" ht="45.75" x14ac:dyDescent="0.2">
      <c r="A3" s="845"/>
      <c r="B3" s="845"/>
      <c r="C3" s="845"/>
      <c r="D3" s="845"/>
      <c r="E3" s="846"/>
      <c r="F3" s="844"/>
      <c r="G3" s="846"/>
      <c r="H3" s="846"/>
      <c r="I3" s="846"/>
      <c r="J3" s="846"/>
      <c r="K3" s="846"/>
      <c r="L3" s="846"/>
      <c r="M3" s="846"/>
      <c r="N3" s="1000" t="s">
        <v>1239</v>
      </c>
      <c r="O3" s="1001"/>
      <c r="P3" s="1001"/>
    </row>
    <row r="4" spans="1:16" ht="40.700000000000003" customHeight="1" x14ac:dyDescent="0.2">
      <c r="A4" s="845"/>
      <c r="B4" s="845"/>
      <c r="C4" s="845"/>
      <c r="D4" s="845"/>
      <c r="E4" s="846"/>
      <c r="F4" s="844"/>
      <c r="G4" s="846"/>
      <c r="H4" s="846"/>
      <c r="I4" s="846"/>
      <c r="J4" s="846"/>
      <c r="K4" s="846"/>
      <c r="L4" s="846"/>
      <c r="M4" s="846"/>
      <c r="N4" s="846"/>
      <c r="O4" s="1000"/>
      <c r="P4" s="1002"/>
    </row>
    <row r="5" spans="1:16" ht="45.75" hidden="1" x14ac:dyDescent="0.2">
      <c r="A5" s="845"/>
      <c r="B5" s="845"/>
      <c r="C5" s="845"/>
      <c r="D5" s="845"/>
      <c r="E5" s="846"/>
      <c r="F5" s="844"/>
      <c r="G5" s="846"/>
      <c r="H5" s="846"/>
      <c r="I5" s="846"/>
      <c r="J5" s="846"/>
      <c r="K5" s="846"/>
      <c r="L5" s="846"/>
      <c r="M5" s="846"/>
      <c r="N5" s="846"/>
      <c r="O5" s="845"/>
      <c r="P5" s="844"/>
    </row>
    <row r="6" spans="1:16" ht="45" x14ac:dyDescent="0.2">
      <c r="A6" s="1003" t="s">
        <v>1524</v>
      </c>
      <c r="B6" s="1003"/>
      <c r="C6" s="1003"/>
      <c r="D6" s="1003"/>
      <c r="E6" s="1003"/>
      <c r="F6" s="1003"/>
      <c r="G6" s="1003"/>
      <c r="H6" s="1003"/>
      <c r="I6" s="1003"/>
      <c r="J6" s="1003"/>
      <c r="K6" s="1003"/>
      <c r="L6" s="1003"/>
      <c r="M6" s="1003"/>
      <c r="N6" s="1003"/>
      <c r="O6" s="1003"/>
      <c r="P6" s="1003"/>
    </row>
    <row r="7" spans="1:16" ht="45" x14ac:dyDescent="0.2">
      <c r="A7" s="1003" t="s">
        <v>678</v>
      </c>
      <c r="B7" s="1003"/>
      <c r="C7" s="1003"/>
      <c r="D7" s="1003"/>
      <c r="E7" s="1003"/>
      <c r="F7" s="1003"/>
      <c r="G7" s="1003"/>
      <c r="H7" s="1003"/>
      <c r="I7" s="1003"/>
      <c r="J7" s="1003"/>
      <c r="K7" s="1003"/>
      <c r="L7" s="1003"/>
      <c r="M7" s="1003"/>
      <c r="N7" s="1003"/>
      <c r="O7" s="1003"/>
      <c r="P7" s="1003"/>
    </row>
    <row r="8" spans="1:16" ht="45" x14ac:dyDescent="0.2">
      <c r="A8" s="846"/>
      <c r="B8" s="846"/>
      <c r="C8" s="846"/>
      <c r="D8" s="846"/>
      <c r="E8" s="846"/>
      <c r="F8" s="846"/>
      <c r="G8" s="846"/>
      <c r="H8" s="846"/>
      <c r="I8" s="846"/>
      <c r="J8" s="846"/>
      <c r="K8" s="846"/>
      <c r="L8" s="846"/>
      <c r="M8" s="846"/>
      <c r="N8" s="846"/>
      <c r="O8" s="846"/>
      <c r="P8" s="846"/>
    </row>
    <row r="9" spans="1:16" ht="45.75" x14ac:dyDescent="0.65">
      <c r="A9" s="1004">
        <v>22564000000</v>
      </c>
      <c r="B9" s="1005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46"/>
    </row>
    <row r="10" spans="1:16" ht="45.75" x14ac:dyDescent="0.2">
      <c r="A10" s="1009" t="s">
        <v>535</v>
      </c>
      <c r="B10" s="1010"/>
      <c r="C10" s="846"/>
      <c r="D10" s="846"/>
      <c r="E10" s="846"/>
      <c r="F10" s="846"/>
      <c r="G10" s="846"/>
      <c r="H10" s="846"/>
      <c r="I10" s="846"/>
      <c r="J10" s="846"/>
      <c r="K10" s="846"/>
      <c r="L10" s="846"/>
      <c r="M10" s="846"/>
      <c r="N10" s="846"/>
      <c r="O10" s="846"/>
      <c r="P10" s="846"/>
    </row>
    <row r="11" spans="1:16" ht="53.45" customHeight="1" thickBot="1" x14ac:dyDescent="0.25">
      <c r="A11" s="846"/>
      <c r="B11" s="846"/>
      <c r="C11" s="846"/>
      <c r="D11" s="846"/>
      <c r="E11" s="846"/>
      <c r="F11" s="844"/>
      <c r="G11" s="846"/>
      <c r="H11" s="846"/>
      <c r="I11" s="846"/>
      <c r="J11" s="846"/>
      <c r="K11" s="846"/>
      <c r="L11" s="846"/>
      <c r="M11" s="846"/>
      <c r="N11" s="846"/>
      <c r="O11" s="846"/>
      <c r="P11" s="6" t="s">
        <v>431</v>
      </c>
    </row>
    <row r="12" spans="1:16" ht="62.45" customHeight="1" thickTop="1" thickBot="1" x14ac:dyDescent="0.25">
      <c r="A12" s="1008" t="s">
        <v>536</v>
      </c>
      <c r="B12" s="1008" t="s">
        <v>537</v>
      </c>
      <c r="C12" s="1008" t="s">
        <v>417</v>
      </c>
      <c r="D12" s="1008" t="s">
        <v>690</v>
      </c>
      <c r="E12" s="1006" t="s">
        <v>12</v>
      </c>
      <c r="F12" s="1006"/>
      <c r="G12" s="1006"/>
      <c r="H12" s="1006"/>
      <c r="I12" s="1006"/>
      <c r="J12" s="1006" t="s">
        <v>57</v>
      </c>
      <c r="K12" s="1006"/>
      <c r="L12" s="1006"/>
      <c r="M12" s="1006"/>
      <c r="N12" s="1006"/>
      <c r="O12" s="1007"/>
      <c r="P12" s="1006" t="s">
        <v>11</v>
      </c>
    </row>
    <row r="13" spans="1:16" ht="96" customHeight="1" thickTop="1" thickBot="1" x14ac:dyDescent="0.25">
      <c r="A13" s="1006"/>
      <c r="B13" s="1011"/>
      <c r="C13" s="1011"/>
      <c r="D13" s="1006"/>
      <c r="E13" s="1008" t="s">
        <v>411</v>
      </c>
      <c r="F13" s="1008" t="s">
        <v>58</v>
      </c>
      <c r="G13" s="1008" t="s">
        <v>13</v>
      </c>
      <c r="H13" s="1008"/>
      <c r="I13" s="1008" t="s">
        <v>60</v>
      </c>
      <c r="J13" s="1008" t="s">
        <v>411</v>
      </c>
      <c r="K13" s="1008" t="s">
        <v>412</v>
      </c>
      <c r="L13" s="1008" t="s">
        <v>58</v>
      </c>
      <c r="M13" s="1008" t="s">
        <v>13</v>
      </c>
      <c r="N13" s="1008"/>
      <c r="O13" s="1008" t="s">
        <v>60</v>
      </c>
      <c r="P13" s="1006"/>
    </row>
    <row r="14" spans="1:16" ht="328.5" customHeight="1" thickTop="1" thickBot="1" x14ac:dyDescent="0.25">
      <c r="A14" s="1011"/>
      <c r="B14" s="1011"/>
      <c r="C14" s="1011"/>
      <c r="D14" s="1011"/>
      <c r="E14" s="1008"/>
      <c r="F14" s="1008"/>
      <c r="G14" s="847" t="s">
        <v>59</v>
      </c>
      <c r="H14" s="847" t="s">
        <v>15</v>
      </c>
      <c r="I14" s="1008"/>
      <c r="J14" s="1008"/>
      <c r="K14" s="1008"/>
      <c r="L14" s="1008"/>
      <c r="M14" s="847" t="s">
        <v>59</v>
      </c>
      <c r="N14" s="847" t="s">
        <v>15</v>
      </c>
      <c r="O14" s="1008"/>
      <c r="P14" s="1006"/>
    </row>
    <row r="15" spans="1:16" s="2" customFormat="1" ht="46.5" thickTop="1" thickBot="1" x14ac:dyDescent="0.25">
      <c r="A15" s="170" t="s">
        <v>2</v>
      </c>
      <c r="B15" s="170" t="s">
        <v>3</v>
      </c>
      <c r="C15" s="170" t="s">
        <v>14</v>
      </c>
      <c r="D15" s="170" t="s">
        <v>5</v>
      </c>
      <c r="E15" s="170" t="s">
        <v>419</v>
      </c>
      <c r="F15" s="170" t="s">
        <v>420</v>
      </c>
      <c r="G15" s="170" t="s">
        <v>421</v>
      </c>
      <c r="H15" s="170" t="s">
        <v>422</v>
      </c>
      <c r="I15" s="170" t="s">
        <v>423</v>
      </c>
      <c r="J15" s="170" t="s">
        <v>424</v>
      </c>
      <c r="K15" s="170" t="s">
        <v>425</v>
      </c>
      <c r="L15" s="170" t="s">
        <v>426</v>
      </c>
      <c r="M15" s="170" t="s">
        <v>427</v>
      </c>
      <c r="N15" s="170" t="s">
        <v>428</v>
      </c>
      <c r="O15" s="170" t="s">
        <v>429</v>
      </c>
      <c r="P15" s="170" t="s">
        <v>430</v>
      </c>
    </row>
    <row r="16" spans="1:16" s="2" customFormat="1" ht="136.5" thickTop="1" thickBot="1" x14ac:dyDescent="0.25">
      <c r="A16" s="825" t="s">
        <v>162</v>
      </c>
      <c r="B16" s="825"/>
      <c r="C16" s="825"/>
      <c r="D16" s="826" t="s">
        <v>164</v>
      </c>
      <c r="E16" s="827">
        <f>E17</f>
        <v>-178100</v>
      </c>
      <c r="F16" s="828">
        <f t="shared" ref="F16:N16" si="0">F17</f>
        <v>-178100</v>
      </c>
      <c r="G16" s="828">
        <f t="shared" si="0"/>
        <v>200000</v>
      </c>
      <c r="H16" s="828">
        <f t="shared" si="0"/>
        <v>-288000</v>
      </c>
      <c r="I16" s="828">
        <f t="shared" si="0"/>
        <v>0</v>
      </c>
      <c r="J16" s="827">
        <f t="shared" si="0"/>
        <v>348400</v>
      </c>
      <c r="K16" s="828">
        <f t="shared" si="0"/>
        <v>348400</v>
      </c>
      <c r="L16" s="828">
        <f t="shared" si="0"/>
        <v>-46000</v>
      </c>
      <c r="M16" s="828">
        <f t="shared" si="0"/>
        <v>0</v>
      </c>
      <c r="N16" s="828">
        <f t="shared" si="0"/>
        <v>0</v>
      </c>
      <c r="O16" s="827">
        <f>O17</f>
        <v>394400</v>
      </c>
      <c r="P16" s="828">
        <f t="shared" ref="P16" si="1">P17</f>
        <v>170300</v>
      </c>
    </row>
    <row r="17" spans="1:16" s="2" customFormat="1" ht="136.5" thickTop="1" thickBot="1" x14ac:dyDescent="0.25">
      <c r="A17" s="829" t="s">
        <v>163</v>
      </c>
      <c r="B17" s="829"/>
      <c r="C17" s="829"/>
      <c r="D17" s="830" t="s">
        <v>165</v>
      </c>
      <c r="E17" s="831">
        <f>E18+E23+E33+E36</f>
        <v>-178100</v>
      </c>
      <c r="F17" s="831">
        <f>F18+F23+F33+F36</f>
        <v>-178100</v>
      </c>
      <c r="G17" s="831">
        <f t="shared" ref="G17:I17" si="2">G18+G23+G33+G36</f>
        <v>200000</v>
      </c>
      <c r="H17" s="831">
        <f t="shared" si="2"/>
        <v>-288000</v>
      </c>
      <c r="I17" s="831">
        <f t="shared" si="2"/>
        <v>0</v>
      </c>
      <c r="J17" s="831">
        <f>L17+O17</f>
        <v>348400</v>
      </c>
      <c r="K17" s="831">
        <f>K18+K23+K33+K36</f>
        <v>348400</v>
      </c>
      <c r="L17" s="831">
        <f>L18+L23+L33+L36</f>
        <v>-46000</v>
      </c>
      <c r="M17" s="831">
        <f t="shared" ref="M17:N17" si="3">M18+M23+M33+M36</f>
        <v>0</v>
      </c>
      <c r="N17" s="831">
        <f t="shared" si="3"/>
        <v>0</v>
      </c>
      <c r="O17" s="831">
        <f>O18+O23+O33+O36</f>
        <v>394400</v>
      </c>
      <c r="P17" s="831">
        <f>E17+J17</f>
        <v>170300</v>
      </c>
    </row>
    <row r="18" spans="1:16" s="377" customFormat="1" ht="47.25" thickTop="1" thickBot="1" x14ac:dyDescent="0.25">
      <c r="A18" s="422" t="s">
        <v>839</v>
      </c>
      <c r="B18" s="422" t="s">
        <v>840</v>
      </c>
      <c r="C18" s="422"/>
      <c r="D18" s="422" t="s">
        <v>841</v>
      </c>
      <c r="E18" s="840">
        <f>'d3'!E18-'d3-П'!E18</f>
        <v>-178100</v>
      </c>
      <c r="F18" s="840">
        <f>'d3'!F18-'d3-П'!F18</f>
        <v>-178100</v>
      </c>
      <c r="G18" s="840">
        <f>'d3'!G18-'d3-П'!G18</f>
        <v>200000</v>
      </c>
      <c r="H18" s="840">
        <f>'d3'!H18-'d3-П'!H18</f>
        <v>-288000</v>
      </c>
      <c r="I18" s="840">
        <f>'d3'!I18-'d3-П'!I18</f>
        <v>0</v>
      </c>
      <c r="J18" s="840">
        <f>'d3'!J18-'d3-П'!J18</f>
        <v>0</v>
      </c>
      <c r="K18" s="840">
        <f>'d3'!K18-'d3-П'!K18</f>
        <v>0</v>
      </c>
      <c r="L18" s="840">
        <f>'d3'!L18-'d3-П'!L18</f>
        <v>0</v>
      </c>
      <c r="M18" s="840">
        <f>'d3'!M18-'d3-П'!M18</f>
        <v>0</v>
      </c>
      <c r="N18" s="840">
        <f>'d3'!N18-'d3-П'!N18</f>
        <v>0</v>
      </c>
      <c r="O18" s="840">
        <f>'d3'!O18-'d3-П'!O18</f>
        <v>0</v>
      </c>
      <c r="P18" s="840">
        <f>'d3'!P18-'d3-П'!P18</f>
        <v>-178100</v>
      </c>
    </row>
    <row r="19" spans="1:16" ht="321.75" thickTop="1" thickBot="1" x14ac:dyDescent="0.25">
      <c r="A19" s="843" t="s">
        <v>250</v>
      </c>
      <c r="B19" s="843" t="s">
        <v>251</v>
      </c>
      <c r="C19" s="843" t="s">
        <v>252</v>
      </c>
      <c r="D19" s="843" t="s">
        <v>249</v>
      </c>
      <c r="E19" s="840">
        <f>'d3'!E19-'d3-П'!E19</f>
        <v>-178100</v>
      </c>
      <c r="F19" s="840">
        <f>'d3'!F19-'d3-П'!F19</f>
        <v>-178100</v>
      </c>
      <c r="G19" s="840">
        <f>'d3'!G19-'d3-П'!G19</f>
        <v>200000</v>
      </c>
      <c r="H19" s="840">
        <f>'d3'!H19-'d3-П'!H19</f>
        <v>-288000</v>
      </c>
      <c r="I19" s="840">
        <f>'d3'!I19-'d3-П'!I19</f>
        <v>0</v>
      </c>
      <c r="J19" s="840">
        <f>'d3'!J19-'d3-П'!J19</f>
        <v>0</v>
      </c>
      <c r="K19" s="840">
        <f>'d3'!K19-'d3-П'!K19</f>
        <v>0</v>
      </c>
      <c r="L19" s="840">
        <f>'d3'!L19-'d3-П'!L19</f>
        <v>0</v>
      </c>
      <c r="M19" s="840">
        <f>'d3'!M19-'d3-П'!M19</f>
        <v>0</v>
      </c>
      <c r="N19" s="840">
        <f>'d3'!N19-'d3-П'!N19</f>
        <v>0</v>
      </c>
      <c r="O19" s="840">
        <f>'d3'!O19-'d3-П'!O19</f>
        <v>0</v>
      </c>
      <c r="P19" s="840">
        <f>'d3'!P19-'d3-П'!P19</f>
        <v>-178100</v>
      </c>
    </row>
    <row r="20" spans="1:16" ht="230.25" thickTop="1" thickBot="1" x14ac:dyDescent="0.25">
      <c r="A20" s="843" t="s">
        <v>706</v>
      </c>
      <c r="B20" s="843" t="s">
        <v>254</v>
      </c>
      <c r="C20" s="843" t="s">
        <v>252</v>
      </c>
      <c r="D20" s="843" t="s">
        <v>253</v>
      </c>
      <c r="E20" s="840">
        <f>'d3'!E20-'d3-П'!E20</f>
        <v>0</v>
      </c>
      <c r="F20" s="840">
        <f>'d3'!F20-'d3-П'!F20</f>
        <v>0</v>
      </c>
      <c r="G20" s="840">
        <f>'d3'!G20-'d3-П'!G20</f>
        <v>0</v>
      </c>
      <c r="H20" s="840">
        <f>'d3'!H20-'d3-П'!H20</f>
        <v>0</v>
      </c>
      <c r="I20" s="840">
        <f>'d3'!I20-'d3-П'!I20</f>
        <v>0</v>
      </c>
      <c r="J20" s="840">
        <f>'d3'!J20-'d3-П'!J20</f>
        <v>0</v>
      </c>
      <c r="K20" s="840">
        <f>'d3'!K20-'d3-П'!K20</f>
        <v>0</v>
      </c>
      <c r="L20" s="840">
        <f>'d3'!L20-'d3-П'!L20</f>
        <v>0</v>
      </c>
      <c r="M20" s="840">
        <f>'d3'!M20-'d3-П'!M20</f>
        <v>0</v>
      </c>
      <c r="N20" s="840">
        <f>'d3'!N20-'d3-П'!N20</f>
        <v>0</v>
      </c>
      <c r="O20" s="840">
        <f>'d3'!O20-'d3-П'!O20</f>
        <v>0</v>
      </c>
      <c r="P20" s="840">
        <f>'d3'!P20-'d3-П'!P20</f>
        <v>0</v>
      </c>
    </row>
    <row r="21" spans="1:16" ht="184.5" thickTop="1" thickBot="1" x14ac:dyDescent="0.25">
      <c r="A21" s="842" t="s">
        <v>774</v>
      </c>
      <c r="B21" s="842" t="s">
        <v>388</v>
      </c>
      <c r="C21" s="842" t="s">
        <v>775</v>
      </c>
      <c r="D21" s="842" t="s">
        <v>776</v>
      </c>
      <c r="E21" s="840">
        <f>'d3'!E21-'d3-П'!E21</f>
        <v>0</v>
      </c>
      <c r="F21" s="840">
        <f>'d3'!F21-'d3-П'!F21</f>
        <v>0</v>
      </c>
      <c r="G21" s="840">
        <f>'d3'!G21-'d3-П'!G21</f>
        <v>0</v>
      </c>
      <c r="H21" s="840">
        <f>'d3'!H21-'d3-П'!H21</f>
        <v>0</v>
      </c>
      <c r="I21" s="840">
        <f>'d3'!I21-'d3-П'!I21</f>
        <v>0</v>
      </c>
      <c r="J21" s="840">
        <f>'d3'!J21-'d3-П'!J21</f>
        <v>0</v>
      </c>
      <c r="K21" s="840">
        <f>'d3'!K21-'d3-П'!K21</f>
        <v>0</v>
      </c>
      <c r="L21" s="840">
        <f>'d3'!L21-'d3-П'!L21</f>
        <v>0</v>
      </c>
      <c r="M21" s="840">
        <f>'d3'!M21-'d3-П'!M21</f>
        <v>0</v>
      </c>
      <c r="N21" s="840">
        <f>'d3'!N21-'d3-П'!N21</f>
        <v>0</v>
      </c>
      <c r="O21" s="840">
        <f>'d3'!O21-'d3-П'!O21</f>
        <v>0</v>
      </c>
      <c r="P21" s="840">
        <f>'d3'!P21-'d3-П'!P21</f>
        <v>0</v>
      </c>
    </row>
    <row r="22" spans="1:16" ht="93" thickTop="1" thickBot="1" x14ac:dyDescent="0.25">
      <c r="A22" s="842" t="s">
        <v>265</v>
      </c>
      <c r="B22" s="842" t="s">
        <v>45</v>
      </c>
      <c r="C22" s="842" t="s">
        <v>44</v>
      </c>
      <c r="D22" s="842" t="s">
        <v>266</v>
      </c>
      <c r="E22" s="840">
        <f>'d3'!E22-'d3-П'!E22</f>
        <v>0</v>
      </c>
      <c r="F22" s="840">
        <f>'d3'!F22-'d3-П'!F22</f>
        <v>0</v>
      </c>
      <c r="G22" s="840">
        <f>'d3'!G22-'d3-П'!G22</f>
        <v>0</v>
      </c>
      <c r="H22" s="840">
        <f>'d3'!H22-'d3-П'!H22</f>
        <v>0</v>
      </c>
      <c r="I22" s="840">
        <f>'d3'!I22-'d3-П'!I22</f>
        <v>0</v>
      </c>
      <c r="J22" s="840">
        <f>'d3'!J22-'d3-П'!J22</f>
        <v>0</v>
      </c>
      <c r="K22" s="840">
        <f>'d3'!K22-'d3-П'!K22</f>
        <v>0</v>
      </c>
      <c r="L22" s="840">
        <f>'d3'!L22-'d3-П'!L22</f>
        <v>0</v>
      </c>
      <c r="M22" s="840">
        <f>'d3'!M22-'d3-П'!M22</f>
        <v>0</v>
      </c>
      <c r="N22" s="840">
        <f>'d3'!N22-'d3-П'!N22</f>
        <v>0</v>
      </c>
      <c r="O22" s="840">
        <f>'d3'!O22-'d3-П'!O22</f>
        <v>0</v>
      </c>
      <c r="P22" s="840">
        <f>'d3'!P22-'d3-П'!P22</f>
        <v>0</v>
      </c>
    </row>
    <row r="23" spans="1:16" s="377" customFormat="1" ht="47.25" thickTop="1" thickBot="1" x14ac:dyDescent="0.25">
      <c r="A23" s="422" t="s">
        <v>904</v>
      </c>
      <c r="B23" s="421" t="s">
        <v>905</v>
      </c>
      <c r="C23" s="421"/>
      <c r="D23" s="421" t="s">
        <v>906</v>
      </c>
      <c r="E23" s="840">
        <f>'d3'!E23-'d3-П'!E23</f>
        <v>0</v>
      </c>
      <c r="F23" s="840">
        <f>'d3'!F23-'d3-П'!F23</f>
        <v>0</v>
      </c>
      <c r="G23" s="840">
        <f>'d3'!G23-'d3-П'!G23</f>
        <v>0</v>
      </c>
      <c r="H23" s="840">
        <f>'d3'!H23-'d3-П'!H23</f>
        <v>0</v>
      </c>
      <c r="I23" s="840">
        <f>'d3'!I23-'d3-П'!I23</f>
        <v>0</v>
      </c>
      <c r="J23" s="840">
        <f>'d3'!J23-'d3-П'!J23</f>
        <v>0</v>
      </c>
      <c r="K23" s="840">
        <f>'d3'!K23-'d3-П'!K23</f>
        <v>0</v>
      </c>
      <c r="L23" s="840">
        <f>'d3'!L23-'d3-П'!L23</f>
        <v>-46000</v>
      </c>
      <c r="M23" s="840">
        <f>'d3'!M23-'d3-П'!M23</f>
        <v>0</v>
      </c>
      <c r="N23" s="840">
        <f>'d3'!N23-'d3-П'!N23</f>
        <v>0</v>
      </c>
      <c r="O23" s="840">
        <f>'d3'!O23-'d3-П'!O23</f>
        <v>46000</v>
      </c>
      <c r="P23" s="840">
        <f>'d3'!P23-'d3-П'!P23</f>
        <v>0</v>
      </c>
    </row>
    <row r="24" spans="1:16" s="39" customFormat="1" ht="91.5" thickTop="1" thickBot="1" x14ac:dyDescent="0.25">
      <c r="A24" s="379" t="s">
        <v>842</v>
      </c>
      <c r="B24" s="379" t="s">
        <v>843</v>
      </c>
      <c r="C24" s="379"/>
      <c r="D24" s="379" t="s">
        <v>844</v>
      </c>
      <c r="E24" s="840">
        <f>'d3'!E24-'d3-П'!E24</f>
        <v>0</v>
      </c>
      <c r="F24" s="840">
        <f>'d3'!F24-'d3-П'!F24</f>
        <v>0</v>
      </c>
      <c r="G24" s="840">
        <f>'d3'!G24-'d3-П'!G24</f>
        <v>0</v>
      </c>
      <c r="H24" s="840">
        <f>'d3'!H24-'d3-П'!H24</f>
        <v>0</v>
      </c>
      <c r="I24" s="840">
        <f>'d3'!I24-'d3-П'!I24</f>
        <v>0</v>
      </c>
      <c r="J24" s="840">
        <f>'d3'!J24-'d3-П'!J24</f>
        <v>0</v>
      </c>
      <c r="K24" s="840">
        <f>'d3'!K24-'d3-П'!K24</f>
        <v>0</v>
      </c>
      <c r="L24" s="840">
        <f>'d3'!L24-'d3-П'!L24</f>
        <v>0</v>
      </c>
      <c r="M24" s="840">
        <f>'d3'!M24-'d3-П'!M24</f>
        <v>0</v>
      </c>
      <c r="N24" s="840">
        <f>'d3'!N24-'d3-П'!N24</f>
        <v>0</v>
      </c>
      <c r="O24" s="840">
        <f>'d3'!O24-'d3-П'!O24</f>
        <v>0</v>
      </c>
      <c r="P24" s="840">
        <f>'d3'!P24-'d3-П'!P24</f>
        <v>0</v>
      </c>
    </row>
    <row r="25" spans="1:16" ht="93" thickTop="1" thickBot="1" x14ac:dyDescent="0.25">
      <c r="A25" s="842" t="s">
        <v>256</v>
      </c>
      <c r="B25" s="842" t="s">
        <v>257</v>
      </c>
      <c r="C25" s="842" t="s">
        <v>258</v>
      </c>
      <c r="D25" s="842" t="s">
        <v>255</v>
      </c>
      <c r="E25" s="840">
        <f>'d3'!E25-'d3-П'!E25</f>
        <v>0</v>
      </c>
      <c r="F25" s="840">
        <f>'d3'!F25-'d3-П'!F25</f>
        <v>0</v>
      </c>
      <c r="G25" s="840">
        <f>'d3'!G25-'d3-П'!G25</f>
        <v>0</v>
      </c>
      <c r="H25" s="840">
        <f>'d3'!H25-'d3-П'!H25</f>
        <v>0</v>
      </c>
      <c r="I25" s="840">
        <f>'d3'!I25-'d3-П'!I25</f>
        <v>0</v>
      </c>
      <c r="J25" s="840">
        <f>'d3'!J25-'d3-П'!J25</f>
        <v>0</v>
      </c>
      <c r="K25" s="840">
        <f>'d3'!K25-'d3-П'!K25</f>
        <v>0</v>
      </c>
      <c r="L25" s="840">
        <f>'d3'!L25-'d3-П'!L25</f>
        <v>0</v>
      </c>
      <c r="M25" s="840">
        <f>'d3'!M25-'d3-П'!M25</f>
        <v>0</v>
      </c>
      <c r="N25" s="840">
        <f>'d3'!N25-'d3-П'!N25</f>
        <v>0</v>
      </c>
      <c r="O25" s="840">
        <f>'d3'!O25-'d3-П'!O25</f>
        <v>0</v>
      </c>
      <c r="P25" s="840">
        <f>'d3'!P25-'d3-П'!P25</f>
        <v>0</v>
      </c>
    </row>
    <row r="26" spans="1:16" ht="230.25" thickTop="1" thickBot="1" x14ac:dyDescent="0.25">
      <c r="A26" s="842" t="s">
        <v>1276</v>
      </c>
      <c r="B26" s="842" t="s">
        <v>1277</v>
      </c>
      <c r="C26" s="842" t="s">
        <v>258</v>
      </c>
      <c r="D26" s="842" t="s">
        <v>1278</v>
      </c>
      <c r="E26" s="840">
        <f>'d3'!E26-'d3-П'!E26</f>
        <v>0</v>
      </c>
      <c r="F26" s="840">
        <f>'d3'!F26-'d3-П'!F26</f>
        <v>0</v>
      </c>
      <c r="G26" s="840">
        <f>'d3'!G26-'d3-П'!G26</f>
        <v>0</v>
      </c>
      <c r="H26" s="840">
        <f>'d3'!H26-'d3-П'!H26</f>
        <v>0</v>
      </c>
      <c r="I26" s="840">
        <f>'d3'!I26-'d3-П'!I26</f>
        <v>0</v>
      </c>
      <c r="J26" s="840">
        <f>'d3'!J26-'d3-П'!J26</f>
        <v>0</v>
      </c>
      <c r="K26" s="840">
        <f>'d3'!K26-'d3-П'!K26</f>
        <v>0</v>
      </c>
      <c r="L26" s="840">
        <f>'d3'!L26-'d3-П'!L26</f>
        <v>0</v>
      </c>
      <c r="M26" s="840">
        <f>'d3'!M26-'d3-П'!M26</f>
        <v>0</v>
      </c>
      <c r="N26" s="840">
        <f>'d3'!N26-'d3-П'!N26</f>
        <v>0</v>
      </c>
      <c r="O26" s="840">
        <f>'d3'!O26-'d3-П'!O26</f>
        <v>0</v>
      </c>
      <c r="P26" s="840">
        <f>'d3'!P26-'d3-П'!P26</f>
        <v>0</v>
      </c>
    </row>
    <row r="27" spans="1:16" s="79" customFormat="1" ht="136.5" thickTop="1" thickBot="1" x14ac:dyDescent="0.25">
      <c r="A27" s="380" t="s">
        <v>846</v>
      </c>
      <c r="B27" s="380" t="s">
        <v>847</v>
      </c>
      <c r="C27" s="380"/>
      <c r="D27" s="380" t="s">
        <v>845</v>
      </c>
      <c r="E27" s="840">
        <f>'d3'!E27-'d3-П'!E27</f>
        <v>0</v>
      </c>
      <c r="F27" s="840">
        <f>'d3'!F27-'d3-П'!F27</f>
        <v>0</v>
      </c>
      <c r="G27" s="840">
        <f>'d3'!G27-'d3-П'!G27</f>
        <v>0</v>
      </c>
      <c r="H27" s="840">
        <f>'d3'!H27-'d3-П'!H27</f>
        <v>0</v>
      </c>
      <c r="I27" s="840">
        <f>'d3'!I27-'d3-П'!I27</f>
        <v>0</v>
      </c>
      <c r="J27" s="840">
        <f>'d3'!J27-'d3-П'!J27</f>
        <v>0</v>
      </c>
      <c r="K27" s="840">
        <f>'d3'!K27-'d3-П'!K27</f>
        <v>0</v>
      </c>
      <c r="L27" s="840">
        <f>'d3'!L27-'d3-П'!L27</f>
        <v>-46000</v>
      </c>
      <c r="M27" s="840">
        <f>'d3'!M27-'d3-П'!M27</f>
        <v>0</v>
      </c>
      <c r="N27" s="840">
        <f>'d3'!N27-'d3-П'!N27</f>
        <v>0</v>
      </c>
      <c r="O27" s="840">
        <f>'d3'!O27-'d3-П'!O27</f>
        <v>46000</v>
      </c>
      <c r="P27" s="840">
        <f>'d3'!P27-'d3-П'!P27</f>
        <v>0</v>
      </c>
    </row>
    <row r="28" spans="1:16" ht="138.75" thickTop="1" thickBot="1" x14ac:dyDescent="0.25">
      <c r="A28" s="842" t="s">
        <v>318</v>
      </c>
      <c r="B28" s="842" t="s">
        <v>319</v>
      </c>
      <c r="C28" s="842" t="s">
        <v>184</v>
      </c>
      <c r="D28" s="842" t="s">
        <v>475</v>
      </c>
      <c r="E28" s="840">
        <f>'d3'!E28-'d3-П'!E28</f>
        <v>0</v>
      </c>
      <c r="F28" s="840">
        <f>'d3'!F28-'d3-П'!F28</f>
        <v>0</v>
      </c>
      <c r="G28" s="840">
        <f>'d3'!G28-'d3-П'!G28</f>
        <v>0</v>
      </c>
      <c r="H28" s="840">
        <f>'d3'!H28-'d3-П'!H28</f>
        <v>0</v>
      </c>
      <c r="I28" s="840">
        <f>'d3'!I28-'d3-П'!I28</f>
        <v>0</v>
      </c>
      <c r="J28" s="840">
        <f>'d3'!J28-'d3-П'!J28</f>
        <v>0</v>
      </c>
      <c r="K28" s="840">
        <f>'d3'!K28-'d3-П'!K28</f>
        <v>0</v>
      </c>
      <c r="L28" s="840">
        <f>'d3'!L28-'d3-П'!L28</f>
        <v>0</v>
      </c>
      <c r="M28" s="840">
        <f>'d3'!M28-'d3-П'!M28</f>
        <v>0</v>
      </c>
      <c r="N28" s="840">
        <f>'d3'!N28-'d3-П'!N28</f>
        <v>0</v>
      </c>
      <c r="O28" s="840">
        <f>'d3'!O28-'d3-П'!O28</f>
        <v>0</v>
      </c>
      <c r="P28" s="840">
        <f>'d3'!P28-'d3-П'!P28</f>
        <v>0</v>
      </c>
    </row>
    <row r="29" spans="1:16" s="79" customFormat="1" ht="47.25" thickTop="1" thickBot="1" x14ac:dyDescent="0.25">
      <c r="A29" s="378" t="s">
        <v>849</v>
      </c>
      <c r="B29" s="378" t="s">
        <v>850</v>
      </c>
      <c r="C29" s="378"/>
      <c r="D29" s="381" t="s">
        <v>848</v>
      </c>
      <c r="E29" s="840">
        <f>'d3'!E29-'d3-П'!E29</f>
        <v>0</v>
      </c>
      <c r="F29" s="840">
        <f>'d3'!F29-'d3-П'!F29</f>
        <v>0</v>
      </c>
      <c r="G29" s="840">
        <f>'d3'!G29-'d3-П'!G29</f>
        <v>0</v>
      </c>
      <c r="H29" s="840">
        <f>'d3'!H29-'d3-П'!H29</f>
        <v>0</v>
      </c>
      <c r="I29" s="840">
        <f>'d3'!I29-'d3-П'!I29</f>
        <v>0</v>
      </c>
      <c r="J29" s="840">
        <f>'d3'!J29-'d3-П'!J29</f>
        <v>0</v>
      </c>
      <c r="K29" s="840">
        <f>'d3'!K29-'d3-П'!K29</f>
        <v>0</v>
      </c>
      <c r="L29" s="840">
        <f>'d3'!L29-'d3-П'!L29</f>
        <v>-46000</v>
      </c>
      <c r="M29" s="840">
        <f>'d3'!M29-'d3-П'!M29</f>
        <v>0</v>
      </c>
      <c r="N29" s="840">
        <f>'d3'!N29-'d3-П'!N29</f>
        <v>0</v>
      </c>
      <c r="O29" s="840">
        <f>'d3'!O29-'d3-П'!O29</f>
        <v>46000</v>
      </c>
      <c r="P29" s="840">
        <f>'d3'!P29-'d3-П'!P29</f>
        <v>0</v>
      </c>
    </row>
    <row r="30" spans="1:16" s="39" customFormat="1" ht="361.5" customHeight="1" thickTop="1" thickBot="1" x14ac:dyDescent="0.7">
      <c r="A30" s="990" t="s">
        <v>364</v>
      </c>
      <c r="B30" s="990" t="s">
        <v>363</v>
      </c>
      <c r="C30" s="990" t="s">
        <v>184</v>
      </c>
      <c r="D30" s="303" t="s">
        <v>473</v>
      </c>
      <c r="E30" s="966">
        <f>'d3'!E30-'d3-П'!E30</f>
        <v>0</v>
      </c>
      <c r="F30" s="966">
        <f>'d3'!F30-'d3-П'!F30</f>
        <v>0</v>
      </c>
      <c r="G30" s="966">
        <f>'d3'!G30-'d3-П'!G30</f>
        <v>0</v>
      </c>
      <c r="H30" s="966">
        <f>'d3'!H30-'d3-П'!H30</f>
        <v>0</v>
      </c>
      <c r="I30" s="966">
        <f>'d3'!I30-'d3-П'!I30</f>
        <v>0</v>
      </c>
      <c r="J30" s="966">
        <f>'d3'!J30-'d3-П'!J30</f>
        <v>0</v>
      </c>
      <c r="K30" s="966">
        <f>'d3'!K30-'d3-П'!K30</f>
        <v>0</v>
      </c>
      <c r="L30" s="966">
        <f>'d3'!L30-'d3-П'!L30</f>
        <v>-46000</v>
      </c>
      <c r="M30" s="966">
        <f>'d3'!M30-'d3-П'!M30</f>
        <v>0</v>
      </c>
      <c r="N30" s="966">
        <f>'d3'!N30-'d3-П'!N30</f>
        <v>0</v>
      </c>
      <c r="O30" s="966">
        <f>'d3'!O30-'d3-П'!O30</f>
        <v>46000</v>
      </c>
      <c r="P30" s="966">
        <f>'d3'!P30-'d3-П'!P30</f>
        <v>0</v>
      </c>
    </row>
    <row r="31" spans="1:16" s="39" customFormat="1" ht="184.5" thickTop="1" thickBot="1" x14ac:dyDescent="0.25">
      <c r="A31" s="992"/>
      <c r="B31" s="991"/>
      <c r="C31" s="992"/>
      <c r="D31" s="304" t="s">
        <v>474</v>
      </c>
      <c r="E31" s="1064"/>
      <c r="F31" s="1064"/>
      <c r="G31" s="1064"/>
      <c r="H31" s="1064"/>
      <c r="I31" s="1064"/>
      <c r="J31" s="1064"/>
      <c r="K31" s="1064"/>
      <c r="L31" s="1064"/>
      <c r="M31" s="1064"/>
      <c r="N31" s="1064"/>
      <c r="O31" s="1064"/>
      <c r="P31" s="1064"/>
    </row>
    <row r="32" spans="1:16" s="39" customFormat="1" ht="93" thickTop="1" thickBot="1" x14ac:dyDescent="0.25">
      <c r="A32" s="843" t="s">
        <v>1119</v>
      </c>
      <c r="B32" s="843" t="s">
        <v>275</v>
      </c>
      <c r="C32" s="843" t="s">
        <v>184</v>
      </c>
      <c r="D32" s="843" t="s">
        <v>273</v>
      </c>
      <c r="E32" s="840">
        <f>'d3'!E32-'d3-П'!E32</f>
        <v>0</v>
      </c>
      <c r="F32" s="840">
        <f>'d3'!F32-'d3-П'!F32</f>
        <v>0</v>
      </c>
      <c r="G32" s="840">
        <f>'d3'!G32-'d3-П'!G32</f>
        <v>0</v>
      </c>
      <c r="H32" s="840">
        <f>'d3'!H32-'d3-П'!H32</f>
        <v>0</v>
      </c>
      <c r="I32" s="840">
        <f>'d3'!I32-'d3-П'!I32</f>
        <v>0</v>
      </c>
      <c r="J32" s="840">
        <f>'d3'!J32-'d3-П'!J32</f>
        <v>0</v>
      </c>
      <c r="K32" s="840">
        <f>'d3'!K32-'d3-П'!K32</f>
        <v>0</v>
      </c>
      <c r="L32" s="840">
        <f>'d3'!L32-'d3-П'!L32</f>
        <v>0</v>
      </c>
      <c r="M32" s="840">
        <f>'d3'!M32-'d3-П'!M32</f>
        <v>0</v>
      </c>
      <c r="N32" s="840">
        <f>'d3'!N32-'d3-П'!N32</f>
        <v>0</v>
      </c>
      <c r="O32" s="840">
        <f>'d3'!O32-'d3-П'!O32</f>
        <v>0</v>
      </c>
      <c r="P32" s="840">
        <f>'d3'!P32-'d3-П'!P32</f>
        <v>0</v>
      </c>
    </row>
    <row r="33" spans="1:16" s="39" customFormat="1" ht="46.5" customHeight="1" thickTop="1" thickBot="1" x14ac:dyDescent="0.25">
      <c r="A33" s="422" t="s">
        <v>851</v>
      </c>
      <c r="B33" s="422" t="s">
        <v>852</v>
      </c>
      <c r="C33" s="422"/>
      <c r="D33" s="422" t="s">
        <v>853</v>
      </c>
      <c r="E33" s="840">
        <f>'d3'!E33-'d3-П'!E33</f>
        <v>0</v>
      </c>
      <c r="F33" s="840">
        <f>'d3'!F33-'d3-П'!F33</f>
        <v>0</v>
      </c>
      <c r="G33" s="840">
        <f>'d3'!G33-'d3-П'!G33</f>
        <v>0</v>
      </c>
      <c r="H33" s="840">
        <f>'d3'!H33-'d3-П'!H33</f>
        <v>0</v>
      </c>
      <c r="I33" s="840">
        <f>'d3'!I33-'d3-П'!I33</f>
        <v>0</v>
      </c>
      <c r="J33" s="840">
        <f>'d3'!J33-'d3-П'!J33</f>
        <v>0</v>
      </c>
      <c r="K33" s="840">
        <f>'d3'!K33-'d3-П'!K33</f>
        <v>0</v>
      </c>
      <c r="L33" s="840">
        <f>'d3'!L33-'d3-П'!L33</f>
        <v>0</v>
      </c>
      <c r="M33" s="840">
        <f>'d3'!M33-'d3-П'!M33</f>
        <v>0</v>
      </c>
      <c r="N33" s="840">
        <f>'d3'!N33-'d3-П'!N33</f>
        <v>0</v>
      </c>
      <c r="O33" s="840">
        <f>'d3'!O33-'d3-П'!O33</f>
        <v>0</v>
      </c>
      <c r="P33" s="840">
        <f>'d3'!P33-'d3-П'!P33</f>
        <v>0</v>
      </c>
    </row>
    <row r="34" spans="1:16" s="39" customFormat="1" ht="47.25" thickTop="1" thickBot="1" x14ac:dyDescent="0.25">
      <c r="A34" s="379" t="s">
        <v>854</v>
      </c>
      <c r="B34" s="379" t="s">
        <v>855</v>
      </c>
      <c r="C34" s="379"/>
      <c r="D34" s="379" t="s">
        <v>856</v>
      </c>
      <c r="E34" s="840">
        <f>'d3'!E34-'d3-П'!E34</f>
        <v>0</v>
      </c>
      <c r="F34" s="840">
        <f>'d3'!F34-'d3-П'!F34</f>
        <v>0</v>
      </c>
      <c r="G34" s="840">
        <f>'d3'!G34-'d3-П'!G34</f>
        <v>0</v>
      </c>
      <c r="H34" s="840">
        <f>'d3'!H34-'d3-П'!H34</f>
        <v>0</v>
      </c>
      <c r="I34" s="840">
        <f>'d3'!I34-'d3-П'!I34</f>
        <v>0</v>
      </c>
      <c r="J34" s="840">
        <f>'d3'!J34-'d3-П'!J34</f>
        <v>0</v>
      </c>
      <c r="K34" s="840">
        <f>'d3'!K34-'d3-П'!K34</f>
        <v>0</v>
      </c>
      <c r="L34" s="840">
        <f>'d3'!L34-'d3-П'!L34</f>
        <v>0</v>
      </c>
      <c r="M34" s="840">
        <f>'d3'!M34-'d3-П'!M34</f>
        <v>0</v>
      </c>
      <c r="N34" s="840">
        <f>'d3'!N34-'d3-П'!N34</f>
        <v>0</v>
      </c>
      <c r="O34" s="840">
        <f>'d3'!O34-'d3-П'!O34</f>
        <v>0</v>
      </c>
      <c r="P34" s="840">
        <f>'d3'!P34-'d3-П'!P34</f>
        <v>0</v>
      </c>
    </row>
    <row r="35" spans="1:16" ht="93" thickTop="1" thickBot="1" x14ac:dyDescent="0.25">
      <c r="A35" s="842" t="s">
        <v>259</v>
      </c>
      <c r="B35" s="842" t="s">
        <v>260</v>
      </c>
      <c r="C35" s="842" t="s">
        <v>261</v>
      </c>
      <c r="D35" s="842" t="s">
        <v>262</v>
      </c>
      <c r="E35" s="840">
        <f>'d3'!E35-'d3-П'!E35</f>
        <v>0</v>
      </c>
      <c r="F35" s="840">
        <f>'d3'!F35-'d3-П'!F35</f>
        <v>0</v>
      </c>
      <c r="G35" s="840">
        <f>'d3'!G35-'d3-П'!G35</f>
        <v>0</v>
      </c>
      <c r="H35" s="840">
        <f>'d3'!H35-'d3-П'!H35</f>
        <v>0</v>
      </c>
      <c r="I35" s="840">
        <f>'d3'!I35-'d3-П'!I35</f>
        <v>0</v>
      </c>
      <c r="J35" s="840">
        <f>'d3'!J35-'d3-П'!J35</f>
        <v>0</v>
      </c>
      <c r="K35" s="840">
        <f>'d3'!K35-'d3-П'!K35</f>
        <v>0</v>
      </c>
      <c r="L35" s="840">
        <f>'d3'!L35-'d3-П'!L35</f>
        <v>0</v>
      </c>
      <c r="M35" s="840">
        <f>'d3'!M35-'d3-П'!M35</f>
        <v>0</v>
      </c>
      <c r="N35" s="840">
        <f>'d3'!N35-'d3-П'!N35</f>
        <v>0</v>
      </c>
      <c r="O35" s="840">
        <f>'d3'!O35-'d3-П'!O35</f>
        <v>0</v>
      </c>
      <c r="P35" s="840">
        <f>'d3'!P35-'d3-П'!P35</f>
        <v>0</v>
      </c>
    </row>
    <row r="36" spans="1:16" ht="47.25" thickTop="1" thickBot="1" x14ac:dyDescent="0.25">
      <c r="A36" s="422" t="s">
        <v>857</v>
      </c>
      <c r="B36" s="422" t="s">
        <v>858</v>
      </c>
      <c r="C36" s="422"/>
      <c r="D36" s="422" t="s">
        <v>859</v>
      </c>
      <c r="E36" s="840">
        <f>'d3'!E36-'d3-П'!E36</f>
        <v>0</v>
      </c>
      <c r="F36" s="840">
        <f>'d3'!F36-'d3-П'!F36</f>
        <v>0</v>
      </c>
      <c r="G36" s="840">
        <f>'d3'!G36-'d3-П'!G36</f>
        <v>0</v>
      </c>
      <c r="H36" s="840">
        <f>'d3'!H36-'d3-П'!H36</f>
        <v>0</v>
      </c>
      <c r="I36" s="840">
        <f>'d3'!I36-'d3-П'!I36</f>
        <v>0</v>
      </c>
      <c r="J36" s="840">
        <f>'d3'!J36-'d3-П'!J36</f>
        <v>348400</v>
      </c>
      <c r="K36" s="840">
        <f>'d3'!K36-'d3-П'!K36</f>
        <v>348400</v>
      </c>
      <c r="L36" s="840">
        <f>'d3'!L36-'d3-П'!L36</f>
        <v>0</v>
      </c>
      <c r="M36" s="840">
        <f>'d3'!M36-'d3-П'!M36</f>
        <v>0</v>
      </c>
      <c r="N36" s="840">
        <f>'d3'!N36-'d3-П'!N36</f>
        <v>0</v>
      </c>
      <c r="O36" s="840">
        <f>'d3'!O36-'d3-П'!O36</f>
        <v>348400</v>
      </c>
      <c r="P36" s="840">
        <f>'d3'!P36-'d3-П'!P36</f>
        <v>348400</v>
      </c>
    </row>
    <row r="37" spans="1:16" s="39" customFormat="1" ht="271.5" thickTop="1" thickBot="1" x14ac:dyDescent="0.25">
      <c r="A37" s="379" t="s">
        <v>860</v>
      </c>
      <c r="B37" s="379" t="s">
        <v>861</v>
      </c>
      <c r="C37" s="379"/>
      <c r="D37" s="379" t="s">
        <v>862</v>
      </c>
      <c r="E37" s="840">
        <f>'d3'!E37-'d3-П'!E37</f>
        <v>0</v>
      </c>
      <c r="F37" s="840">
        <f>'d3'!F37-'d3-П'!F37</f>
        <v>0</v>
      </c>
      <c r="G37" s="840">
        <f>'d3'!G37-'d3-П'!G37</f>
        <v>0</v>
      </c>
      <c r="H37" s="840">
        <f>'d3'!H37-'d3-П'!H37</f>
        <v>0</v>
      </c>
      <c r="I37" s="840">
        <f>'d3'!I37-'d3-П'!I37</f>
        <v>0</v>
      </c>
      <c r="J37" s="840">
        <f>'d3'!J37-'d3-П'!J37</f>
        <v>0</v>
      </c>
      <c r="K37" s="840">
        <f>'d3'!K37-'d3-П'!K37</f>
        <v>0</v>
      </c>
      <c r="L37" s="840">
        <f>'d3'!L37-'d3-П'!L37</f>
        <v>0</v>
      </c>
      <c r="M37" s="840">
        <f>'d3'!M37-'d3-П'!M37</f>
        <v>0</v>
      </c>
      <c r="N37" s="840">
        <f>'d3'!N37-'d3-П'!N37</f>
        <v>0</v>
      </c>
      <c r="O37" s="840">
        <f>'d3'!O37-'d3-П'!O37</f>
        <v>0</v>
      </c>
      <c r="P37" s="840">
        <f>'d3'!P37-'d3-П'!P37</f>
        <v>0</v>
      </c>
    </row>
    <row r="38" spans="1:16" ht="276" thickTop="1" thickBot="1" x14ac:dyDescent="0.25">
      <c r="A38" s="843" t="s">
        <v>263</v>
      </c>
      <c r="B38" s="843" t="s">
        <v>264</v>
      </c>
      <c r="C38" s="843" t="s">
        <v>45</v>
      </c>
      <c r="D38" s="843" t="s">
        <v>476</v>
      </c>
      <c r="E38" s="840">
        <f>'d3'!E38-'d3-П'!E38</f>
        <v>0</v>
      </c>
      <c r="F38" s="840">
        <f>'d3'!F38-'d3-П'!F38</f>
        <v>0</v>
      </c>
      <c r="G38" s="840">
        <f>'d3'!G38-'d3-П'!G38</f>
        <v>0</v>
      </c>
      <c r="H38" s="840">
        <f>'d3'!H38-'d3-П'!H38</f>
        <v>0</v>
      </c>
      <c r="I38" s="840">
        <f>'d3'!I38-'d3-П'!I38</f>
        <v>0</v>
      </c>
      <c r="J38" s="840">
        <f>'d3'!J38-'d3-П'!J38</f>
        <v>0</v>
      </c>
      <c r="K38" s="840">
        <f>'d3'!K38-'d3-П'!K38</f>
        <v>0</v>
      </c>
      <c r="L38" s="840">
        <f>'d3'!L38-'d3-П'!L38</f>
        <v>0</v>
      </c>
      <c r="M38" s="840">
        <f>'d3'!M38-'d3-П'!M38</f>
        <v>0</v>
      </c>
      <c r="N38" s="840">
        <f>'d3'!N38-'d3-П'!N38</f>
        <v>0</v>
      </c>
      <c r="O38" s="840">
        <f>'d3'!O38-'d3-П'!O38</f>
        <v>0</v>
      </c>
      <c r="P38" s="840">
        <f>'d3'!P38-'d3-П'!P38</f>
        <v>0</v>
      </c>
    </row>
    <row r="39" spans="1:16" ht="93" thickTop="1" thickBot="1" x14ac:dyDescent="0.25">
      <c r="A39" s="843" t="s">
        <v>694</v>
      </c>
      <c r="B39" s="843" t="s">
        <v>389</v>
      </c>
      <c r="C39" s="843" t="s">
        <v>45</v>
      </c>
      <c r="D39" s="843" t="s">
        <v>390</v>
      </c>
      <c r="E39" s="840">
        <f>'d3'!E39-'d3-П'!E39</f>
        <v>0</v>
      </c>
      <c r="F39" s="840">
        <f>'d3'!F39-'d3-П'!F39</f>
        <v>0</v>
      </c>
      <c r="G39" s="840">
        <f>'d3'!G39-'d3-П'!G39</f>
        <v>0</v>
      </c>
      <c r="H39" s="840">
        <f>'d3'!H39-'d3-П'!H39</f>
        <v>0</v>
      </c>
      <c r="I39" s="840">
        <f>'d3'!I39-'d3-П'!I39</f>
        <v>0</v>
      </c>
      <c r="J39" s="840">
        <f>'d3'!J39-'d3-П'!J39</f>
        <v>0</v>
      </c>
      <c r="K39" s="840">
        <f>'d3'!K39-'d3-П'!K39</f>
        <v>0</v>
      </c>
      <c r="L39" s="840">
        <f>'d3'!L39-'d3-П'!L39</f>
        <v>0</v>
      </c>
      <c r="M39" s="840">
        <f>'d3'!M39-'d3-П'!M39</f>
        <v>0</v>
      </c>
      <c r="N39" s="840">
        <f>'d3'!N39-'d3-П'!N39</f>
        <v>0</v>
      </c>
      <c r="O39" s="840">
        <f>'d3'!O39-'d3-П'!O39</f>
        <v>0</v>
      </c>
      <c r="P39" s="840">
        <f>'d3'!P39-'d3-П'!P39</f>
        <v>0</v>
      </c>
    </row>
    <row r="40" spans="1:16" ht="271.5" thickTop="1" thickBot="1" x14ac:dyDescent="0.25">
      <c r="A40" s="379" t="s">
        <v>560</v>
      </c>
      <c r="B40" s="379" t="s">
        <v>561</v>
      </c>
      <c r="C40" s="379" t="s">
        <v>45</v>
      </c>
      <c r="D40" s="379" t="s">
        <v>562</v>
      </c>
      <c r="E40" s="840">
        <f>'d3'!E40-'d3-П'!E40</f>
        <v>0</v>
      </c>
      <c r="F40" s="840">
        <f>'d3'!F40-'d3-П'!F40</f>
        <v>0</v>
      </c>
      <c r="G40" s="840">
        <f>'d3'!G40-'d3-П'!G40</f>
        <v>0</v>
      </c>
      <c r="H40" s="840">
        <f>'d3'!H40-'d3-П'!H40</f>
        <v>0</v>
      </c>
      <c r="I40" s="840">
        <f>'d3'!I40-'d3-П'!I40</f>
        <v>0</v>
      </c>
      <c r="J40" s="840">
        <f>'d3'!J40-'d3-П'!J40</f>
        <v>348400</v>
      </c>
      <c r="K40" s="840">
        <f>'d3'!K40-'d3-П'!K40</f>
        <v>348400</v>
      </c>
      <c r="L40" s="840">
        <f>'d3'!L40-'d3-П'!L40</f>
        <v>0</v>
      </c>
      <c r="M40" s="840">
        <f>'d3'!M40-'d3-П'!M40</f>
        <v>0</v>
      </c>
      <c r="N40" s="840">
        <f>'d3'!N40-'d3-П'!N40</f>
        <v>0</v>
      </c>
      <c r="O40" s="840">
        <f>'d3'!O40-'d3-П'!O40</f>
        <v>348400</v>
      </c>
      <c r="P40" s="840">
        <f>'d3'!P40-'d3-П'!P40</f>
        <v>348400</v>
      </c>
    </row>
    <row r="41" spans="1:16" ht="136.5" thickTop="1" thickBot="1" x14ac:dyDescent="0.25">
      <c r="A41" s="825" t="s">
        <v>166</v>
      </c>
      <c r="B41" s="825"/>
      <c r="C41" s="825"/>
      <c r="D41" s="826" t="s">
        <v>0</v>
      </c>
      <c r="E41" s="827">
        <f>E42</f>
        <v>-6738792.6600000858</v>
      </c>
      <c r="F41" s="828">
        <f t="shared" ref="F41" si="4">F42</f>
        <v>-6738792.6600000858</v>
      </c>
      <c r="G41" s="828">
        <f>G42</f>
        <v>-5950000</v>
      </c>
      <c r="H41" s="828">
        <f>H42</f>
        <v>2181390</v>
      </c>
      <c r="I41" s="828">
        <f t="shared" ref="I41" si="5">I42</f>
        <v>0</v>
      </c>
      <c r="J41" s="827">
        <f>J42</f>
        <v>1442794.6599999964</v>
      </c>
      <c r="K41" s="828">
        <f>K42</f>
        <v>1442794.6599999964</v>
      </c>
      <c r="L41" s="828">
        <f>L42</f>
        <v>0</v>
      </c>
      <c r="M41" s="828">
        <f t="shared" ref="M41" si="6">M42</f>
        <v>0</v>
      </c>
      <c r="N41" s="828">
        <f>N42</f>
        <v>77171.089999999851</v>
      </c>
      <c r="O41" s="827">
        <f>O42</f>
        <v>1442794.6599999964</v>
      </c>
      <c r="P41" s="828">
        <f t="shared" ref="P41" si="7">P42</f>
        <v>-5295998.0000000894</v>
      </c>
    </row>
    <row r="42" spans="1:16" ht="136.5" thickTop="1" thickBot="1" x14ac:dyDescent="0.25">
      <c r="A42" s="829" t="s">
        <v>167</v>
      </c>
      <c r="B42" s="829"/>
      <c r="C42" s="829"/>
      <c r="D42" s="830" t="s">
        <v>1</v>
      </c>
      <c r="E42" s="831">
        <f>E43+E74+E85+E79</f>
        <v>-6738792.6600000858</v>
      </c>
      <c r="F42" s="831">
        <f>F43+F74+F85+F79</f>
        <v>-6738792.6600000858</v>
      </c>
      <c r="G42" s="831">
        <f>G43+G74+G85+G79</f>
        <v>-5950000</v>
      </c>
      <c r="H42" s="831">
        <f>H43+H74+H85+H79</f>
        <v>2181390</v>
      </c>
      <c r="I42" s="831">
        <f>I43+I74+I85+I79</f>
        <v>0</v>
      </c>
      <c r="J42" s="831">
        <f>L42+O42</f>
        <v>1442794.6599999964</v>
      </c>
      <c r="K42" s="831">
        <f>K43+K74+K85+K79</f>
        <v>1442794.6599999964</v>
      </c>
      <c r="L42" s="831">
        <f>L43+L74+L85+L79</f>
        <v>0</v>
      </c>
      <c r="M42" s="831">
        <f>M43+M74+M85+M79</f>
        <v>0</v>
      </c>
      <c r="N42" s="831">
        <f>N43+N74+N85+N79</f>
        <v>77171.089999999851</v>
      </c>
      <c r="O42" s="831">
        <f>O43+O74+O85+O79</f>
        <v>1442794.6599999964</v>
      </c>
      <c r="P42" s="831">
        <f>E42+J42</f>
        <v>-5295998.0000000894</v>
      </c>
    </row>
    <row r="43" spans="1:16" ht="47.25" thickTop="1" thickBot="1" x14ac:dyDescent="0.25">
      <c r="A43" s="422" t="s">
        <v>863</v>
      </c>
      <c r="B43" s="422" t="s">
        <v>864</v>
      </c>
      <c r="C43" s="422"/>
      <c r="D43" s="422" t="s">
        <v>865</v>
      </c>
      <c r="E43" s="840">
        <f>'d3'!E43-'d3-П'!E43</f>
        <v>-6738792.6600000858</v>
      </c>
      <c r="F43" s="840">
        <f>'d3'!F43-'d3-П'!F43</f>
        <v>-6738792.6600000858</v>
      </c>
      <c r="G43" s="840">
        <f>'d3'!G43-'d3-П'!G43</f>
        <v>-5950000</v>
      </c>
      <c r="H43" s="840">
        <f>'d3'!H43-'d3-П'!H43</f>
        <v>2181390</v>
      </c>
      <c r="I43" s="840">
        <f>'d3'!I43-'d3-П'!I43</f>
        <v>0</v>
      </c>
      <c r="J43" s="840">
        <f>'d3'!J43-'d3-П'!J43</f>
        <v>1442794.6600000262</v>
      </c>
      <c r="K43" s="840">
        <f>'d3'!K43-'d3-П'!K43</f>
        <v>1442794.6599999964</v>
      </c>
      <c r="L43" s="840">
        <f>'d3'!L43-'d3-П'!L43</f>
        <v>0</v>
      </c>
      <c r="M43" s="840">
        <f>'d3'!M43-'d3-П'!M43</f>
        <v>0</v>
      </c>
      <c r="N43" s="840">
        <f>'d3'!N43-'d3-П'!N43</f>
        <v>77171.089999999851</v>
      </c>
      <c r="O43" s="840">
        <f>'d3'!O43-'d3-П'!O43</f>
        <v>1442794.6599999964</v>
      </c>
      <c r="P43" s="840">
        <f>'d3'!P43-'d3-П'!P43</f>
        <v>-5295998</v>
      </c>
    </row>
    <row r="44" spans="1:16" ht="99" customHeight="1" thickTop="1" thickBot="1" x14ac:dyDescent="0.25">
      <c r="A44" s="843" t="s">
        <v>216</v>
      </c>
      <c r="B44" s="843" t="s">
        <v>217</v>
      </c>
      <c r="C44" s="843" t="s">
        <v>219</v>
      </c>
      <c r="D44" s="843" t="s">
        <v>220</v>
      </c>
      <c r="E44" s="840">
        <f>'d3'!E44-'d3-П'!E44</f>
        <v>-9630527</v>
      </c>
      <c r="F44" s="840">
        <f>'d3'!F44-'d3-П'!F44</f>
        <v>-9630527</v>
      </c>
      <c r="G44" s="840">
        <f>'d3'!G44-'d3-П'!G44</f>
        <v>-7180200</v>
      </c>
      <c r="H44" s="840">
        <f>'d3'!H44-'d3-П'!H44</f>
        <v>1338300</v>
      </c>
      <c r="I44" s="840">
        <f>'d3'!I44-'d3-П'!I44</f>
        <v>0</v>
      </c>
      <c r="J44" s="840">
        <f>'d3'!J44-'d3-П'!J44</f>
        <v>622182</v>
      </c>
      <c r="K44" s="840">
        <f>'d3'!K44-'d3-П'!K44</f>
        <v>622182.00000000093</v>
      </c>
      <c r="L44" s="840">
        <f>'d3'!L44-'d3-П'!L44</f>
        <v>0</v>
      </c>
      <c r="M44" s="840">
        <f>'d3'!M44-'d3-П'!M44</f>
        <v>0</v>
      </c>
      <c r="N44" s="840">
        <f>'d3'!N44-'d3-П'!N44</f>
        <v>41139.129999999888</v>
      </c>
      <c r="O44" s="840">
        <f>'d3'!O44-'d3-П'!O44</f>
        <v>622182</v>
      </c>
      <c r="P44" s="840">
        <f>'d3'!P44-'d3-П'!P44</f>
        <v>-9008345</v>
      </c>
    </row>
    <row r="45" spans="1:16" s="79" customFormat="1" ht="138.75" thickTop="1" thickBot="1" x14ac:dyDescent="0.25">
      <c r="A45" s="345" t="s">
        <v>221</v>
      </c>
      <c r="B45" s="345" t="s">
        <v>218</v>
      </c>
      <c r="C45" s="345"/>
      <c r="D45" s="345" t="s">
        <v>799</v>
      </c>
      <c r="E45" s="840">
        <f>'d3'!E45-'d3-П'!E45</f>
        <v>3970627</v>
      </c>
      <c r="F45" s="840">
        <f>'d3'!F45-'d3-П'!F45</f>
        <v>3970627</v>
      </c>
      <c r="G45" s="840">
        <f>'d3'!G45-'d3-П'!G45</f>
        <v>1117500</v>
      </c>
      <c r="H45" s="840">
        <f>'d3'!H45-'d3-П'!H45</f>
        <v>958000</v>
      </c>
      <c r="I45" s="840">
        <f>'d3'!I45-'d3-П'!I45</f>
        <v>0</v>
      </c>
      <c r="J45" s="840">
        <f>'d3'!J45-'d3-П'!J45</f>
        <v>737868.66000001132</v>
      </c>
      <c r="K45" s="840">
        <f>'d3'!K45-'d3-П'!K45</f>
        <v>737868.66000000015</v>
      </c>
      <c r="L45" s="840">
        <f>'d3'!L45-'d3-П'!L45</f>
        <v>0</v>
      </c>
      <c r="M45" s="840">
        <f>'d3'!M45-'d3-П'!M45</f>
        <v>0</v>
      </c>
      <c r="N45" s="840">
        <f>'d3'!N45-'d3-П'!N45</f>
        <v>29701.959999999963</v>
      </c>
      <c r="O45" s="840">
        <f>'d3'!O45-'d3-П'!O45</f>
        <v>737868.66000000015</v>
      </c>
      <c r="P45" s="840">
        <f>'d3'!P45-'d3-П'!P45</f>
        <v>4708495.6600000262</v>
      </c>
    </row>
    <row r="46" spans="1:16" ht="138.75" thickTop="1" thickBot="1" x14ac:dyDescent="0.25">
      <c r="A46" s="843" t="s">
        <v>796</v>
      </c>
      <c r="B46" s="843" t="s">
        <v>797</v>
      </c>
      <c r="C46" s="843" t="s">
        <v>222</v>
      </c>
      <c r="D46" s="843" t="s">
        <v>798</v>
      </c>
      <c r="E46" s="840">
        <f>'d3'!E46-'d3-П'!E46</f>
        <v>2929027</v>
      </c>
      <c r="F46" s="840">
        <f>'d3'!F46-'d3-П'!F46</f>
        <v>2929027</v>
      </c>
      <c r="G46" s="840">
        <f>'d3'!G46-'d3-П'!G46</f>
        <v>0</v>
      </c>
      <c r="H46" s="840">
        <f>'d3'!H46-'d3-П'!H46</f>
        <v>946000</v>
      </c>
      <c r="I46" s="840">
        <f>'d3'!I46-'d3-П'!I46</f>
        <v>0</v>
      </c>
      <c r="J46" s="840">
        <f>'d3'!J46-'d3-П'!J46</f>
        <v>737868.66000001132</v>
      </c>
      <c r="K46" s="840">
        <f>'d3'!K46-'d3-П'!K46</f>
        <v>737868.66000000015</v>
      </c>
      <c r="L46" s="840">
        <f>'d3'!L46-'d3-П'!L46</f>
        <v>0</v>
      </c>
      <c r="M46" s="840">
        <f>'d3'!M46-'d3-П'!M46</f>
        <v>0</v>
      </c>
      <c r="N46" s="840">
        <f>'d3'!N46-'d3-П'!N46</f>
        <v>29701.959999999963</v>
      </c>
      <c r="O46" s="840">
        <f>'d3'!O46-'d3-П'!O46</f>
        <v>737868.66000000015</v>
      </c>
      <c r="P46" s="840">
        <f>'d3'!P46-'d3-П'!P46</f>
        <v>3666895.6600000262</v>
      </c>
    </row>
    <row r="47" spans="1:16" ht="276" thickTop="1" thickBot="1" x14ac:dyDescent="0.25">
      <c r="A47" s="843" t="s">
        <v>806</v>
      </c>
      <c r="B47" s="843" t="s">
        <v>807</v>
      </c>
      <c r="C47" s="843" t="s">
        <v>225</v>
      </c>
      <c r="D47" s="843" t="s">
        <v>543</v>
      </c>
      <c r="E47" s="840">
        <f>'d3'!E47-'d3-П'!E47</f>
        <v>2091600</v>
      </c>
      <c r="F47" s="840">
        <f>'d3'!F47-'d3-П'!F47</f>
        <v>2091600</v>
      </c>
      <c r="G47" s="840">
        <f>'d3'!G47-'d3-П'!G47</f>
        <v>1717500</v>
      </c>
      <c r="H47" s="840">
        <f>'d3'!H47-'d3-П'!H47</f>
        <v>12000</v>
      </c>
      <c r="I47" s="840">
        <f>'d3'!I47-'d3-П'!I47</f>
        <v>0</v>
      </c>
      <c r="J47" s="840">
        <f>'d3'!J47-'d3-П'!J47</f>
        <v>0</v>
      </c>
      <c r="K47" s="840">
        <f>'d3'!K47-'d3-П'!K47</f>
        <v>0</v>
      </c>
      <c r="L47" s="840">
        <f>'d3'!L47-'d3-П'!L47</f>
        <v>0</v>
      </c>
      <c r="M47" s="840">
        <f>'d3'!M47-'d3-П'!M47</f>
        <v>0</v>
      </c>
      <c r="N47" s="840">
        <f>'d3'!N47-'d3-П'!N47</f>
        <v>0</v>
      </c>
      <c r="O47" s="840">
        <f>'d3'!O47-'d3-П'!O47</f>
        <v>0</v>
      </c>
      <c r="P47" s="840">
        <f>'d3'!P47-'d3-П'!P47</f>
        <v>2091600</v>
      </c>
    </row>
    <row r="48" spans="1:16" ht="184.5" thickTop="1" thickBot="1" x14ac:dyDescent="0.25">
      <c r="A48" s="843" t="s">
        <v>1306</v>
      </c>
      <c r="B48" s="843" t="s">
        <v>1307</v>
      </c>
      <c r="C48" s="843" t="s">
        <v>225</v>
      </c>
      <c r="D48" s="843" t="s">
        <v>1308</v>
      </c>
      <c r="E48" s="840">
        <f>'d3'!E48-'d3-П'!E48</f>
        <v>-1050000</v>
      </c>
      <c r="F48" s="840">
        <f>'d3'!F48-'d3-П'!F48</f>
        <v>-1050000</v>
      </c>
      <c r="G48" s="840">
        <f>'d3'!G48-'d3-П'!G48</f>
        <v>-600000</v>
      </c>
      <c r="H48" s="840">
        <f>'d3'!H48-'d3-П'!H48</f>
        <v>0</v>
      </c>
      <c r="I48" s="840">
        <f>'d3'!I48-'d3-П'!I48</f>
        <v>0</v>
      </c>
      <c r="J48" s="840">
        <f>'d3'!J48-'d3-П'!J48</f>
        <v>0</v>
      </c>
      <c r="K48" s="840">
        <f>'d3'!K48-'d3-П'!K48</f>
        <v>0</v>
      </c>
      <c r="L48" s="840">
        <f>'d3'!L48-'d3-П'!L48</f>
        <v>0</v>
      </c>
      <c r="M48" s="840">
        <f>'d3'!M48-'d3-П'!M48</f>
        <v>0</v>
      </c>
      <c r="N48" s="840">
        <f>'d3'!N48-'d3-П'!N48</f>
        <v>0</v>
      </c>
      <c r="O48" s="840">
        <f>'d3'!O48-'d3-П'!O48</f>
        <v>0</v>
      </c>
      <c r="P48" s="840">
        <f>'d3'!P48-'d3-П'!P48</f>
        <v>-1050000</v>
      </c>
    </row>
    <row r="49" spans="1:16" s="79" customFormat="1" ht="138.75" thickTop="1" thickBot="1" x14ac:dyDescent="0.25">
      <c r="A49" s="345" t="s">
        <v>544</v>
      </c>
      <c r="B49" s="345" t="s">
        <v>223</v>
      </c>
      <c r="C49" s="345"/>
      <c r="D49" s="345" t="s">
        <v>814</v>
      </c>
      <c r="E49" s="840">
        <f>'d3'!E49-'d3-П'!E49</f>
        <v>0</v>
      </c>
      <c r="F49" s="840">
        <f>'d3'!F49-'d3-П'!F49</f>
        <v>0</v>
      </c>
      <c r="G49" s="840">
        <f>'d3'!G49-'d3-П'!G49</f>
        <v>0</v>
      </c>
      <c r="H49" s="840">
        <f>'d3'!H49-'d3-П'!H49</f>
        <v>0</v>
      </c>
      <c r="I49" s="840">
        <f>'d3'!I49-'d3-П'!I49</f>
        <v>0</v>
      </c>
      <c r="J49" s="840">
        <f>'d3'!J49-'d3-П'!J49</f>
        <v>0</v>
      </c>
      <c r="K49" s="840">
        <f>'d3'!K49-'d3-П'!K49</f>
        <v>0</v>
      </c>
      <c r="L49" s="840">
        <f>'d3'!L49-'d3-П'!L49</f>
        <v>0</v>
      </c>
      <c r="M49" s="840">
        <f>'d3'!M49-'d3-П'!M49</f>
        <v>0</v>
      </c>
      <c r="N49" s="840">
        <f>'d3'!N49-'d3-П'!N49</f>
        <v>0</v>
      </c>
      <c r="O49" s="840">
        <f>'d3'!O49-'d3-П'!O49</f>
        <v>0</v>
      </c>
      <c r="P49" s="840">
        <f>'d3'!P49-'d3-П'!P49</f>
        <v>0</v>
      </c>
    </row>
    <row r="50" spans="1:16" ht="138.75" thickTop="1" thickBot="1" x14ac:dyDescent="0.25">
      <c r="A50" s="843" t="s">
        <v>815</v>
      </c>
      <c r="B50" s="843" t="s">
        <v>816</v>
      </c>
      <c r="C50" s="843" t="s">
        <v>222</v>
      </c>
      <c r="D50" s="843" t="s">
        <v>798</v>
      </c>
      <c r="E50" s="840">
        <f>'d3'!E50-'d3-П'!E50</f>
        <v>0</v>
      </c>
      <c r="F50" s="840">
        <f>'d3'!F50-'d3-П'!F50</f>
        <v>0</v>
      </c>
      <c r="G50" s="840">
        <f>'d3'!G50-'d3-П'!G50</f>
        <v>0</v>
      </c>
      <c r="H50" s="840">
        <f>'d3'!H50-'d3-П'!H50</f>
        <v>0</v>
      </c>
      <c r="I50" s="840">
        <f>'d3'!I50-'d3-П'!I50</f>
        <v>0</v>
      </c>
      <c r="J50" s="840">
        <f>'d3'!J50-'d3-П'!J50</f>
        <v>0</v>
      </c>
      <c r="K50" s="840">
        <f>'d3'!K50-'d3-П'!K50</f>
        <v>0</v>
      </c>
      <c r="L50" s="840">
        <f>'d3'!L50-'d3-П'!L50</f>
        <v>0</v>
      </c>
      <c r="M50" s="840">
        <f>'d3'!M50-'d3-П'!M50</f>
        <v>0</v>
      </c>
      <c r="N50" s="840">
        <f>'d3'!N50-'d3-П'!N50</f>
        <v>0</v>
      </c>
      <c r="O50" s="840">
        <f>'d3'!O50-'d3-П'!O50</f>
        <v>0</v>
      </c>
      <c r="P50" s="840">
        <f>'d3'!P50-'d3-П'!P50</f>
        <v>0</v>
      </c>
    </row>
    <row r="51" spans="1:16" ht="409.6" thickTop="1" x14ac:dyDescent="0.65">
      <c r="A51" s="999" t="s">
        <v>1157</v>
      </c>
      <c r="B51" s="999" t="s">
        <v>52</v>
      </c>
      <c r="C51" s="999"/>
      <c r="D51" s="542" t="s">
        <v>1160</v>
      </c>
      <c r="E51" s="966">
        <f>'d3'!E51-'d3-П'!E51</f>
        <v>0</v>
      </c>
      <c r="F51" s="966">
        <f>'d3'!F51-'d3-П'!F51</f>
        <v>0</v>
      </c>
      <c r="G51" s="966">
        <f>'d3'!G51-'d3-П'!G51</f>
        <v>0</v>
      </c>
      <c r="H51" s="966">
        <f>'d3'!H51-'d3-П'!H51</f>
        <v>0</v>
      </c>
      <c r="I51" s="966">
        <f>'d3'!I51-'d3-П'!I51</f>
        <v>0</v>
      </c>
      <c r="J51" s="966">
        <f>'d3'!J51-'d3-П'!J51</f>
        <v>0</v>
      </c>
      <c r="K51" s="966">
        <f>'d3'!K51-'d3-П'!K51</f>
        <v>0</v>
      </c>
      <c r="L51" s="966">
        <f>'d3'!L51-'d3-П'!L51</f>
        <v>0</v>
      </c>
      <c r="M51" s="966">
        <f>'d3'!M51-'d3-П'!M51</f>
        <v>0</v>
      </c>
      <c r="N51" s="966">
        <f>'d3'!N51-'d3-П'!N51</f>
        <v>0</v>
      </c>
      <c r="O51" s="966">
        <f>'d3'!O51-'d3-П'!O51</f>
        <v>0</v>
      </c>
      <c r="P51" s="966">
        <f>'d3'!P51-'d3-П'!P51</f>
        <v>0</v>
      </c>
    </row>
    <row r="52" spans="1:16" ht="183.75" thickBot="1" x14ac:dyDescent="0.25">
      <c r="A52" s="968"/>
      <c r="B52" s="968"/>
      <c r="C52" s="968"/>
      <c r="D52" s="543" t="s">
        <v>1161</v>
      </c>
      <c r="E52" s="1064"/>
      <c r="F52" s="1064"/>
      <c r="G52" s="1064"/>
      <c r="H52" s="1064"/>
      <c r="I52" s="1064"/>
      <c r="J52" s="1064"/>
      <c r="K52" s="1064"/>
      <c r="L52" s="1064"/>
      <c r="M52" s="1064"/>
      <c r="N52" s="1064"/>
      <c r="O52" s="1064"/>
      <c r="P52" s="1064"/>
    </row>
    <row r="53" spans="1:16" ht="138.75" thickTop="1" thickBot="1" x14ac:dyDescent="0.25">
      <c r="A53" s="843" t="s">
        <v>1158</v>
      </c>
      <c r="B53" s="843" t="s">
        <v>1159</v>
      </c>
      <c r="C53" s="843" t="s">
        <v>222</v>
      </c>
      <c r="D53" s="843" t="s">
        <v>1162</v>
      </c>
      <c r="E53" s="840">
        <f>'d3'!E53-'d3-П'!E53</f>
        <v>0</v>
      </c>
      <c r="F53" s="840">
        <f>'d3'!F53-'d3-П'!F53</f>
        <v>0</v>
      </c>
      <c r="G53" s="840">
        <f>'d3'!G53-'d3-П'!G53</f>
        <v>0</v>
      </c>
      <c r="H53" s="840">
        <f>'d3'!H53-'d3-П'!H53</f>
        <v>0</v>
      </c>
      <c r="I53" s="840">
        <f>'d3'!I53-'d3-П'!I53</f>
        <v>0</v>
      </c>
      <c r="J53" s="840">
        <f>'d3'!J53-'d3-П'!J53</f>
        <v>0</v>
      </c>
      <c r="K53" s="840">
        <f>'d3'!K53-'d3-П'!K53</f>
        <v>0</v>
      </c>
      <c r="L53" s="840">
        <f>'d3'!L53-'d3-П'!L53</f>
        <v>0</v>
      </c>
      <c r="M53" s="840">
        <f>'d3'!M53-'d3-П'!M53</f>
        <v>0</v>
      </c>
      <c r="N53" s="840">
        <f>'d3'!N53-'d3-П'!N53</f>
        <v>0</v>
      </c>
      <c r="O53" s="840">
        <f>'d3'!O53-'d3-П'!O53</f>
        <v>0</v>
      </c>
      <c r="P53" s="840">
        <f>'d3'!P53-'d3-П'!P53</f>
        <v>0</v>
      </c>
    </row>
    <row r="54" spans="1:16" ht="184.5" thickTop="1" thickBot="1" x14ac:dyDescent="0.25">
      <c r="A54" s="843" t="s">
        <v>817</v>
      </c>
      <c r="B54" s="843" t="s">
        <v>224</v>
      </c>
      <c r="C54" s="843" t="s">
        <v>199</v>
      </c>
      <c r="D54" s="843" t="s">
        <v>545</v>
      </c>
      <c r="E54" s="840">
        <f>'d3'!E54-'d3-П'!E54</f>
        <v>328700</v>
      </c>
      <c r="F54" s="840">
        <f>'d3'!F54-'d3-П'!F54</f>
        <v>328700</v>
      </c>
      <c r="G54" s="840">
        <f>'d3'!G54-'d3-П'!G54</f>
        <v>120300</v>
      </c>
      <c r="H54" s="840">
        <f>'d3'!H54-'d3-П'!H54</f>
        <v>208400</v>
      </c>
      <c r="I54" s="840">
        <f>'d3'!I54-'d3-П'!I54</f>
        <v>0</v>
      </c>
      <c r="J54" s="840">
        <f>'d3'!J54-'d3-П'!J54</f>
        <v>-60256</v>
      </c>
      <c r="K54" s="840">
        <f>'d3'!K54-'d3-П'!K54</f>
        <v>-60256</v>
      </c>
      <c r="L54" s="840">
        <f>'d3'!L54-'d3-П'!L54</f>
        <v>0</v>
      </c>
      <c r="M54" s="840">
        <f>'d3'!M54-'d3-П'!M54</f>
        <v>0</v>
      </c>
      <c r="N54" s="840">
        <f>'d3'!N54-'d3-П'!N54</f>
        <v>0</v>
      </c>
      <c r="O54" s="840">
        <f>'d3'!O54-'d3-П'!O54</f>
        <v>-60256</v>
      </c>
      <c r="P54" s="840">
        <f>'d3'!P54-'d3-П'!P54</f>
        <v>268444</v>
      </c>
    </row>
    <row r="55" spans="1:16" s="79" customFormat="1" ht="184.5" thickTop="1" thickBot="1" x14ac:dyDescent="0.25">
      <c r="A55" s="345" t="s">
        <v>226</v>
      </c>
      <c r="B55" s="345" t="s">
        <v>209</v>
      </c>
      <c r="C55" s="345"/>
      <c r="D55" s="345" t="s">
        <v>547</v>
      </c>
      <c r="E55" s="840">
        <f>'d3'!E55-'d3-П'!E55</f>
        <v>-1319242.6599999964</v>
      </c>
      <c r="F55" s="840">
        <f>'d3'!F55-'d3-П'!F55</f>
        <v>-1319242.6599999964</v>
      </c>
      <c r="G55" s="840">
        <f>'d3'!G55-'d3-П'!G55</f>
        <v>-50000</v>
      </c>
      <c r="H55" s="840">
        <f>'d3'!H55-'d3-П'!H55</f>
        <v>-205500</v>
      </c>
      <c r="I55" s="840">
        <f>'d3'!I55-'d3-П'!I55</f>
        <v>0</v>
      </c>
      <c r="J55" s="840">
        <f>'d3'!J55-'d3-П'!J55</f>
        <v>58500</v>
      </c>
      <c r="K55" s="840">
        <f>'d3'!K55-'d3-П'!K55</f>
        <v>58500</v>
      </c>
      <c r="L55" s="840">
        <f>'d3'!L55-'d3-П'!L55</f>
        <v>0</v>
      </c>
      <c r="M55" s="840">
        <f>'d3'!M55-'d3-П'!M55</f>
        <v>0</v>
      </c>
      <c r="N55" s="840">
        <f>'d3'!N55-'d3-П'!N55</f>
        <v>0</v>
      </c>
      <c r="O55" s="840">
        <f>'d3'!O55-'d3-П'!O55</f>
        <v>58500</v>
      </c>
      <c r="P55" s="840">
        <f>'d3'!P55-'d3-П'!P55</f>
        <v>-1260742.6600000262</v>
      </c>
    </row>
    <row r="56" spans="1:16" ht="230.25" thickTop="1" thickBot="1" x14ac:dyDescent="0.25">
      <c r="A56" s="843" t="s">
        <v>818</v>
      </c>
      <c r="B56" s="843" t="s">
        <v>819</v>
      </c>
      <c r="C56" s="843" t="s">
        <v>227</v>
      </c>
      <c r="D56" s="843" t="s">
        <v>820</v>
      </c>
      <c r="E56" s="840">
        <f>'d3'!E56-'d3-П'!E56</f>
        <v>-1319242.6599999964</v>
      </c>
      <c r="F56" s="840">
        <f>'d3'!F56-'d3-П'!F56</f>
        <v>-1319242.6599999964</v>
      </c>
      <c r="G56" s="840">
        <f>'d3'!G56-'d3-П'!G56</f>
        <v>0</v>
      </c>
      <c r="H56" s="840">
        <f>'d3'!H56-'d3-П'!H56</f>
        <v>-205500</v>
      </c>
      <c r="I56" s="840">
        <f>'d3'!I56-'d3-П'!I56</f>
        <v>0</v>
      </c>
      <c r="J56" s="840">
        <f>'d3'!J56-'d3-П'!J56</f>
        <v>58500</v>
      </c>
      <c r="K56" s="840">
        <f>'d3'!K56-'d3-П'!K56</f>
        <v>58500</v>
      </c>
      <c r="L56" s="840">
        <f>'d3'!L56-'d3-П'!L56</f>
        <v>0</v>
      </c>
      <c r="M56" s="840">
        <f>'d3'!M56-'d3-П'!M56</f>
        <v>0</v>
      </c>
      <c r="N56" s="840">
        <f>'d3'!N56-'d3-П'!N56</f>
        <v>0</v>
      </c>
      <c r="O56" s="840">
        <f>'d3'!O56-'d3-П'!O56</f>
        <v>58500</v>
      </c>
      <c r="P56" s="840">
        <f>'d3'!P56-'d3-П'!P56</f>
        <v>-1260742.6600000262</v>
      </c>
    </row>
    <row r="57" spans="1:16" ht="230.25" thickTop="1" thickBot="1" x14ac:dyDescent="0.25">
      <c r="A57" s="843" t="s">
        <v>822</v>
      </c>
      <c r="B57" s="843" t="s">
        <v>821</v>
      </c>
      <c r="C57" s="843" t="s">
        <v>227</v>
      </c>
      <c r="D57" s="843" t="s">
        <v>823</v>
      </c>
      <c r="E57" s="840">
        <f>'d3'!E57-'d3-П'!E57</f>
        <v>0</v>
      </c>
      <c r="F57" s="840">
        <f>'d3'!F57-'d3-П'!F57</f>
        <v>0</v>
      </c>
      <c r="G57" s="840">
        <f>'d3'!G57-'d3-П'!G57</f>
        <v>-50000</v>
      </c>
      <c r="H57" s="840">
        <f>'d3'!H57-'d3-П'!H57</f>
        <v>0</v>
      </c>
      <c r="I57" s="840">
        <f>'d3'!I57-'d3-П'!I57</f>
        <v>0</v>
      </c>
      <c r="J57" s="840">
        <f>'d3'!J57-'d3-П'!J57</f>
        <v>0</v>
      </c>
      <c r="K57" s="840">
        <f>'d3'!K57-'d3-П'!K57</f>
        <v>0</v>
      </c>
      <c r="L57" s="840">
        <f>'d3'!L57-'d3-П'!L57</f>
        <v>0</v>
      </c>
      <c r="M57" s="840">
        <f>'d3'!M57-'d3-П'!M57</f>
        <v>0</v>
      </c>
      <c r="N57" s="840">
        <f>'d3'!N57-'d3-П'!N57</f>
        <v>0</v>
      </c>
      <c r="O57" s="840">
        <f>'d3'!O57-'d3-П'!O57</f>
        <v>0</v>
      </c>
      <c r="P57" s="840">
        <f>'d3'!P57-'d3-П'!P57</f>
        <v>0</v>
      </c>
    </row>
    <row r="58" spans="1:16" s="79" customFormat="1" ht="93" thickTop="1" thickBot="1" x14ac:dyDescent="0.25">
      <c r="A58" s="345" t="s">
        <v>825</v>
      </c>
      <c r="B58" s="345" t="s">
        <v>824</v>
      </c>
      <c r="C58" s="345"/>
      <c r="D58" s="345" t="s">
        <v>826</v>
      </c>
      <c r="E58" s="840">
        <f>'d3'!E58-'d3-П'!E58</f>
        <v>452100</v>
      </c>
      <c r="F58" s="840">
        <f>'d3'!F58-'d3-П'!F58</f>
        <v>452100</v>
      </c>
      <c r="G58" s="840">
        <f>'d3'!G58-'d3-П'!G58</f>
        <v>387400</v>
      </c>
      <c r="H58" s="840">
        <f>'d3'!H58-'d3-П'!H58</f>
        <v>4940</v>
      </c>
      <c r="I58" s="840">
        <f>'d3'!I58-'d3-П'!I58</f>
        <v>0</v>
      </c>
      <c r="J58" s="840">
        <f>'d3'!J58-'d3-П'!J58</f>
        <v>0</v>
      </c>
      <c r="K58" s="840">
        <f>'d3'!K58-'d3-П'!K58</f>
        <v>0</v>
      </c>
      <c r="L58" s="840">
        <f>'d3'!L58-'d3-П'!L58</f>
        <v>0</v>
      </c>
      <c r="M58" s="840">
        <f>'d3'!M58-'d3-П'!M58</f>
        <v>0</v>
      </c>
      <c r="N58" s="840">
        <f>'d3'!N58-'d3-П'!N58</f>
        <v>6330</v>
      </c>
      <c r="O58" s="840">
        <f>'d3'!O58-'d3-П'!O58</f>
        <v>0</v>
      </c>
      <c r="P58" s="840">
        <f>'d3'!P58-'d3-П'!P58</f>
        <v>452100</v>
      </c>
    </row>
    <row r="59" spans="1:16" ht="93" thickTop="1" thickBot="1" x14ac:dyDescent="0.25">
      <c r="A59" s="843" t="s">
        <v>827</v>
      </c>
      <c r="B59" s="843" t="s">
        <v>828</v>
      </c>
      <c r="C59" s="843" t="s">
        <v>228</v>
      </c>
      <c r="D59" s="843" t="s">
        <v>548</v>
      </c>
      <c r="E59" s="840">
        <f>'d3'!E59-'d3-П'!E59</f>
        <v>452100</v>
      </c>
      <c r="F59" s="840">
        <f>'d3'!F59-'d3-П'!F59</f>
        <v>452100</v>
      </c>
      <c r="G59" s="840">
        <f>'d3'!G59-'d3-П'!G59</f>
        <v>387400</v>
      </c>
      <c r="H59" s="840">
        <f>'d3'!H59-'d3-П'!H59</f>
        <v>4940</v>
      </c>
      <c r="I59" s="840">
        <f>'d3'!I59-'d3-П'!I59</f>
        <v>0</v>
      </c>
      <c r="J59" s="840">
        <f>'d3'!J59-'d3-П'!J59</f>
        <v>0</v>
      </c>
      <c r="K59" s="840">
        <f>'d3'!K59-'d3-П'!K59</f>
        <v>0</v>
      </c>
      <c r="L59" s="840">
        <f>'d3'!L59-'d3-П'!L59</f>
        <v>0</v>
      </c>
      <c r="M59" s="840">
        <f>'d3'!M59-'d3-П'!M59</f>
        <v>0</v>
      </c>
      <c r="N59" s="840">
        <f>'d3'!N59-'d3-П'!N59</f>
        <v>6330</v>
      </c>
      <c r="O59" s="840">
        <f>'d3'!O59-'d3-П'!O59</f>
        <v>0</v>
      </c>
      <c r="P59" s="840">
        <f>'d3'!P59-'d3-П'!P59</f>
        <v>452100</v>
      </c>
    </row>
    <row r="60" spans="1:16" ht="93" thickTop="1" thickBot="1" x14ac:dyDescent="0.25">
      <c r="A60" s="843" t="s">
        <v>829</v>
      </c>
      <c r="B60" s="843" t="s">
        <v>830</v>
      </c>
      <c r="C60" s="843" t="s">
        <v>228</v>
      </c>
      <c r="D60" s="843" t="s">
        <v>362</v>
      </c>
      <c r="E60" s="840">
        <f>'d3'!E60-'d3-П'!E60</f>
        <v>0</v>
      </c>
      <c r="F60" s="840">
        <f>'d3'!F60-'d3-П'!F60</f>
        <v>0</v>
      </c>
      <c r="G60" s="840">
        <f>'d3'!G60-'d3-П'!G60</f>
        <v>0</v>
      </c>
      <c r="H60" s="840">
        <f>'d3'!H60-'d3-П'!H60</f>
        <v>0</v>
      </c>
      <c r="I60" s="840">
        <f>'d3'!I60-'d3-П'!I60</f>
        <v>0</v>
      </c>
      <c r="J60" s="840">
        <f>'d3'!J60-'d3-П'!J60</f>
        <v>0</v>
      </c>
      <c r="K60" s="840">
        <f>'d3'!K60-'d3-П'!K60</f>
        <v>0</v>
      </c>
      <c r="L60" s="840">
        <f>'d3'!L60-'d3-П'!L60</f>
        <v>0</v>
      </c>
      <c r="M60" s="840">
        <f>'d3'!M60-'d3-П'!M60</f>
        <v>0</v>
      </c>
      <c r="N60" s="840">
        <f>'d3'!N60-'d3-П'!N60</f>
        <v>0</v>
      </c>
      <c r="O60" s="840">
        <f>'d3'!O60-'d3-П'!O60</f>
        <v>0</v>
      </c>
      <c r="P60" s="840">
        <f>'d3'!P60-'d3-П'!P60</f>
        <v>0</v>
      </c>
    </row>
    <row r="61" spans="1:16" s="79" customFormat="1" ht="93" thickTop="1" thickBot="1" x14ac:dyDescent="0.25">
      <c r="A61" s="345" t="s">
        <v>831</v>
      </c>
      <c r="B61" s="345" t="s">
        <v>832</v>
      </c>
      <c r="C61" s="345"/>
      <c r="D61" s="345" t="s">
        <v>459</v>
      </c>
      <c r="E61" s="840">
        <f>'d3'!E61-'d3-П'!E61</f>
        <v>27300</v>
      </c>
      <c r="F61" s="840">
        <f>'d3'!F61-'d3-П'!F61</f>
        <v>27300</v>
      </c>
      <c r="G61" s="840">
        <f>'d3'!G61-'d3-П'!G61</f>
        <v>55000</v>
      </c>
      <c r="H61" s="840">
        <f>'d3'!H61-'d3-П'!H61</f>
        <v>-40000</v>
      </c>
      <c r="I61" s="840">
        <f>'d3'!I61-'d3-П'!I61</f>
        <v>0</v>
      </c>
      <c r="J61" s="840">
        <f>'d3'!J61-'d3-П'!J61</f>
        <v>0</v>
      </c>
      <c r="K61" s="840">
        <f>'d3'!K61-'d3-П'!K61</f>
        <v>0</v>
      </c>
      <c r="L61" s="840">
        <f>'d3'!L61-'d3-П'!L61</f>
        <v>0</v>
      </c>
      <c r="M61" s="840">
        <f>'d3'!M61-'d3-П'!M61</f>
        <v>0</v>
      </c>
      <c r="N61" s="840">
        <f>'d3'!N61-'d3-П'!N61</f>
        <v>0</v>
      </c>
      <c r="O61" s="840">
        <f>'d3'!O61-'d3-П'!O61</f>
        <v>0</v>
      </c>
      <c r="P61" s="840">
        <f>'d3'!P61-'d3-П'!P61</f>
        <v>27300</v>
      </c>
    </row>
    <row r="62" spans="1:16" ht="184.5" thickTop="1" thickBot="1" x14ac:dyDescent="0.25">
      <c r="A62" s="843" t="s">
        <v>833</v>
      </c>
      <c r="B62" s="843" t="s">
        <v>834</v>
      </c>
      <c r="C62" s="843" t="s">
        <v>228</v>
      </c>
      <c r="D62" s="843" t="s">
        <v>835</v>
      </c>
      <c r="E62" s="840">
        <f>'d3'!E62-'d3-П'!E62</f>
        <v>27300</v>
      </c>
      <c r="F62" s="840">
        <f>'d3'!F62-'d3-П'!F62</f>
        <v>27300</v>
      </c>
      <c r="G62" s="840">
        <f>'d3'!G62-'d3-П'!G62</f>
        <v>55000</v>
      </c>
      <c r="H62" s="840">
        <f>'d3'!H62-'d3-П'!H62</f>
        <v>-40000</v>
      </c>
      <c r="I62" s="840">
        <f>'d3'!I62-'d3-П'!I62</f>
        <v>0</v>
      </c>
      <c r="J62" s="840">
        <f>'d3'!J62-'d3-П'!J62</f>
        <v>0</v>
      </c>
      <c r="K62" s="840">
        <f>'d3'!K62-'d3-П'!K62</f>
        <v>0</v>
      </c>
      <c r="L62" s="840">
        <f>'d3'!L62-'d3-П'!L62</f>
        <v>0</v>
      </c>
      <c r="M62" s="840">
        <f>'d3'!M62-'d3-П'!M62</f>
        <v>0</v>
      </c>
      <c r="N62" s="840">
        <f>'d3'!N62-'d3-П'!N62</f>
        <v>0</v>
      </c>
      <c r="O62" s="840">
        <f>'d3'!O62-'d3-П'!O62</f>
        <v>0</v>
      </c>
      <c r="P62" s="840">
        <f>'d3'!P62-'d3-П'!P62</f>
        <v>27300</v>
      </c>
    </row>
    <row r="63" spans="1:16" ht="138.75" thickTop="1" thickBot="1" x14ac:dyDescent="0.25">
      <c r="A63" s="843" t="s">
        <v>836</v>
      </c>
      <c r="B63" s="843" t="s">
        <v>837</v>
      </c>
      <c r="C63" s="843" t="s">
        <v>228</v>
      </c>
      <c r="D63" s="843" t="s">
        <v>838</v>
      </c>
      <c r="E63" s="840">
        <f>'d3'!E63-'d3-П'!E63</f>
        <v>0</v>
      </c>
      <c r="F63" s="840">
        <f>'d3'!F63-'d3-П'!F63</f>
        <v>0</v>
      </c>
      <c r="G63" s="840">
        <f>'d3'!G63-'d3-П'!G63</f>
        <v>0</v>
      </c>
      <c r="H63" s="840">
        <f>'d3'!H63-'d3-П'!H63</f>
        <v>0</v>
      </c>
      <c r="I63" s="840">
        <f>'d3'!I63-'d3-П'!I63</f>
        <v>0</v>
      </c>
      <c r="J63" s="840">
        <f>'d3'!J63-'d3-П'!J63</f>
        <v>0</v>
      </c>
      <c r="K63" s="840">
        <f>'d3'!K63-'d3-П'!K63</f>
        <v>0</v>
      </c>
      <c r="L63" s="840">
        <f>'d3'!L63-'d3-П'!L63</f>
        <v>0</v>
      </c>
      <c r="M63" s="840">
        <f>'d3'!M63-'d3-П'!M63</f>
        <v>0</v>
      </c>
      <c r="N63" s="840">
        <f>'d3'!N63-'d3-П'!N63</f>
        <v>0</v>
      </c>
      <c r="O63" s="840">
        <f>'d3'!O63-'d3-П'!O63</f>
        <v>0</v>
      </c>
      <c r="P63" s="840">
        <f>'d3'!P63-'d3-П'!P63</f>
        <v>0</v>
      </c>
    </row>
    <row r="64" spans="1:16" ht="138.75" thickTop="1" thickBot="1" x14ac:dyDescent="0.25">
      <c r="A64" s="843" t="s">
        <v>803</v>
      </c>
      <c r="B64" s="843" t="s">
        <v>804</v>
      </c>
      <c r="C64" s="843" t="s">
        <v>228</v>
      </c>
      <c r="D64" s="843" t="s">
        <v>805</v>
      </c>
      <c r="E64" s="840">
        <f>'d3'!E64-'d3-П'!E64</f>
        <v>-567750</v>
      </c>
      <c r="F64" s="840">
        <f>'d3'!F64-'d3-П'!F64</f>
        <v>-567750</v>
      </c>
      <c r="G64" s="840">
        <f>'d3'!G64-'d3-П'!G64</f>
        <v>-400000</v>
      </c>
      <c r="H64" s="840">
        <f>'d3'!H64-'d3-П'!H64</f>
        <v>-82750</v>
      </c>
      <c r="I64" s="840">
        <f>'d3'!I64-'d3-П'!I64</f>
        <v>0</v>
      </c>
      <c r="J64" s="840">
        <f>'d3'!J64-'d3-П'!J64</f>
        <v>0</v>
      </c>
      <c r="K64" s="840">
        <f>'d3'!K64-'d3-П'!K64</f>
        <v>0</v>
      </c>
      <c r="L64" s="840">
        <f>'d3'!L64-'d3-П'!L64</f>
        <v>0</v>
      </c>
      <c r="M64" s="840">
        <f>'d3'!M64-'d3-П'!M64</f>
        <v>0</v>
      </c>
      <c r="N64" s="840">
        <f>'d3'!N64-'d3-П'!N64</f>
        <v>0</v>
      </c>
      <c r="O64" s="840">
        <f>'d3'!O64-'d3-П'!O64</f>
        <v>0</v>
      </c>
      <c r="P64" s="840">
        <f>'d3'!P64-'d3-П'!P64</f>
        <v>-567750</v>
      </c>
    </row>
    <row r="65" spans="1:16" s="39" customFormat="1" ht="230.25" thickTop="1" thickBot="1" x14ac:dyDescent="0.25">
      <c r="A65" s="345" t="s">
        <v>808</v>
      </c>
      <c r="B65" s="345" t="s">
        <v>809</v>
      </c>
      <c r="C65" s="345"/>
      <c r="D65" s="345" t="s">
        <v>810</v>
      </c>
      <c r="E65" s="840">
        <f>'d3'!E65-'d3-П'!E65</f>
        <v>0</v>
      </c>
      <c r="F65" s="840">
        <f>'d3'!F65-'d3-П'!F65</f>
        <v>0</v>
      </c>
      <c r="G65" s="840">
        <f>'d3'!G65-'d3-П'!G65</f>
        <v>0</v>
      </c>
      <c r="H65" s="840">
        <f>'d3'!H65-'d3-П'!H65</f>
        <v>0</v>
      </c>
      <c r="I65" s="840">
        <f>'d3'!I65-'d3-П'!I65</f>
        <v>0</v>
      </c>
      <c r="J65" s="840">
        <f>'d3'!J65-'d3-П'!J65</f>
        <v>0</v>
      </c>
      <c r="K65" s="840">
        <f>'d3'!K65-'d3-П'!K65</f>
        <v>0</v>
      </c>
      <c r="L65" s="840">
        <f>'d3'!L65-'d3-П'!L65</f>
        <v>0</v>
      </c>
      <c r="M65" s="840">
        <f>'d3'!M65-'d3-П'!M65</f>
        <v>0</v>
      </c>
      <c r="N65" s="840">
        <f>'d3'!N65-'d3-П'!N65</f>
        <v>0</v>
      </c>
      <c r="O65" s="840">
        <f>'d3'!O65-'d3-П'!O65</f>
        <v>0</v>
      </c>
      <c r="P65" s="840">
        <f>'d3'!P65-'d3-П'!P65</f>
        <v>0</v>
      </c>
    </row>
    <row r="66" spans="1:16" s="39" customFormat="1" ht="367.5" thickTop="1" thickBot="1" x14ac:dyDescent="0.25">
      <c r="A66" s="843" t="s">
        <v>811</v>
      </c>
      <c r="B66" s="843" t="s">
        <v>812</v>
      </c>
      <c r="C66" s="843" t="s">
        <v>228</v>
      </c>
      <c r="D66" s="843" t="s">
        <v>813</v>
      </c>
      <c r="E66" s="840">
        <f>'d3'!E66-'d3-П'!E66</f>
        <v>0</v>
      </c>
      <c r="F66" s="840">
        <f>'d3'!F66-'d3-П'!F66</f>
        <v>0</v>
      </c>
      <c r="G66" s="840">
        <f>'d3'!G66-'d3-П'!G66</f>
        <v>0</v>
      </c>
      <c r="H66" s="840">
        <f>'d3'!H66-'d3-П'!H66</f>
        <v>0</v>
      </c>
      <c r="I66" s="840">
        <f>'d3'!I66-'d3-П'!I66</f>
        <v>0</v>
      </c>
      <c r="J66" s="840">
        <f>'d3'!J66-'d3-П'!J66</f>
        <v>0</v>
      </c>
      <c r="K66" s="840">
        <f>'d3'!K66-'d3-П'!K66</f>
        <v>0</v>
      </c>
      <c r="L66" s="840">
        <f>'d3'!L66-'d3-П'!L66</f>
        <v>0</v>
      </c>
      <c r="M66" s="840">
        <f>'d3'!M66-'d3-П'!M66</f>
        <v>0</v>
      </c>
      <c r="N66" s="840">
        <f>'d3'!N66-'d3-П'!N66</f>
        <v>0</v>
      </c>
      <c r="O66" s="840">
        <f>'d3'!O66-'d3-П'!O66</f>
        <v>0</v>
      </c>
      <c r="P66" s="840">
        <f>'d3'!P66-'d3-П'!P66</f>
        <v>0</v>
      </c>
    </row>
    <row r="67" spans="1:16" s="39" customFormat="1" ht="367.5" thickTop="1" thickBot="1" x14ac:dyDescent="0.25">
      <c r="A67" s="843" t="s">
        <v>1279</v>
      </c>
      <c r="B67" s="843" t="s">
        <v>1280</v>
      </c>
      <c r="C67" s="843" t="s">
        <v>228</v>
      </c>
      <c r="D67" s="843" t="s">
        <v>1281</v>
      </c>
      <c r="E67" s="840">
        <f>'d3'!E67-'d3-П'!E67</f>
        <v>0</v>
      </c>
      <c r="F67" s="840">
        <f>'d3'!F67-'d3-П'!F67</f>
        <v>0</v>
      </c>
      <c r="G67" s="840">
        <f>'d3'!G67-'d3-П'!G67</f>
        <v>0</v>
      </c>
      <c r="H67" s="840">
        <f>'d3'!H67-'d3-П'!H67</f>
        <v>0</v>
      </c>
      <c r="I67" s="840">
        <f>'d3'!I67-'d3-П'!I67</f>
        <v>0</v>
      </c>
      <c r="J67" s="840">
        <f>'d3'!J67-'d3-П'!J67</f>
        <v>0</v>
      </c>
      <c r="K67" s="840">
        <f>'d3'!K67-'d3-П'!K67</f>
        <v>0</v>
      </c>
      <c r="L67" s="840">
        <f>'d3'!L67-'d3-П'!L67</f>
        <v>0</v>
      </c>
      <c r="M67" s="840">
        <f>'d3'!M67-'d3-П'!M67</f>
        <v>0</v>
      </c>
      <c r="N67" s="840">
        <f>'d3'!N67-'d3-П'!N67</f>
        <v>0</v>
      </c>
      <c r="O67" s="840">
        <f>'d3'!O67-'d3-П'!O67</f>
        <v>0</v>
      </c>
      <c r="P67" s="840">
        <f>'d3'!P67-'d3-П'!P67</f>
        <v>0</v>
      </c>
    </row>
    <row r="68" spans="1:16" s="39" customFormat="1" ht="409.6" hidden="1" thickTop="1" thickBot="1" x14ac:dyDescent="0.25">
      <c r="A68" s="819" t="s">
        <v>1309</v>
      </c>
      <c r="B68" s="819" t="s">
        <v>1311</v>
      </c>
      <c r="C68" s="819"/>
      <c r="D68" s="819" t="s">
        <v>1313</v>
      </c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</row>
    <row r="69" spans="1:16" s="39" customFormat="1" ht="409.6" hidden="1" thickTop="1" thickBot="1" x14ac:dyDescent="0.25">
      <c r="A69" s="814" t="s">
        <v>1310</v>
      </c>
      <c r="B69" s="814" t="s">
        <v>1312</v>
      </c>
      <c r="C69" s="814" t="s">
        <v>228</v>
      </c>
      <c r="D69" s="814" t="s">
        <v>1314</v>
      </c>
      <c r="E69" s="813"/>
      <c r="F69" s="818"/>
      <c r="G69" s="818"/>
      <c r="H69" s="818"/>
      <c r="I69" s="818"/>
      <c r="J69" s="813"/>
      <c r="K69" s="818"/>
      <c r="L69" s="818"/>
      <c r="M69" s="818"/>
      <c r="N69" s="818"/>
      <c r="O69" s="816"/>
      <c r="P69" s="813"/>
    </row>
    <row r="70" spans="1:16" s="39" customFormat="1" ht="312" hidden="1" customHeight="1" thickTop="1" thickBot="1" x14ac:dyDescent="0.25">
      <c r="A70" s="995" t="s">
        <v>1337</v>
      </c>
      <c r="B70" s="995" t="s">
        <v>1338</v>
      </c>
      <c r="C70" s="995" t="s">
        <v>228</v>
      </c>
      <c r="D70" s="995" t="s">
        <v>1339</v>
      </c>
      <c r="E70" s="979"/>
      <c r="F70" s="979"/>
      <c r="G70" s="979"/>
      <c r="H70" s="979"/>
      <c r="I70" s="979"/>
      <c r="J70" s="979"/>
      <c r="K70" s="981"/>
      <c r="L70" s="979"/>
      <c r="M70" s="979"/>
      <c r="N70" s="979"/>
      <c r="O70" s="981"/>
      <c r="P70" s="979"/>
    </row>
    <row r="71" spans="1:16" s="39" customFormat="1" ht="195" hidden="1" customHeight="1" thickTop="1" thickBot="1" x14ac:dyDescent="0.25">
      <c r="A71" s="980"/>
      <c r="B71" s="980"/>
      <c r="C71" s="980"/>
      <c r="D71" s="980"/>
      <c r="E71" s="980"/>
      <c r="F71" s="980"/>
      <c r="G71" s="980"/>
      <c r="H71" s="980"/>
      <c r="I71" s="980"/>
      <c r="J71" s="980"/>
      <c r="K71" s="982"/>
      <c r="L71" s="980"/>
      <c r="M71" s="980"/>
      <c r="N71" s="980"/>
      <c r="O71" s="982"/>
      <c r="P71" s="980"/>
    </row>
    <row r="72" spans="1:16" s="39" customFormat="1" ht="321.75" thickTop="1" thickBot="1" x14ac:dyDescent="0.25">
      <c r="A72" s="843" t="s">
        <v>800</v>
      </c>
      <c r="B72" s="843" t="s">
        <v>801</v>
      </c>
      <c r="C72" s="843" t="s">
        <v>228</v>
      </c>
      <c r="D72" s="843" t="s">
        <v>802</v>
      </c>
      <c r="E72" s="840">
        <f>'d3'!E72-'d3-П'!E72</f>
        <v>0</v>
      </c>
      <c r="F72" s="840">
        <f>'d3'!F72-'d3-П'!F72</f>
        <v>0</v>
      </c>
      <c r="G72" s="840">
        <f>'d3'!G72-'d3-П'!G72</f>
        <v>0</v>
      </c>
      <c r="H72" s="840">
        <f>'d3'!H72-'d3-П'!H72</f>
        <v>0</v>
      </c>
      <c r="I72" s="840">
        <f>'d3'!I72-'d3-П'!I72</f>
        <v>0</v>
      </c>
      <c r="J72" s="840">
        <f>'d3'!J72-'d3-П'!J72</f>
        <v>0</v>
      </c>
      <c r="K72" s="840">
        <f>'d3'!K72-'d3-П'!K72</f>
        <v>0</v>
      </c>
      <c r="L72" s="840">
        <f>'d3'!L72-'d3-П'!L72</f>
        <v>0</v>
      </c>
      <c r="M72" s="840">
        <f>'d3'!M72-'d3-П'!M72</f>
        <v>0</v>
      </c>
      <c r="N72" s="840">
        <f>'d3'!N72-'d3-П'!N72</f>
        <v>0</v>
      </c>
      <c r="O72" s="840">
        <f>'d3'!O72-'d3-П'!O72</f>
        <v>0</v>
      </c>
      <c r="P72" s="840">
        <f>'d3'!P72-'d3-П'!P72</f>
        <v>0</v>
      </c>
    </row>
    <row r="73" spans="1:16" s="39" customFormat="1" ht="321.75" thickTop="1" thickBot="1" x14ac:dyDescent="0.25">
      <c r="A73" s="843" t="s">
        <v>1195</v>
      </c>
      <c r="B73" s="843" t="s">
        <v>1196</v>
      </c>
      <c r="C73" s="843" t="s">
        <v>228</v>
      </c>
      <c r="D73" s="843" t="s">
        <v>1197</v>
      </c>
      <c r="E73" s="840">
        <f>'d3'!E73-'d3-П'!E73</f>
        <v>0</v>
      </c>
      <c r="F73" s="840">
        <f>'d3'!F73-'d3-П'!F73</f>
        <v>0</v>
      </c>
      <c r="G73" s="840">
        <f>'d3'!G73-'d3-П'!G73</f>
        <v>0</v>
      </c>
      <c r="H73" s="840">
        <f>'d3'!H73-'d3-П'!H73</f>
        <v>0</v>
      </c>
      <c r="I73" s="840">
        <f>'d3'!I73-'d3-П'!I73</f>
        <v>0</v>
      </c>
      <c r="J73" s="840">
        <f>'d3'!J73-'d3-П'!J73</f>
        <v>0</v>
      </c>
      <c r="K73" s="840">
        <f>'d3'!K73-'d3-П'!K73</f>
        <v>0</v>
      </c>
      <c r="L73" s="840">
        <f>'d3'!L73-'d3-П'!L73</f>
        <v>0</v>
      </c>
      <c r="M73" s="840">
        <f>'d3'!M73-'d3-П'!M73</f>
        <v>0</v>
      </c>
      <c r="N73" s="840">
        <f>'d3'!N73-'d3-П'!N73</f>
        <v>0</v>
      </c>
      <c r="O73" s="840">
        <f>'d3'!O73-'d3-П'!O73</f>
        <v>0</v>
      </c>
      <c r="P73" s="840">
        <f>'d3'!P73-'d3-П'!P73</f>
        <v>0</v>
      </c>
    </row>
    <row r="74" spans="1:16" s="39" customFormat="1" ht="91.5" hidden="1" thickTop="1" thickBot="1" x14ac:dyDescent="0.25">
      <c r="A74" s="422" t="s">
        <v>866</v>
      </c>
      <c r="B74" s="422" t="s">
        <v>867</v>
      </c>
      <c r="C74" s="422"/>
      <c r="D74" s="422" t="s">
        <v>868</v>
      </c>
      <c r="E74" s="840">
        <f>'d3'!E74-'d3-П'!E74</f>
        <v>0</v>
      </c>
      <c r="F74" s="840">
        <f>'d3'!F74-'d3-П'!F74</f>
        <v>0</v>
      </c>
      <c r="G74" s="840">
        <f>'d3'!G74-'d3-П'!G74</f>
        <v>0</v>
      </c>
      <c r="H74" s="840">
        <f>'d3'!H74-'d3-П'!H74</f>
        <v>0</v>
      </c>
      <c r="I74" s="840">
        <f>'d3'!I74-'d3-П'!I74</f>
        <v>0</v>
      </c>
      <c r="J74" s="840">
        <f>'d3'!J74-'d3-П'!J74</f>
        <v>0</v>
      </c>
      <c r="K74" s="840">
        <f>'d3'!K74-'d3-П'!K74</f>
        <v>0</v>
      </c>
      <c r="L74" s="840">
        <f>'d3'!L74-'d3-П'!L74</f>
        <v>0</v>
      </c>
      <c r="M74" s="840">
        <f>'d3'!M74-'d3-П'!M74</f>
        <v>0</v>
      </c>
      <c r="N74" s="840">
        <f>'d3'!N74-'d3-П'!N74</f>
        <v>0</v>
      </c>
      <c r="O74" s="840">
        <f>'d3'!O74-'d3-П'!O74</f>
        <v>0</v>
      </c>
      <c r="P74" s="840">
        <f>'d3'!P74-'d3-П'!P74</f>
        <v>0</v>
      </c>
    </row>
    <row r="75" spans="1:16" s="39" customFormat="1" ht="367.5" hidden="1" thickTop="1" thickBot="1" x14ac:dyDescent="0.25">
      <c r="A75" s="843" t="s">
        <v>461</v>
      </c>
      <c r="B75" s="843" t="s">
        <v>462</v>
      </c>
      <c r="C75" s="843" t="s">
        <v>203</v>
      </c>
      <c r="D75" s="843" t="s">
        <v>460</v>
      </c>
      <c r="E75" s="840">
        <f>'d3'!E75-'d3-П'!E75</f>
        <v>0</v>
      </c>
      <c r="F75" s="840">
        <f>'d3'!F75-'d3-П'!F75</f>
        <v>0</v>
      </c>
      <c r="G75" s="840">
        <f>'d3'!G75-'d3-П'!G75</f>
        <v>0</v>
      </c>
      <c r="H75" s="840">
        <f>'d3'!H75-'d3-П'!H75</f>
        <v>0</v>
      </c>
      <c r="I75" s="840">
        <f>'d3'!I75-'d3-П'!I75</f>
        <v>0</v>
      </c>
      <c r="J75" s="840">
        <f>'d3'!J75-'d3-П'!J75</f>
        <v>0</v>
      </c>
      <c r="K75" s="840">
        <f>'d3'!K75-'d3-П'!K75</f>
        <v>0</v>
      </c>
      <c r="L75" s="840">
        <f>'d3'!L75-'d3-П'!L75</f>
        <v>0</v>
      </c>
      <c r="M75" s="840">
        <f>'d3'!M75-'d3-П'!M75</f>
        <v>0</v>
      </c>
      <c r="N75" s="840">
        <f>'d3'!N75-'d3-П'!N75</f>
        <v>0</v>
      </c>
      <c r="O75" s="840">
        <f>'d3'!O75-'d3-П'!O75</f>
        <v>0</v>
      </c>
      <c r="P75" s="840">
        <f>'d3'!P75-'d3-П'!P75</f>
        <v>0</v>
      </c>
    </row>
    <row r="76" spans="1:16" s="39" customFormat="1" ht="230.25" thickTop="1" thickBot="1" x14ac:dyDescent="0.25">
      <c r="A76" s="345" t="s">
        <v>1315</v>
      </c>
      <c r="B76" s="345" t="s">
        <v>1317</v>
      </c>
      <c r="C76" s="345"/>
      <c r="D76" s="345" t="s">
        <v>1319</v>
      </c>
      <c r="E76" s="840">
        <f>'d3'!E76-'d3-П'!E76</f>
        <v>0</v>
      </c>
      <c r="F76" s="840">
        <f>'d3'!F76-'d3-П'!F76</f>
        <v>0</v>
      </c>
      <c r="G76" s="840">
        <f>'d3'!G76-'d3-П'!G76</f>
        <v>0</v>
      </c>
      <c r="H76" s="840">
        <f>'d3'!H76-'d3-П'!H76</f>
        <v>0</v>
      </c>
      <c r="I76" s="840">
        <f>'d3'!I76-'d3-П'!I76</f>
        <v>0</v>
      </c>
      <c r="J76" s="840">
        <f>'d3'!J76-'d3-П'!J76</f>
        <v>84500</v>
      </c>
      <c r="K76" s="840">
        <f>'d3'!K76-'d3-П'!K76</f>
        <v>84500</v>
      </c>
      <c r="L76" s="840">
        <f>'d3'!L76-'d3-П'!L76</f>
        <v>0</v>
      </c>
      <c r="M76" s="840">
        <f>'d3'!M76-'d3-П'!M76</f>
        <v>0</v>
      </c>
      <c r="N76" s="840">
        <f>'d3'!N76-'d3-П'!N76</f>
        <v>0</v>
      </c>
      <c r="O76" s="840">
        <f>'d3'!O76-'d3-П'!O76</f>
        <v>84500</v>
      </c>
      <c r="P76" s="840">
        <f>'d3'!P76-'d3-П'!P76</f>
        <v>84500</v>
      </c>
    </row>
    <row r="77" spans="1:16" s="39" customFormat="1" ht="367.5" thickTop="1" thickBot="1" x14ac:dyDescent="0.25">
      <c r="A77" s="843" t="s">
        <v>1316</v>
      </c>
      <c r="B77" s="843" t="s">
        <v>1318</v>
      </c>
      <c r="C77" s="843" t="s">
        <v>228</v>
      </c>
      <c r="D77" s="843" t="s">
        <v>1320</v>
      </c>
      <c r="E77" s="840">
        <f>'d3'!E77-'d3-П'!E77</f>
        <v>0</v>
      </c>
      <c r="F77" s="840">
        <f>'d3'!F77-'d3-П'!F77</f>
        <v>0</v>
      </c>
      <c r="G77" s="840">
        <f>'d3'!G77-'d3-П'!G77</f>
        <v>0</v>
      </c>
      <c r="H77" s="840">
        <f>'d3'!H77-'d3-П'!H77</f>
        <v>0</v>
      </c>
      <c r="I77" s="840">
        <f>'d3'!I77-'d3-П'!I77</f>
        <v>0</v>
      </c>
      <c r="J77" s="840">
        <f>'d3'!J77-'d3-П'!J77</f>
        <v>84500</v>
      </c>
      <c r="K77" s="840">
        <f>'d3'!K77-'d3-П'!K77</f>
        <v>84500</v>
      </c>
      <c r="L77" s="840">
        <f>'d3'!L77-'d3-П'!L77</f>
        <v>0</v>
      </c>
      <c r="M77" s="840">
        <f>'d3'!M77-'d3-П'!M77</f>
        <v>0</v>
      </c>
      <c r="N77" s="840">
        <f>'d3'!N77-'d3-П'!N77</f>
        <v>0</v>
      </c>
      <c r="O77" s="840">
        <f>'d3'!O77-'d3-П'!O77</f>
        <v>84500</v>
      </c>
      <c r="P77" s="840">
        <f>'d3'!P77-'d3-П'!P77</f>
        <v>84500</v>
      </c>
    </row>
    <row r="78" spans="1:16" s="39" customFormat="1" ht="321.75" thickTop="1" thickBot="1" x14ac:dyDescent="0.25">
      <c r="A78" s="843" t="s">
        <v>1388</v>
      </c>
      <c r="B78" s="843" t="s">
        <v>1389</v>
      </c>
      <c r="C78" s="843" t="s">
        <v>228</v>
      </c>
      <c r="D78" s="843" t="s">
        <v>1387</v>
      </c>
      <c r="E78" s="840">
        <f>'d3'!E78-'d3-П'!E78</f>
        <v>0</v>
      </c>
      <c r="F78" s="840">
        <f>'d3'!F78-'d3-П'!F78</f>
        <v>0</v>
      </c>
      <c r="G78" s="840">
        <f>'d3'!G78-'d3-П'!G78</f>
        <v>0</v>
      </c>
      <c r="H78" s="840">
        <f>'d3'!H78-'d3-П'!H78</f>
        <v>0</v>
      </c>
      <c r="I78" s="840">
        <f>'d3'!I78-'d3-П'!I78</f>
        <v>0</v>
      </c>
      <c r="J78" s="840">
        <f>'d3'!J78-'d3-П'!J78</f>
        <v>0</v>
      </c>
      <c r="K78" s="840">
        <f>'d3'!K78-'d3-П'!K78</f>
        <v>0</v>
      </c>
      <c r="L78" s="840">
        <f>'d3'!L78-'d3-П'!L78</f>
        <v>0</v>
      </c>
      <c r="M78" s="840">
        <f>'d3'!M78-'d3-П'!M78</f>
        <v>0</v>
      </c>
      <c r="N78" s="840">
        <f>'d3'!N78-'d3-П'!N78</f>
        <v>0</v>
      </c>
      <c r="O78" s="840">
        <f>'d3'!O78-'d3-П'!O78</f>
        <v>0</v>
      </c>
      <c r="P78" s="840">
        <f>'d3'!P78-'d3-П'!P78</f>
        <v>0</v>
      </c>
    </row>
    <row r="79" spans="1:16" s="39" customFormat="1" ht="47.25" thickTop="1" thickBot="1" x14ac:dyDescent="0.25">
      <c r="A79" s="422" t="s">
        <v>1450</v>
      </c>
      <c r="B79" s="422" t="s">
        <v>905</v>
      </c>
      <c r="C79" s="422"/>
      <c r="D79" s="422" t="s">
        <v>1449</v>
      </c>
      <c r="E79" s="840">
        <f>'d3'!E79-'d3-П'!E79</f>
        <v>0</v>
      </c>
      <c r="F79" s="840">
        <f>'d3'!F79-'d3-П'!F79</f>
        <v>0</v>
      </c>
      <c r="G79" s="840">
        <f>'d3'!G79-'d3-П'!G79</f>
        <v>0</v>
      </c>
      <c r="H79" s="840">
        <f>'d3'!H79-'d3-П'!H79</f>
        <v>0</v>
      </c>
      <c r="I79" s="840">
        <f>'d3'!I79-'d3-П'!I79</f>
        <v>0</v>
      </c>
      <c r="J79" s="840">
        <f>'d3'!J79-'d3-П'!J79</f>
        <v>0</v>
      </c>
      <c r="K79" s="840">
        <f>'d3'!K79-'d3-П'!K79</f>
        <v>0</v>
      </c>
      <c r="L79" s="840">
        <f>'d3'!L79-'d3-П'!L79</f>
        <v>0</v>
      </c>
      <c r="M79" s="840">
        <f>'d3'!M79-'d3-П'!M79</f>
        <v>0</v>
      </c>
      <c r="N79" s="840">
        <f>'d3'!N79-'d3-П'!N79</f>
        <v>0</v>
      </c>
      <c r="O79" s="840">
        <f>'d3'!O79-'d3-П'!O79</f>
        <v>0</v>
      </c>
      <c r="P79" s="840">
        <f>'d3'!P79-'d3-П'!P79</f>
        <v>0</v>
      </c>
    </row>
    <row r="80" spans="1:16" s="39" customFormat="1" ht="91.5" thickTop="1" thickBot="1" x14ac:dyDescent="0.25">
      <c r="A80" s="379" t="s">
        <v>1448</v>
      </c>
      <c r="B80" s="379" t="s">
        <v>961</v>
      </c>
      <c r="C80" s="379"/>
      <c r="D80" s="379" t="s">
        <v>962</v>
      </c>
      <c r="E80" s="840">
        <f>'d3'!E80-'d3-П'!E80</f>
        <v>0</v>
      </c>
      <c r="F80" s="840">
        <f>'d3'!F80-'d3-П'!F80</f>
        <v>0</v>
      </c>
      <c r="G80" s="840">
        <f>'d3'!G80-'d3-П'!G80</f>
        <v>0</v>
      </c>
      <c r="H80" s="840">
        <f>'d3'!H80-'d3-П'!H80</f>
        <v>0</v>
      </c>
      <c r="I80" s="840">
        <f>'d3'!I80-'d3-П'!I80</f>
        <v>0</v>
      </c>
      <c r="J80" s="840">
        <f>'d3'!J80-'d3-П'!J80</f>
        <v>0</v>
      </c>
      <c r="K80" s="840">
        <f>'d3'!K80-'d3-П'!K80</f>
        <v>0</v>
      </c>
      <c r="L80" s="840">
        <f>'d3'!L80-'d3-П'!L80</f>
        <v>0</v>
      </c>
      <c r="M80" s="840">
        <f>'d3'!M80-'d3-П'!M80</f>
        <v>0</v>
      </c>
      <c r="N80" s="840">
        <f>'d3'!N80-'d3-П'!N80</f>
        <v>0</v>
      </c>
      <c r="O80" s="840">
        <f>'d3'!O80-'d3-П'!O80</f>
        <v>0</v>
      </c>
      <c r="P80" s="840">
        <f>'d3'!P80-'d3-П'!P80</f>
        <v>0</v>
      </c>
    </row>
    <row r="81" spans="1:16" s="39" customFormat="1" ht="145.5" thickTop="1" thickBot="1" x14ac:dyDescent="0.25">
      <c r="A81" s="345" t="s">
        <v>1451</v>
      </c>
      <c r="B81" s="345" t="s">
        <v>980</v>
      </c>
      <c r="C81" s="345"/>
      <c r="D81" s="345" t="s">
        <v>1452</v>
      </c>
      <c r="E81" s="840">
        <f>'d3'!E81-'d3-П'!E81</f>
        <v>0</v>
      </c>
      <c r="F81" s="840">
        <f>'d3'!F81-'d3-П'!F81</f>
        <v>0</v>
      </c>
      <c r="G81" s="840">
        <f>'d3'!G81-'d3-П'!G81</f>
        <v>0</v>
      </c>
      <c r="H81" s="840">
        <f>'d3'!H81-'d3-П'!H81</f>
        <v>0</v>
      </c>
      <c r="I81" s="840">
        <f>'d3'!I81-'d3-П'!I81</f>
        <v>0</v>
      </c>
      <c r="J81" s="840">
        <f>'d3'!J81-'d3-П'!J81</f>
        <v>0</v>
      </c>
      <c r="K81" s="840">
        <f>'d3'!K81-'d3-П'!K81</f>
        <v>0</v>
      </c>
      <c r="L81" s="840">
        <f>'d3'!L81-'d3-П'!L81</f>
        <v>0</v>
      </c>
      <c r="M81" s="840">
        <f>'d3'!M81-'d3-П'!M81</f>
        <v>0</v>
      </c>
      <c r="N81" s="840">
        <f>'d3'!N81-'d3-П'!N81</f>
        <v>0</v>
      </c>
      <c r="O81" s="840">
        <f>'d3'!O81-'d3-П'!O81</f>
        <v>0</v>
      </c>
      <c r="P81" s="840">
        <f>'d3'!P81-'d3-П'!P81</f>
        <v>0</v>
      </c>
    </row>
    <row r="82" spans="1:16" s="39" customFormat="1" ht="99.75" thickTop="1" thickBot="1" x14ac:dyDescent="0.25">
      <c r="A82" s="843" t="s">
        <v>1469</v>
      </c>
      <c r="B82" s="345" t="s">
        <v>334</v>
      </c>
      <c r="C82" s="843" t="s">
        <v>323</v>
      </c>
      <c r="D82" s="843" t="s">
        <v>778</v>
      </c>
      <c r="E82" s="840">
        <f>'d3'!E82-'d3-П'!E82</f>
        <v>0</v>
      </c>
      <c r="F82" s="840">
        <f>'d3'!F82-'d3-П'!F82</f>
        <v>0</v>
      </c>
      <c r="G82" s="840">
        <f>'d3'!G82-'d3-П'!G82</f>
        <v>0</v>
      </c>
      <c r="H82" s="840">
        <f>'d3'!H82-'d3-П'!H82</f>
        <v>0</v>
      </c>
      <c r="I82" s="840">
        <f>'d3'!I82-'d3-П'!I82</f>
        <v>0</v>
      </c>
      <c r="J82" s="840">
        <f>'d3'!J82-'d3-П'!J82</f>
        <v>0</v>
      </c>
      <c r="K82" s="840">
        <f>'d3'!K82-'d3-П'!K82</f>
        <v>0</v>
      </c>
      <c r="L82" s="840">
        <f>'d3'!L82-'d3-П'!L82</f>
        <v>0</v>
      </c>
      <c r="M82" s="840">
        <f>'d3'!M82-'d3-П'!M82</f>
        <v>0</v>
      </c>
      <c r="N82" s="840">
        <f>'d3'!N82-'d3-П'!N82</f>
        <v>0</v>
      </c>
      <c r="O82" s="840">
        <f>'d3'!O82-'d3-П'!O82</f>
        <v>0</v>
      </c>
      <c r="P82" s="840">
        <f>'d3'!P82-'d3-П'!P82</f>
        <v>0</v>
      </c>
    </row>
    <row r="83" spans="1:16" s="39" customFormat="1" ht="136.5" thickTop="1" thickBot="1" x14ac:dyDescent="0.25">
      <c r="A83" s="379" t="s">
        <v>1455</v>
      </c>
      <c r="B83" s="379" t="s">
        <v>847</v>
      </c>
      <c r="C83" s="379"/>
      <c r="D83" s="379" t="s">
        <v>845</v>
      </c>
      <c r="E83" s="840">
        <f>'d3'!E83-'d3-П'!E83</f>
        <v>0</v>
      </c>
      <c r="F83" s="840">
        <f>'d3'!F83-'d3-П'!F83</f>
        <v>0</v>
      </c>
      <c r="G83" s="840">
        <f>'d3'!G83-'d3-П'!G83</f>
        <v>0</v>
      </c>
      <c r="H83" s="840">
        <f>'d3'!H83-'d3-П'!H83</f>
        <v>0</v>
      </c>
      <c r="I83" s="840">
        <f>'d3'!I83-'d3-П'!I83</f>
        <v>0</v>
      </c>
      <c r="J83" s="840">
        <f>'d3'!J83-'d3-П'!J83</f>
        <v>0</v>
      </c>
      <c r="K83" s="840">
        <f>'d3'!K83-'d3-П'!K83</f>
        <v>0</v>
      </c>
      <c r="L83" s="840">
        <f>'d3'!L83-'d3-П'!L83</f>
        <v>0</v>
      </c>
      <c r="M83" s="840">
        <f>'d3'!M83-'d3-П'!M83</f>
        <v>0</v>
      </c>
      <c r="N83" s="840">
        <f>'d3'!N83-'d3-П'!N83</f>
        <v>0</v>
      </c>
      <c r="O83" s="840">
        <f>'d3'!O83-'d3-П'!O83</f>
        <v>0</v>
      </c>
      <c r="P83" s="840">
        <f>'d3'!P83-'d3-П'!P83</f>
        <v>0</v>
      </c>
    </row>
    <row r="84" spans="1:16" s="39" customFormat="1" ht="47.25" thickTop="1" thickBot="1" x14ac:dyDescent="0.25">
      <c r="A84" s="843" t="s">
        <v>1456</v>
      </c>
      <c r="B84" s="345" t="s">
        <v>230</v>
      </c>
      <c r="C84" s="843" t="s">
        <v>231</v>
      </c>
      <c r="D84" s="843" t="s">
        <v>43</v>
      </c>
      <c r="E84" s="840">
        <f>'d3'!E84-'d3-П'!E84</f>
        <v>0</v>
      </c>
      <c r="F84" s="840">
        <f>'d3'!F84-'d3-П'!F84</f>
        <v>0</v>
      </c>
      <c r="G84" s="840">
        <f>'d3'!G84-'d3-П'!G84</f>
        <v>0</v>
      </c>
      <c r="H84" s="840">
        <f>'d3'!H84-'d3-П'!H84</f>
        <v>0</v>
      </c>
      <c r="I84" s="840">
        <f>'d3'!I84-'d3-П'!I84</f>
        <v>0</v>
      </c>
      <c r="J84" s="840">
        <f>'d3'!J84-'d3-П'!J84</f>
        <v>0</v>
      </c>
      <c r="K84" s="840">
        <f>'d3'!K84-'d3-П'!K84</f>
        <v>0</v>
      </c>
      <c r="L84" s="840">
        <f>'d3'!L84-'d3-П'!L84</f>
        <v>0</v>
      </c>
      <c r="M84" s="840">
        <f>'d3'!M84-'d3-П'!M84</f>
        <v>0</v>
      </c>
      <c r="N84" s="840">
        <f>'d3'!N84-'d3-П'!N84</f>
        <v>0</v>
      </c>
      <c r="O84" s="840">
        <f>'d3'!O84-'d3-П'!O84</f>
        <v>0</v>
      </c>
      <c r="P84" s="840">
        <f>'d3'!P84-'d3-П'!P84</f>
        <v>0</v>
      </c>
    </row>
    <row r="85" spans="1:16" s="39" customFormat="1" ht="47.25" thickTop="1" thickBot="1" x14ac:dyDescent="0.25">
      <c r="A85" s="422" t="s">
        <v>1359</v>
      </c>
      <c r="B85" s="422" t="s">
        <v>858</v>
      </c>
      <c r="C85" s="422"/>
      <c r="D85" s="422" t="s">
        <v>859</v>
      </c>
      <c r="E85" s="840">
        <f>'d3'!E85-'d3-П'!E85</f>
        <v>0</v>
      </c>
      <c r="F85" s="840">
        <f>'d3'!F85-'d3-П'!F85</f>
        <v>0</v>
      </c>
      <c r="G85" s="840">
        <f>'d3'!G85-'d3-П'!G85</f>
        <v>0</v>
      </c>
      <c r="H85" s="840">
        <f>'d3'!H85-'d3-П'!H85</f>
        <v>0</v>
      </c>
      <c r="I85" s="840">
        <f>'d3'!I85-'d3-П'!I85</f>
        <v>0</v>
      </c>
      <c r="J85" s="840">
        <f>'d3'!J85-'d3-П'!J85</f>
        <v>0</v>
      </c>
      <c r="K85" s="840">
        <f>'d3'!K85-'d3-П'!K85</f>
        <v>0</v>
      </c>
      <c r="L85" s="840">
        <f>'d3'!L85-'d3-П'!L85</f>
        <v>0</v>
      </c>
      <c r="M85" s="840">
        <f>'d3'!M85-'d3-П'!M85</f>
        <v>0</v>
      </c>
      <c r="N85" s="840">
        <f>'d3'!N85-'d3-П'!N85</f>
        <v>0</v>
      </c>
      <c r="O85" s="840">
        <f>'d3'!O85-'d3-П'!O85</f>
        <v>0</v>
      </c>
      <c r="P85" s="840">
        <f>'d3'!P85-'d3-П'!P85</f>
        <v>0</v>
      </c>
    </row>
    <row r="86" spans="1:16" s="39" customFormat="1" ht="271.5" thickTop="1" thickBot="1" x14ac:dyDescent="0.25">
      <c r="A86" s="379" t="s">
        <v>1360</v>
      </c>
      <c r="B86" s="379" t="s">
        <v>861</v>
      </c>
      <c r="C86" s="379"/>
      <c r="D86" s="379" t="s">
        <v>862</v>
      </c>
      <c r="E86" s="840">
        <f>'d3'!E86-'d3-П'!E86</f>
        <v>0</v>
      </c>
      <c r="F86" s="840">
        <f>'d3'!F86-'d3-П'!F86</f>
        <v>0</v>
      </c>
      <c r="G86" s="840">
        <f>'d3'!G86-'d3-П'!G86</f>
        <v>0</v>
      </c>
      <c r="H86" s="840">
        <f>'d3'!H86-'d3-П'!H86</f>
        <v>0</v>
      </c>
      <c r="I86" s="840">
        <f>'d3'!I86-'d3-П'!I86</f>
        <v>0</v>
      </c>
      <c r="J86" s="840">
        <f>'d3'!J86-'d3-П'!J86</f>
        <v>0</v>
      </c>
      <c r="K86" s="840">
        <f>'d3'!K86-'d3-П'!K86</f>
        <v>0</v>
      </c>
      <c r="L86" s="840">
        <f>'d3'!L86-'d3-П'!L86</f>
        <v>0</v>
      </c>
      <c r="M86" s="840">
        <f>'d3'!M86-'d3-П'!M86</f>
        <v>0</v>
      </c>
      <c r="N86" s="840">
        <f>'d3'!N86-'d3-П'!N86</f>
        <v>0</v>
      </c>
      <c r="O86" s="840">
        <f>'d3'!O86-'d3-П'!O86</f>
        <v>0</v>
      </c>
      <c r="P86" s="840">
        <f>'d3'!P86-'d3-П'!P86</f>
        <v>0</v>
      </c>
    </row>
    <row r="87" spans="1:16" s="39" customFormat="1" ht="93" thickTop="1" thickBot="1" x14ac:dyDescent="0.25">
      <c r="A87" s="843" t="s">
        <v>1361</v>
      </c>
      <c r="B87" s="843" t="s">
        <v>389</v>
      </c>
      <c r="C87" s="843" t="s">
        <v>45</v>
      </c>
      <c r="D87" s="843" t="s">
        <v>390</v>
      </c>
      <c r="E87" s="840">
        <f>'d3'!E87-'d3-П'!E87</f>
        <v>0</v>
      </c>
      <c r="F87" s="840">
        <f>'d3'!F87-'d3-П'!F87</f>
        <v>0</v>
      </c>
      <c r="G87" s="840">
        <f>'d3'!G87-'d3-П'!G87</f>
        <v>0</v>
      </c>
      <c r="H87" s="840">
        <f>'d3'!H87-'d3-П'!H87</f>
        <v>0</v>
      </c>
      <c r="I87" s="840">
        <f>'d3'!I87-'d3-П'!I87</f>
        <v>0</v>
      </c>
      <c r="J87" s="840">
        <f>'d3'!J87-'d3-П'!J87</f>
        <v>0</v>
      </c>
      <c r="K87" s="840">
        <f>'d3'!K87-'d3-П'!K87</f>
        <v>0</v>
      </c>
      <c r="L87" s="840">
        <f>'d3'!L87-'d3-П'!L87</f>
        <v>0</v>
      </c>
      <c r="M87" s="840">
        <f>'d3'!M87-'d3-П'!M87</f>
        <v>0</v>
      </c>
      <c r="N87" s="840">
        <f>'d3'!N87-'d3-П'!N87</f>
        <v>0</v>
      </c>
      <c r="O87" s="840">
        <f>'d3'!O87-'d3-П'!O87</f>
        <v>0</v>
      </c>
      <c r="P87" s="840">
        <f>'d3'!P87-'d3-П'!P87</f>
        <v>0</v>
      </c>
    </row>
    <row r="88" spans="1:16" ht="136.5" thickTop="1" thickBot="1" x14ac:dyDescent="0.25">
      <c r="A88" s="825" t="s">
        <v>168</v>
      </c>
      <c r="B88" s="825"/>
      <c r="C88" s="825"/>
      <c r="D88" s="826" t="s">
        <v>18</v>
      </c>
      <c r="E88" s="827">
        <f>E89</f>
        <v>-18000</v>
      </c>
      <c r="F88" s="828">
        <f t="shared" ref="F88:G88" si="8">F89</f>
        <v>-18000</v>
      </c>
      <c r="G88" s="828">
        <f t="shared" si="8"/>
        <v>0</v>
      </c>
      <c r="H88" s="828">
        <f>H89</f>
        <v>20000</v>
      </c>
      <c r="I88" s="828">
        <f t="shared" ref="I88" si="9">I89</f>
        <v>0</v>
      </c>
      <c r="J88" s="827">
        <f>J89</f>
        <v>4399600</v>
      </c>
      <c r="K88" s="828">
        <f>K89</f>
        <v>4399600</v>
      </c>
      <c r="L88" s="828">
        <f>L89</f>
        <v>0</v>
      </c>
      <c r="M88" s="828">
        <f t="shared" ref="M88" si="10">M89</f>
        <v>0</v>
      </c>
      <c r="N88" s="828">
        <f>N89</f>
        <v>0</v>
      </c>
      <c r="O88" s="827">
        <f>O89</f>
        <v>4399600</v>
      </c>
      <c r="P88" s="828">
        <f>P89</f>
        <v>4381600</v>
      </c>
    </row>
    <row r="89" spans="1:16" ht="181.5" thickTop="1" thickBot="1" x14ac:dyDescent="0.25">
      <c r="A89" s="829" t="s">
        <v>169</v>
      </c>
      <c r="B89" s="829"/>
      <c r="C89" s="829"/>
      <c r="D89" s="830" t="s">
        <v>38</v>
      </c>
      <c r="E89" s="831">
        <f>E90+E92+E105</f>
        <v>-18000</v>
      </c>
      <c r="F89" s="831">
        <f t="shared" ref="F89:I89" si="11">F90+F92+F105</f>
        <v>-18000</v>
      </c>
      <c r="G89" s="831">
        <f t="shared" si="11"/>
        <v>0</v>
      </c>
      <c r="H89" s="831">
        <f t="shared" si="11"/>
        <v>20000</v>
      </c>
      <c r="I89" s="831">
        <f t="shared" si="11"/>
        <v>0</v>
      </c>
      <c r="J89" s="831">
        <f>L89+O89</f>
        <v>4399600</v>
      </c>
      <c r="K89" s="831">
        <f t="shared" ref="K89:O89" si="12">K90+K92+K105</f>
        <v>4399600</v>
      </c>
      <c r="L89" s="831">
        <f t="shared" si="12"/>
        <v>0</v>
      </c>
      <c r="M89" s="831">
        <f t="shared" si="12"/>
        <v>0</v>
      </c>
      <c r="N89" s="831">
        <f t="shared" si="12"/>
        <v>0</v>
      </c>
      <c r="O89" s="831">
        <f t="shared" si="12"/>
        <v>4399600</v>
      </c>
      <c r="P89" s="831">
        <f t="shared" ref="P89:P111" si="13">E89+J89</f>
        <v>4381600</v>
      </c>
    </row>
    <row r="90" spans="1:16" ht="47.25" thickTop="1" thickBot="1" x14ac:dyDescent="0.25">
      <c r="A90" s="422" t="s">
        <v>869</v>
      </c>
      <c r="B90" s="422" t="s">
        <v>840</v>
      </c>
      <c r="C90" s="422"/>
      <c r="D90" s="422" t="s">
        <v>841</v>
      </c>
      <c r="E90" s="840">
        <f>'d3'!E90-'d3-П'!E90</f>
        <v>0</v>
      </c>
      <c r="F90" s="840">
        <f>'d3'!F90-'d3-П'!F90</f>
        <v>0</v>
      </c>
      <c r="G90" s="840">
        <f>'d3'!G90-'d3-П'!G90</f>
        <v>0</v>
      </c>
      <c r="H90" s="840">
        <f>'d3'!H90-'d3-П'!H90</f>
        <v>0</v>
      </c>
      <c r="I90" s="840">
        <f>'d3'!I90-'d3-П'!I90</f>
        <v>0</v>
      </c>
      <c r="J90" s="840">
        <f>'d3'!J90-'d3-П'!J90</f>
        <v>-100000</v>
      </c>
      <c r="K90" s="840">
        <f>'d3'!K90-'d3-П'!K90</f>
        <v>-100000</v>
      </c>
      <c r="L90" s="840">
        <f>'d3'!L90-'d3-П'!L90</f>
        <v>0</v>
      </c>
      <c r="M90" s="840">
        <f>'d3'!M90-'d3-П'!M90</f>
        <v>0</v>
      </c>
      <c r="N90" s="840">
        <f>'d3'!N90-'d3-П'!N90</f>
        <v>0</v>
      </c>
      <c r="O90" s="840">
        <f>'d3'!O90-'d3-П'!O90</f>
        <v>-100000</v>
      </c>
      <c r="P90" s="840">
        <f>'d3'!P90-'d3-П'!P90</f>
        <v>-100000</v>
      </c>
    </row>
    <row r="91" spans="1:16" ht="230.25" thickTop="1" thickBot="1" x14ac:dyDescent="0.25">
      <c r="A91" s="843" t="s">
        <v>444</v>
      </c>
      <c r="B91" s="843" t="s">
        <v>254</v>
      </c>
      <c r="C91" s="843" t="s">
        <v>252</v>
      </c>
      <c r="D91" s="843" t="s">
        <v>253</v>
      </c>
      <c r="E91" s="840">
        <f>'d3'!E91-'d3-П'!E91</f>
        <v>0</v>
      </c>
      <c r="F91" s="840">
        <f>'d3'!F91-'d3-П'!F91</f>
        <v>0</v>
      </c>
      <c r="G91" s="840">
        <f>'d3'!G91-'d3-П'!G91</f>
        <v>0</v>
      </c>
      <c r="H91" s="840">
        <f>'d3'!H91-'d3-П'!H91</f>
        <v>0</v>
      </c>
      <c r="I91" s="840">
        <f>'d3'!I91-'d3-П'!I91</f>
        <v>0</v>
      </c>
      <c r="J91" s="840">
        <f>'d3'!J91-'d3-П'!J91</f>
        <v>-100000</v>
      </c>
      <c r="K91" s="840">
        <f>'d3'!K91-'d3-П'!K91</f>
        <v>-100000</v>
      </c>
      <c r="L91" s="840">
        <f>'d3'!L91-'d3-П'!L91</f>
        <v>0</v>
      </c>
      <c r="M91" s="840">
        <f>'d3'!M91-'d3-П'!M91</f>
        <v>0</v>
      </c>
      <c r="N91" s="840">
        <f>'d3'!N91-'d3-П'!N91</f>
        <v>0</v>
      </c>
      <c r="O91" s="840">
        <f>'d3'!O91-'d3-П'!O91</f>
        <v>-100000</v>
      </c>
      <c r="P91" s="840">
        <f>'d3'!P91-'d3-П'!P91</f>
        <v>-100000</v>
      </c>
    </row>
    <row r="92" spans="1:16" ht="47.25" thickTop="1" thickBot="1" x14ac:dyDescent="0.25">
      <c r="A92" s="422" t="s">
        <v>870</v>
      </c>
      <c r="B92" s="422" t="s">
        <v>871</v>
      </c>
      <c r="C92" s="422"/>
      <c r="D92" s="422" t="s">
        <v>872</v>
      </c>
      <c r="E92" s="840">
        <f>'d3'!E92-'d3-П'!E92</f>
        <v>-18000</v>
      </c>
      <c r="F92" s="840">
        <f>'d3'!F92-'d3-П'!F92</f>
        <v>-18000</v>
      </c>
      <c r="G92" s="840">
        <f>'d3'!G92-'d3-П'!G92</f>
        <v>0</v>
      </c>
      <c r="H92" s="840">
        <f>'d3'!H92-'d3-П'!H92</f>
        <v>20000</v>
      </c>
      <c r="I92" s="840">
        <f>'d3'!I92-'d3-П'!I92</f>
        <v>0</v>
      </c>
      <c r="J92" s="840">
        <f>'d3'!J92-'d3-П'!J92</f>
        <v>-5600</v>
      </c>
      <c r="K92" s="840">
        <f>'d3'!K92-'d3-П'!K92</f>
        <v>-5600</v>
      </c>
      <c r="L92" s="840">
        <f>'d3'!L92-'d3-П'!L92</f>
        <v>0</v>
      </c>
      <c r="M92" s="840">
        <f>'d3'!M92-'d3-П'!M92</f>
        <v>0</v>
      </c>
      <c r="N92" s="840">
        <f>'d3'!N92-'d3-П'!N92</f>
        <v>0</v>
      </c>
      <c r="O92" s="840">
        <f>'d3'!O92-'d3-П'!O92</f>
        <v>-5600</v>
      </c>
      <c r="P92" s="840">
        <f>'d3'!P92-'d3-П'!P92</f>
        <v>-23600</v>
      </c>
    </row>
    <row r="93" spans="1:16" ht="93" thickTop="1" thickBot="1" x14ac:dyDescent="0.25">
      <c r="A93" s="843" t="s">
        <v>232</v>
      </c>
      <c r="B93" s="843" t="s">
        <v>229</v>
      </c>
      <c r="C93" s="843" t="s">
        <v>233</v>
      </c>
      <c r="D93" s="843" t="s">
        <v>19</v>
      </c>
      <c r="E93" s="840">
        <f>'d3'!E93-'d3-П'!E93</f>
        <v>1188000</v>
      </c>
      <c r="F93" s="840">
        <f>'d3'!F93-'d3-П'!F93</f>
        <v>1188000</v>
      </c>
      <c r="G93" s="840">
        <f>'d3'!G93-'d3-П'!G93</f>
        <v>0</v>
      </c>
      <c r="H93" s="840">
        <f>'d3'!H93-'d3-П'!H93</f>
        <v>0</v>
      </c>
      <c r="I93" s="840">
        <f>'d3'!I93-'d3-П'!I93</f>
        <v>0</v>
      </c>
      <c r="J93" s="840">
        <f>'d3'!J93-'d3-П'!J93</f>
        <v>0</v>
      </c>
      <c r="K93" s="840">
        <f>'d3'!K93-'d3-П'!K93</f>
        <v>0</v>
      </c>
      <c r="L93" s="840">
        <f>'d3'!L93-'d3-П'!L93</f>
        <v>0</v>
      </c>
      <c r="M93" s="840">
        <f>'d3'!M93-'d3-П'!M93</f>
        <v>0</v>
      </c>
      <c r="N93" s="840">
        <f>'d3'!N93-'d3-П'!N93</f>
        <v>0</v>
      </c>
      <c r="O93" s="840">
        <f>'d3'!O93-'d3-П'!O93</f>
        <v>0</v>
      </c>
      <c r="P93" s="840">
        <f>'d3'!P93-'d3-П'!P93</f>
        <v>1188000</v>
      </c>
    </row>
    <row r="94" spans="1:16" ht="93" thickTop="1" thickBot="1" x14ac:dyDescent="0.25">
      <c r="A94" s="843" t="s">
        <v>552</v>
      </c>
      <c r="B94" s="843" t="s">
        <v>555</v>
      </c>
      <c r="C94" s="843" t="s">
        <v>554</v>
      </c>
      <c r="D94" s="843" t="s">
        <v>553</v>
      </c>
      <c r="E94" s="840">
        <f>'d3'!E94-'d3-П'!E94</f>
        <v>0</v>
      </c>
      <c r="F94" s="840">
        <f>'d3'!F94-'d3-П'!F94</f>
        <v>0</v>
      </c>
      <c r="G94" s="840">
        <f>'d3'!G94-'d3-П'!G94</f>
        <v>0</v>
      </c>
      <c r="H94" s="840">
        <f>'d3'!H94-'d3-П'!H94</f>
        <v>0</v>
      </c>
      <c r="I94" s="840">
        <f>'d3'!I94-'d3-П'!I94</f>
        <v>0</v>
      </c>
      <c r="J94" s="840">
        <f>'d3'!J94-'d3-П'!J94</f>
        <v>0</v>
      </c>
      <c r="K94" s="840">
        <f>'d3'!K94-'d3-П'!K94</f>
        <v>0</v>
      </c>
      <c r="L94" s="840">
        <f>'d3'!L94-'d3-П'!L94</f>
        <v>0</v>
      </c>
      <c r="M94" s="840">
        <f>'d3'!M94-'d3-П'!M94</f>
        <v>0</v>
      </c>
      <c r="N94" s="840">
        <f>'d3'!N94-'d3-П'!N94</f>
        <v>0</v>
      </c>
      <c r="O94" s="840">
        <f>'d3'!O94-'d3-П'!O94</f>
        <v>0</v>
      </c>
      <c r="P94" s="840">
        <f>'d3'!P94-'d3-П'!P94</f>
        <v>0</v>
      </c>
    </row>
    <row r="95" spans="1:16" ht="138.75" thickTop="1" thickBot="1" x14ac:dyDescent="0.25">
      <c r="A95" s="843" t="s">
        <v>234</v>
      </c>
      <c r="B95" s="843" t="s">
        <v>235</v>
      </c>
      <c r="C95" s="843" t="s">
        <v>236</v>
      </c>
      <c r="D95" s="843" t="s">
        <v>237</v>
      </c>
      <c r="E95" s="840">
        <f>'d3'!E95-'d3-П'!E95</f>
        <v>0</v>
      </c>
      <c r="F95" s="840">
        <f>'d3'!F95-'d3-П'!F95</f>
        <v>0</v>
      </c>
      <c r="G95" s="840">
        <f>'d3'!G95-'d3-П'!G95</f>
        <v>0</v>
      </c>
      <c r="H95" s="840">
        <f>'d3'!H95-'d3-П'!H95</f>
        <v>0</v>
      </c>
      <c r="I95" s="840">
        <f>'d3'!I95-'d3-П'!I95</f>
        <v>0</v>
      </c>
      <c r="J95" s="840">
        <f>'d3'!J95-'d3-П'!J95</f>
        <v>0</v>
      </c>
      <c r="K95" s="840">
        <f>'d3'!K95-'d3-П'!K95</f>
        <v>0</v>
      </c>
      <c r="L95" s="840">
        <f>'d3'!L95-'d3-П'!L95</f>
        <v>0</v>
      </c>
      <c r="M95" s="840">
        <f>'d3'!M95-'d3-П'!M95</f>
        <v>0</v>
      </c>
      <c r="N95" s="840">
        <f>'d3'!N95-'d3-П'!N95</f>
        <v>0</v>
      </c>
      <c r="O95" s="840">
        <f>'d3'!O95-'d3-П'!O95</f>
        <v>0</v>
      </c>
      <c r="P95" s="840">
        <f>'d3'!P95-'d3-П'!P95</f>
        <v>0</v>
      </c>
    </row>
    <row r="96" spans="1:16" ht="138.75" thickTop="1" thickBot="1" x14ac:dyDescent="0.25">
      <c r="A96" s="843" t="s">
        <v>238</v>
      </c>
      <c r="B96" s="843" t="s">
        <v>239</v>
      </c>
      <c r="C96" s="843" t="s">
        <v>240</v>
      </c>
      <c r="D96" s="843" t="s">
        <v>371</v>
      </c>
      <c r="E96" s="840">
        <f>'d3'!E96-'d3-П'!E96</f>
        <v>-1346000</v>
      </c>
      <c r="F96" s="840">
        <f>'d3'!F96-'d3-П'!F96</f>
        <v>-1346000</v>
      </c>
      <c r="G96" s="840">
        <f>'d3'!G96-'d3-П'!G96</f>
        <v>0</v>
      </c>
      <c r="H96" s="840">
        <f>'d3'!H96-'d3-П'!H96</f>
        <v>0</v>
      </c>
      <c r="I96" s="840">
        <f>'d3'!I96-'d3-П'!I96</f>
        <v>0</v>
      </c>
      <c r="J96" s="840">
        <f>'d3'!J96-'d3-П'!J96</f>
        <v>0</v>
      </c>
      <c r="K96" s="840">
        <f>'d3'!K96-'d3-П'!K96</f>
        <v>0</v>
      </c>
      <c r="L96" s="840">
        <f>'d3'!L96-'d3-П'!L96</f>
        <v>0</v>
      </c>
      <c r="M96" s="840">
        <f>'d3'!M96-'d3-П'!M96</f>
        <v>0</v>
      </c>
      <c r="N96" s="840">
        <f>'d3'!N96-'d3-П'!N96</f>
        <v>0</v>
      </c>
      <c r="O96" s="840">
        <f>'d3'!O96-'d3-П'!O96</f>
        <v>0</v>
      </c>
      <c r="P96" s="840">
        <f>'d3'!P96-'d3-П'!P96</f>
        <v>-1346000</v>
      </c>
    </row>
    <row r="97" spans="1:16" ht="93" thickTop="1" thickBot="1" x14ac:dyDescent="0.25">
      <c r="A97" s="843" t="s">
        <v>241</v>
      </c>
      <c r="B97" s="843" t="s">
        <v>242</v>
      </c>
      <c r="C97" s="843" t="s">
        <v>243</v>
      </c>
      <c r="D97" s="843" t="s">
        <v>244</v>
      </c>
      <c r="E97" s="840">
        <f>'d3'!E97-'d3-П'!E97</f>
        <v>0</v>
      </c>
      <c r="F97" s="840">
        <f>'d3'!F97-'d3-П'!F97</f>
        <v>0</v>
      </c>
      <c r="G97" s="840">
        <f>'d3'!G97-'d3-П'!G97</f>
        <v>0</v>
      </c>
      <c r="H97" s="840">
        <f>'d3'!H97-'d3-П'!H97</f>
        <v>0</v>
      </c>
      <c r="I97" s="840">
        <f>'d3'!I97-'d3-П'!I97</f>
        <v>0</v>
      </c>
      <c r="J97" s="840">
        <f>'d3'!J97-'d3-П'!J97</f>
        <v>0</v>
      </c>
      <c r="K97" s="840">
        <f>'d3'!K97-'d3-П'!K97</f>
        <v>0</v>
      </c>
      <c r="L97" s="840">
        <f>'d3'!L97-'d3-П'!L97</f>
        <v>0</v>
      </c>
      <c r="M97" s="840">
        <f>'d3'!M97-'d3-П'!M97</f>
        <v>0</v>
      </c>
      <c r="N97" s="840">
        <f>'d3'!N97-'d3-П'!N97</f>
        <v>0</v>
      </c>
      <c r="O97" s="840">
        <f>'d3'!O97-'d3-П'!O97</f>
        <v>0</v>
      </c>
      <c r="P97" s="840">
        <f>'d3'!P97-'d3-П'!P97</f>
        <v>0</v>
      </c>
    </row>
    <row r="98" spans="1:16" ht="93" thickTop="1" thickBot="1" x14ac:dyDescent="0.25">
      <c r="A98" s="345" t="s">
        <v>873</v>
      </c>
      <c r="B98" s="345" t="s">
        <v>874</v>
      </c>
      <c r="C98" s="345"/>
      <c r="D98" s="345" t="s">
        <v>875</v>
      </c>
      <c r="E98" s="840">
        <f>'d3'!E98-'d3-П'!E98</f>
        <v>0</v>
      </c>
      <c r="F98" s="840">
        <f>'d3'!F98-'d3-П'!F98</f>
        <v>0</v>
      </c>
      <c r="G98" s="840">
        <f>'d3'!G98-'d3-П'!G98</f>
        <v>0</v>
      </c>
      <c r="H98" s="840">
        <f>'d3'!H98-'d3-П'!H98</f>
        <v>0</v>
      </c>
      <c r="I98" s="840">
        <f>'d3'!I98-'d3-П'!I98</f>
        <v>0</v>
      </c>
      <c r="J98" s="840">
        <f>'d3'!J98-'d3-П'!J98</f>
        <v>0</v>
      </c>
      <c r="K98" s="840">
        <f>'d3'!K98-'d3-П'!K98</f>
        <v>0</v>
      </c>
      <c r="L98" s="840">
        <f>'d3'!L98-'d3-П'!L98</f>
        <v>0</v>
      </c>
      <c r="M98" s="840">
        <f>'d3'!M98-'d3-П'!M98</f>
        <v>0</v>
      </c>
      <c r="N98" s="840">
        <f>'d3'!N98-'d3-П'!N98</f>
        <v>0</v>
      </c>
      <c r="O98" s="840">
        <f>'d3'!O98-'d3-П'!O98</f>
        <v>0</v>
      </c>
      <c r="P98" s="840">
        <f>'d3'!P98-'d3-П'!P98</f>
        <v>0</v>
      </c>
    </row>
    <row r="99" spans="1:16" ht="184.5" thickTop="1" thickBot="1" x14ac:dyDescent="0.25">
      <c r="A99" s="843" t="s">
        <v>245</v>
      </c>
      <c r="B99" s="843" t="s">
        <v>246</v>
      </c>
      <c r="C99" s="843" t="s">
        <v>372</v>
      </c>
      <c r="D99" s="843" t="s">
        <v>247</v>
      </c>
      <c r="E99" s="840">
        <f>'d3'!E99-'d3-П'!E99</f>
        <v>0</v>
      </c>
      <c r="F99" s="840">
        <f>'d3'!F99-'d3-П'!F99</f>
        <v>0</v>
      </c>
      <c r="G99" s="840">
        <f>'d3'!G99-'d3-П'!G99</f>
        <v>0</v>
      </c>
      <c r="H99" s="840">
        <f>'d3'!H99-'d3-П'!H99</f>
        <v>0</v>
      </c>
      <c r="I99" s="840">
        <f>'d3'!I99-'d3-П'!I99</f>
        <v>0</v>
      </c>
      <c r="J99" s="840">
        <f>'d3'!J99-'d3-П'!J99</f>
        <v>0</v>
      </c>
      <c r="K99" s="840">
        <f>'d3'!K99-'d3-П'!K99</f>
        <v>0</v>
      </c>
      <c r="L99" s="840">
        <f>'d3'!L99-'d3-П'!L99</f>
        <v>0</v>
      </c>
      <c r="M99" s="840">
        <f>'d3'!M99-'d3-П'!M99</f>
        <v>0</v>
      </c>
      <c r="N99" s="840">
        <f>'d3'!N99-'d3-П'!N99</f>
        <v>0</v>
      </c>
      <c r="O99" s="840">
        <f>'d3'!O99-'d3-П'!O99</f>
        <v>0</v>
      </c>
      <c r="P99" s="840">
        <f>'d3'!P99-'d3-П'!P99</f>
        <v>0</v>
      </c>
    </row>
    <row r="100" spans="1:16" ht="138.75" thickTop="1" thickBot="1" x14ac:dyDescent="0.25">
      <c r="A100" s="345" t="s">
        <v>876</v>
      </c>
      <c r="B100" s="345" t="s">
        <v>877</v>
      </c>
      <c r="C100" s="345"/>
      <c r="D100" s="345" t="s">
        <v>878</v>
      </c>
      <c r="E100" s="840">
        <f>'d3'!E100-'d3-П'!E100</f>
        <v>0</v>
      </c>
      <c r="F100" s="840">
        <f>'d3'!F100-'d3-П'!F100</f>
        <v>0</v>
      </c>
      <c r="G100" s="840">
        <f>'d3'!G100-'d3-П'!G100</f>
        <v>0</v>
      </c>
      <c r="H100" s="840">
        <f>'d3'!H100-'d3-П'!H100</f>
        <v>0</v>
      </c>
      <c r="I100" s="840">
        <f>'d3'!I100-'d3-П'!I100</f>
        <v>0</v>
      </c>
      <c r="J100" s="840">
        <f>'d3'!J100-'d3-П'!J100</f>
        <v>0</v>
      </c>
      <c r="K100" s="840">
        <f>'d3'!K100-'d3-П'!K100</f>
        <v>0</v>
      </c>
      <c r="L100" s="840">
        <f>'d3'!L100-'d3-П'!L100</f>
        <v>0</v>
      </c>
      <c r="M100" s="840">
        <f>'d3'!M100-'d3-П'!M100</f>
        <v>0</v>
      </c>
      <c r="N100" s="840">
        <f>'d3'!N100-'d3-П'!N100</f>
        <v>0</v>
      </c>
      <c r="O100" s="840">
        <f>'d3'!O100-'d3-П'!O100</f>
        <v>0</v>
      </c>
      <c r="P100" s="840">
        <f>'d3'!P100-'d3-П'!P100</f>
        <v>0</v>
      </c>
    </row>
    <row r="101" spans="1:16" ht="138.75" thickTop="1" thickBot="1" x14ac:dyDescent="0.25">
      <c r="A101" s="843" t="s">
        <v>519</v>
      </c>
      <c r="B101" s="843" t="s">
        <v>520</v>
      </c>
      <c r="C101" s="843" t="s">
        <v>248</v>
      </c>
      <c r="D101" s="843" t="s">
        <v>521</v>
      </c>
      <c r="E101" s="840">
        <f>'d3'!E101-'d3-П'!E101</f>
        <v>0</v>
      </c>
      <c r="F101" s="840">
        <f>'d3'!F101-'d3-П'!F101</f>
        <v>0</v>
      </c>
      <c r="G101" s="840">
        <f>'d3'!G101-'d3-П'!G101</f>
        <v>0</v>
      </c>
      <c r="H101" s="840">
        <f>'d3'!H101-'d3-П'!H101</f>
        <v>0</v>
      </c>
      <c r="I101" s="840">
        <f>'d3'!I101-'d3-П'!I101</f>
        <v>0</v>
      </c>
      <c r="J101" s="840">
        <f>'d3'!J101-'d3-П'!J101</f>
        <v>0</v>
      </c>
      <c r="K101" s="840">
        <f>'d3'!K101-'d3-П'!K101</f>
        <v>0</v>
      </c>
      <c r="L101" s="840">
        <f>'d3'!L101-'d3-П'!L101</f>
        <v>0</v>
      </c>
      <c r="M101" s="840">
        <f>'d3'!M101-'d3-П'!M101</f>
        <v>0</v>
      </c>
      <c r="N101" s="840">
        <f>'d3'!N101-'d3-П'!N101</f>
        <v>0</v>
      </c>
      <c r="O101" s="840">
        <f>'d3'!O101-'d3-П'!O101</f>
        <v>0</v>
      </c>
      <c r="P101" s="840">
        <f>'d3'!P101-'d3-П'!P101</f>
        <v>0</v>
      </c>
    </row>
    <row r="102" spans="1:16" ht="138.75" thickTop="1" thickBot="1" x14ac:dyDescent="0.25">
      <c r="A102" s="345" t="s">
        <v>879</v>
      </c>
      <c r="B102" s="345" t="s">
        <v>880</v>
      </c>
      <c r="C102" s="345"/>
      <c r="D102" s="345" t="s">
        <v>881</v>
      </c>
      <c r="E102" s="840">
        <f>'d3'!E102-'d3-П'!E102</f>
        <v>140000</v>
      </c>
      <c r="F102" s="840">
        <f>'d3'!F102-'d3-П'!F102</f>
        <v>140000</v>
      </c>
      <c r="G102" s="840">
        <f>'d3'!G102-'d3-П'!G102</f>
        <v>0</v>
      </c>
      <c r="H102" s="840">
        <f>'d3'!H102-'d3-П'!H102</f>
        <v>20000</v>
      </c>
      <c r="I102" s="840">
        <f>'d3'!I102-'d3-П'!I102</f>
        <v>0</v>
      </c>
      <c r="J102" s="840">
        <f>'d3'!J102-'d3-П'!J102</f>
        <v>-5600</v>
      </c>
      <c r="K102" s="840">
        <f>'d3'!K102-'d3-П'!K102</f>
        <v>-5600</v>
      </c>
      <c r="L102" s="840">
        <f>'d3'!L102-'d3-П'!L102</f>
        <v>0</v>
      </c>
      <c r="M102" s="840">
        <f>'d3'!M102-'d3-П'!M102</f>
        <v>0</v>
      </c>
      <c r="N102" s="840">
        <f>'d3'!N102-'d3-П'!N102</f>
        <v>0</v>
      </c>
      <c r="O102" s="840">
        <f>'d3'!O102-'d3-П'!O102</f>
        <v>-5600</v>
      </c>
      <c r="P102" s="840">
        <f>'d3'!P102-'d3-П'!P102</f>
        <v>134400</v>
      </c>
    </row>
    <row r="103" spans="1:16" s="39" customFormat="1" ht="138.75" thickTop="1" thickBot="1" x14ac:dyDescent="0.25">
      <c r="A103" s="843" t="s">
        <v>346</v>
      </c>
      <c r="B103" s="843" t="s">
        <v>348</v>
      </c>
      <c r="C103" s="843" t="s">
        <v>248</v>
      </c>
      <c r="D103" s="321" t="s">
        <v>344</v>
      </c>
      <c r="E103" s="840">
        <f>'d3'!E103-'d3-П'!E103</f>
        <v>0</v>
      </c>
      <c r="F103" s="840">
        <f>'d3'!F103-'d3-П'!F103</f>
        <v>0</v>
      </c>
      <c r="G103" s="840">
        <f>'d3'!G103-'d3-П'!G103</f>
        <v>0</v>
      </c>
      <c r="H103" s="840">
        <f>'d3'!H103-'d3-П'!H103</f>
        <v>20000</v>
      </c>
      <c r="I103" s="840">
        <f>'d3'!I103-'d3-П'!I103</f>
        <v>0</v>
      </c>
      <c r="J103" s="840">
        <f>'d3'!J103-'d3-П'!J103</f>
        <v>-5600</v>
      </c>
      <c r="K103" s="840">
        <f>'d3'!K103-'d3-П'!K103</f>
        <v>-5600</v>
      </c>
      <c r="L103" s="840">
        <f>'d3'!L103-'d3-П'!L103</f>
        <v>0</v>
      </c>
      <c r="M103" s="840">
        <f>'d3'!M103-'d3-П'!M103</f>
        <v>0</v>
      </c>
      <c r="N103" s="840">
        <f>'d3'!N103-'d3-П'!N103</f>
        <v>0</v>
      </c>
      <c r="O103" s="840">
        <f>'d3'!O103-'d3-П'!O103</f>
        <v>-5600</v>
      </c>
      <c r="P103" s="840">
        <f>'d3'!P103-'d3-П'!P103</f>
        <v>-5600</v>
      </c>
    </row>
    <row r="104" spans="1:16" s="39" customFormat="1" ht="93" thickTop="1" thickBot="1" x14ac:dyDescent="0.25">
      <c r="A104" s="843" t="s">
        <v>347</v>
      </c>
      <c r="B104" s="843" t="s">
        <v>349</v>
      </c>
      <c r="C104" s="843" t="s">
        <v>248</v>
      </c>
      <c r="D104" s="321" t="s">
        <v>345</v>
      </c>
      <c r="E104" s="840">
        <f>'d3'!E104-'d3-П'!E104</f>
        <v>140000</v>
      </c>
      <c r="F104" s="840">
        <f>'d3'!F104-'d3-П'!F104</f>
        <v>140000</v>
      </c>
      <c r="G104" s="840">
        <f>'d3'!G104-'d3-П'!G104</f>
        <v>0</v>
      </c>
      <c r="H104" s="840">
        <f>'d3'!H104-'d3-П'!H104</f>
        <v>0</v>
      </c>
      <c r="I104" s="840">
        <f>'d3'!I104-'d3-П'!I104</f>
        <v>0</v>
      </c>
      <c r="J104" s="840">
        <f>'d3'!J104-'d3-П'!J104</f>
        <v>0</v>
      </c>
      <c r="K104" s="840">
        <f>'d3'!K104-'d3-П'!K104</f>
        <v>0</v>
      </c>
      <c r="L104" s="840">
        <f>'d3'!L104-'d3-П'!L104</f>
        <v>0</v>
      </c>
      <c r="M104" s="840">
        <f>'d3'!M104-'d3-П'!M104</f>
        <v>0</v>
      </c>
      <c r="N104" s="840">
        <f>'d3'!N104-'d3-П'!N104</f>
        <v>0</v>
      </c>
      <c r="O104" s="840">
        <f>'d3'!O104-'d3-П'!O104</f>
        <v>0</v>
      </c>
      <c r="P104" s="840">
        <f>'d3'!P104-'d3-П'!P104</f>
        <v>140000</v>
      </c>
    </row>
    <row r="105" spans="1:16" s="39" customFormat="1" ht="47.25" thickTop="1" thickBot="1" x14ac:dyDescent="0.25">
      <c r="A105" s="422" t="s">
        <v>907</v>
      </c>
      <c r="B105" s="421" t="s">
        <v>905</v>
      </c>
      <c r="C105" s="421"/>
      <c r="D105" s="421" t="s">
        <v>906</v>
      </c>
      <c r="E105" s="840">
        <f>'d3'!E105-'d3-П'!E105</f>
        <v>0</v>
      </c>
      <c r="F105" s="840">
        <f>'d3'!F105-'d3-П'!F105</f>
        <v>0</v>
      </c>
      <c r="G105" s="840">
        <f>'d3'!G105-'d3-П'!G105</f>
        <v>0</v>
      </c>
      <c r="H105" s="840">
        <f>'d3'!H105-'d3-П'!H105</f>
        <v>0</v>
      </c>
      <c r="I105" s="840">
        <f>'d3'!I105-'d3-П'!I105</f>
        <v>0</v>
      </c>
      <c r="J105" s="840">
        <f>'d3'!J105-'d3-П'!J105</f>
        <v>4505200</v>
      </c>
      <c r="K105" s="840">
        <f>'d3'!K105-'d3-П'!K105</f>
        <v>4505200</v>
      </c>
      <c r="L105" s="840">
        <f>'d3'!L105-'d3-П'!L105</f>
        <v>0</v>
      </c>
      <c r="M105" s="840">
        <f>'d3'!M105-'d3-П'!M105</f>
        <v>0</v>
      </c>
      <c r="N105" s="840">
        <f>'d3'!N105-'d3-П'!N105</f>
        <v>0</v>
      </c>
      <c r="O105" s="840">
        <f>'d3'!O105-'d3-П'!O105</f>
        <v>4505200</v>
      </c>
      <c r="P105" s="840">
        <f>'d3'!P105-'d3-П'!P105</f>
        <v>4505200</v>
      </c>
    </row>
    <row r="106" spans="1:16" s="39" customFormat="1" ht="91.5" thickTop="1" thickBot="1" x14ac:dyDescent="0.25">
      <c r="A106" s="379" t="s">
        <v>1392</v>
      </c>
      <c r="B106" s="379" t="s">
        <v>961</v>
      </c>
      <c r="C106" s="379"/>
      <c r="D106" s="379" t="s">
        <v>962</v>
      </c>
      <c r="E106" s="840">
        <f>'d3'!E106-'d3-П'!E106</f>
        <v>0</v>
      </c>
      <c r="F106" s="840">
        <f>'d3'!F106-'d3-П'!F106</f>
        <v>0</v>
      </c>
      <c r="G106" s="840">
        <f>'d3'!G106-'d3-П'!G106</f>
        <v>0</v>
      </c>
      <c r="H106" s="840">
        <f>'d3'!H106-'d3-П'!H106</f>
        <v>0</v>
      </c>
      <c r="I106" s="840">
        <f>'d3'!I106-'d3-П'!I106</f>
        <v>0</v>
      </c>
      <c r="J106" s="840">
        <f>'d3'!J106-'d3-П'!J106</f>
        <v>1200000</v>
      </c>
      <c r="K106" s="840">
        <f>'d3'!K106-'d3-П'!K106</f>
        <v>1200000</v>
      </c>
      <c r="L106" s="840">
        <f>'d3'!L106-'d3-П'!L106</f>
        <v>0</v>
      </c>
      <c r="M106" s="840">
        <f>'d3'!M106-'d3-П'!M106</f>
        <v>0</v>
      </c>
      <c r="N106" s="840">
        <f>'d3'!N106-'d3-П'!N106</f>
        <v>0</v>
      </c>
      <c r="O106" s="840">
        <f>'d3'!O106-'d3-П'!O106</f>
        <v>1200000</v>
      </c>
      <c r="P106" s="840">
        <f>'d3'!P106-'d3-П'!P106</f>
        <v>1200000</v>
      </c>
    </row>
    <row r="107" spans="1:16" s="39" customFormat="1" ht="93" thickTop="1" thickBot="1" x14ac:dyDescent="0.25">
      <c r="A107" s="345" t="s">
        <v>1393</v>
      </c>
      <c r="B107" s="345" t="s">
        <v>1391</v>
      </c>
      <c r="C107" s="345"/>
      <c r="D107" s="345" t="s">
        <v>1390</v>
      </c>
      <c r="E107" s="840">
        <f>'d3'!E107-'d3-П'!E107</f>
        <v>0</v>
      </c>
      <c r="F107" s="840">
        <f>'d3'!F107-'d3-П'!F107</f>
        <v>0</v>
      </c>
      <c r="G107" s="840">
        <f>'d3'!G107-'d3-П'!G107</f>
        <v>0</v>
      </c>
      <c r="H107" s="840">
        <f>'d3'!H107-'d3-П'!H107</f>
        <v>0</v>
      </c>
      <c r="I107" s="840">
        <f>'d3'!I107-'d3-П'!I107</f>
        <v>0</v>
      </c>
      <c r="J107" s="840">
        <f>'d3'!J107-'d3-П'!J107</f>
        <v>1200000</v>
      </c>
      <c r="K107" s="840">
        <f>'d3'!K107-'d3-П'!K107</f>
        <v>1200000</v>
      </c>
      <c r="L107" s="840">
        <f>'d3'!L107-'d3-П'!L107</f>
        <v>0</v>
      </c>
      <c r="M107" s="840">
        <f>'d3'!M107-'d3-П'!M107</f>
        <v>0</v>
      </c>
      <c r="N107" s="840">
        <f>'d3'!N107-'d3-П'!N107</f>
        <v>0</v>
      </c>
      <c r="O107" s="840">
        <f>'d3'!O107-'d3-П'!O107</f>
        <v>1200000</v>
      </c>
      <c r="P107" s="840">
        <f>'d3'!P107-'d3-П'!P107</f>
        <v>1200000</v>
      </c>
    </row>
    <row r="108" spans="1:16" s="39" customFormat="1" ht="230.25" thickTop="1" thickBot="1" x14ac:dyDescent="0.25">
      <c r="A108" s="843" t="s">
        <v>1394</v>
      </c>
      <c r="B108" s="843" t="s">
        <v>1395</v>
      </c>
      <c r="C108" s="843" t="s">
        <v>184</v>
      </c>
      <c r="D108" s="843" t="s">
        <v>1396</v>
      </c>
      <c r="E108" s="840">
        <f>'d3'!E108-'d3-П'!E108</f>
        <v>0</v>
      </c>
      <c r="F108" s="840">
        <f>'d3'!F108-'d3-П'!F108</f>
        <v>0</v>
      </c>
      <c r="G108" s="840">
        <f>'d3'!G108-'d3-П'!G108</f>
        <v>0</v>
      </c>
      <c r="H108" s="840">
        <f>'d3'!H108-'d3-П'!H108</f>
        <v>0</v>
      </c>
      <c r="I108" s="840">
        <f>'d3'!I108-'d3-П'!I108</f>
        <v>0</v>
      </c>
      <c r="J108" s="840">
        <f>'d3'!J108-'d3-П'!J108</f>
        <v>1200000</v>
      </c>
      <c r="K108" s="840">
        <f>'d3'!K108-'d3-П'!K108</f>
        <v>1200000</v>
      </c>
      <c r="L108" s="840">
        <f>'d3'!L108-'d3-П'!L108</f>
        <v>0</v>
      </c>
      <c r="M108" s="840">
        <f>'d3'!M108-'d3-П'!M108</f>
        <v>0</v>
      </c>
      <c r="N108" s="840">
        <f>'d3'!N108-'d3-П'!N108</f>
        <v>0</v>
      </c>
      <c r="O108" s="840">
        <f>'d3'!O108-'d3-П'!O108</f>
        <v>1200000</v>
      </c>
      <c r="P108" s="840">
        <f>'d3'!P108-'d3-П'!P108</f>
        <v>1200000</v>
      </c>
    </row>
    <row r="109" spans="1:16" s="377" customFormat="1" ht="136.5" thickTop="1" thickBot="1" x14ac:dyDescent="0.25">
      <c r="A109" s="379" t="s">
        <v>882</v>
      </c>
      <c r="B109" s="379" t="s">
        <v>847</v>
      </c>
      <c r="C109" s="379"/>
      <c r="D109" s="379" t="s">
        <v>845</v>
      </c>
      <c r="E109" s="840">
        <f>'d3'!E109-'d3-П'!E109</f>
        <v>0</v>
      </c>
      <c r="F109" s="840">
        <f>'d3'!F109-'d3-П'!F109</f>
        <v>0</v>
      </c>
      <c r="G109" s="840">
        <f>'d3'!G109-'d3-П'!G109</f>
        <v>0</v>
      </c>
      <c r="H109" s="840">
        <f>'d3'!H109-'d3-П'!H109</f>
        <v>0</v>
      </c>
      <c r="I109" s="840">
        <f>'d3'!I109-'d3-П'!I109</f>
        <v>0</v>
      </c>
      <c r="J109" s="840">
        <f>'d3'!J109-'d3-П'!J109</f>
        <v>3305200</v>
      </c>
      <c r="K109" s="840">
        <f>'d3'!K109-'d3-П'!K109</f>
        <v>3305200</v>
      </c>
      <c r="L109" s="840">
        <f>'d3'!L109-'d3-П'!L109</f>
        <v>0</v>
      </c>
      <c r="M109" s="840">
        <f>'d3'!M109-'d3-П'!M109</f>
        <v>0</v>
      </c>
      <c r="N109" s="840">
        <f>'d3'!N109-'d3-П'!N109</f>
        <v>0</v>
      </c>
      <c r="O109" s="840">
        <f>'d3'!O109-'d3-П'!O109</f>
        <v>3305200</v>
      </c>
      <c r="P109" s="840">
        <f>'d3'!P109-'d3-П'!P109</f>
        <v>3305200</v>
      </c>
    </row>
    <row r="110" spans="1:16" s="39" customFormat="1" ht="93" thickTop="1" thickBot="1" x14ac:dyDescent="0.25">
      <c r="A110" s="843" t="s">
        <v>466</v>
      </c>
      <c r="B110" s="843" t="s">
        <v>215</v>
      </c>
      <c r="C110" s="843" t="s">
        <v>184</v>
      </c>
      <c r="D110" s="843" t="s">
        <v>36</v>
      </c>
      <c r="E110" s="840">
        <f>'d3'!E110-'d3-П'!E110</f>
        <v>0</v>
      </c>
      <c r="F110" s="840">
        <f>'d3'!F110-'d3-П'!F110</f>
        <v>0</v>
      </c>
      <c r="G110" s="840">
        <f>'d3'!G110-'d3-П'!G110</f>
        <v>0</v>
      </c>
      <c r="H110" s="840">
        <f>'d3'!H110-'d3-П'!H110</f>
        <v>0</v>
      </c>
      <c r="I110" s="840">
        <f>'d3'!I110-'d3-П'!I110</f>
        <v>0</v>
      </c>
      <c r="J110" s="840">
        <f>'d3'!J110-'d3-П'!J110</f>
        <v>3305200</v>
      </c>
      <c r="K110" s="840">
        <f>'d3'!K110-'d3-П'!K110</f>
        <v>3305200</v>
      </c>
      <c r="L110" s="840">
        <f>'d3'!L110-'d3-П'!L110</f>
        <v>0</v>
      </c>
      <c r="M110" s="840">
        <f>'d3'!M110-'d3-П'!M110</f>
        <v>0</v>
      </c>
      <c r="N110" s="840">
        <f>'d3'!N110-'d3-П'!N110</f>
        <v>0</v>
      </c>
      <c r="O110" s="840">
        <f>'d3'!O110-'d3-П'!O110</f>
        <v>3305200</v>
      </c>
      <c r="P110" s="840">
        <f>'d3'!P110-'d3-П'!P110</f>
        <v>3305200</v>
      </c>
    </row>
    <row r="111" spans="1:16" s="39" customFormat="1" ht="93" hidden="1" thickTop="1" thickBot="1" x14ac:dyDescent="0.25">
      <c r="A111" s="820" t="s">
        <v>556</v>
      </c>
      <c r="B111" s="820" t="s">
        <v>389</v>
      </c>
      <c r="C111" s="820" t="s">
        <v>45</v>
      </c>
      <c r="D111" s="820" t="s">
        <v>390</v>
      </c>
      <c r="E111" s="821">
        <f t="shared" ref="E111" si="14">F111</f>
        <v>0</v>
      </c>
      <c r="F111" s="822"/>
      <c r="G111" s="822"/>
      <c r="H111" s="822"/>
      <c r="I111" s="822"/>
      <c r="J111" s="821">
        <f t="shared" ref="J111" si="15">L111+O111</f>
        <v>0</v>
      </c>
      <c r="K111" s="822"/>
      <c r="L111" s="822"/>
      <c r="M111" s="822"/>
      <c r="N111" s="822"/>
      <c r="O111" s="823">
        <f t="shared" ref="O111" si="16">K111</f>
        <v>0</v>
      </c>
      <c r="P111" s="821">
        <f t="shared" si="13"/>
        <v>0</v>
      </c>
    </row>
    <row r="112" spans="1:16" ht="226.5" thickTop="1" thickBot="1" x14ac:dyDescent="0.25">
      <c r="A112" s="825" t="s">
        <v>170</v>
      </c>
      <c r="B112" s="825"/>
      <c r="C112" s="825"/>
      <c r="D112" s="826" t="s">
        <v>39</v>
      </c>
      <c r="E112" s="827">
        <f>E113</f>
        <v>3954540</v>
      </c>
      <c r="F112" s="828">
        <f t="shared" ref="F112:G112" si="17">F113</f>
        <v>3954540</v>
      </c>
      <c r="G112" s="828">
        <f t="shared" si="17"/>
        <v>74000</v>
      </c>
      <c r="H112" s="828">
        <f>H113</f>
        <v>181700</v>
      </c>
      <c r="I112" s="828">
        <f t="shared" ref="I112" si="18">I113</f>
        <v>0</v>
      </c>
      <c r="J112" s="827">
        <f>J113</f>
        <v>-406956</v>
      </c>
      <c r="K112" s="828">
        <f>K113</f>
        <v>-406956</v>
      </c>
      <c r="L112" s="828">
        <f>L113</f>
        <v>0</v>
      </c>
      <c r="M112" s="828">
        <f t="shared" ref="M112" si="19">M113</f>
        <v>0</v>
      </c>
      <c r="N112" s="828">
        <f>N113</f>
        <v>0</v>
      </c>
      <c r="O112" s="827">
        <f>O113</f>
        <v>-406956</v>
      </c>
      <c r="P112" s="828">
        <f>P113</f>
        <v>3547584</v>
      </c>
    </row>
    <row r="113" spans="1:16" ht="226.5" thickTop="1" thickBot="1" x14ac:dyDescent="0.25">
      <c r="A113" s="829" t="s">
        <v>171</v>
      </c>
      <c r="B113" s="829"/>
      <c r="C113" s="829"/>
      <c r="D113" s="830" t="s">
        <v>40</v>
      </c>
      <c r="E113" s="831">
        <f>E114+E118+E157+E161</f>
        <v>3954540</v>
      </c>
      <c r="F113" s="831">
        <f>F114+F118+F157+F161</f>
        <v>3954540</v>
      </c>
      <c r="G113" s="831">
        <f>G114+G118+G157+G161</f>
        <v>74000</v>
      </c>
      <c r="H113" s="831">
        <f>H114+H118+H157+H161</f>
        <v>181700</v>
      </c>
      <c r="I113" s="831">
        <f>I114+I118+I157+I161</f>
        <v>0</v>
      </c>
      <c r="J113" s="831">
        <f t="shared" ref="J113" si="20">L113+O113</f>
        <v>-406956</v>
      </c>
      <c r="K113" s="831">
        <f>K114+K118+K157+K161</f>
        <v>-406956</v>
      </c>
      <c r="L113" s="831">
        <f>L114+L118+L157+L161</f>
        <v>0</v>
      </c>
      <c r="M113" s="831">
        <f>M114+M118+M157+M161</f>
        <v>0</v>
      </c>
      <c r="N113" s="831">
        <f>N114+N118+N157+N161</f>
        <v>0</v>
      </c>
      <c r="O113" s="831">
        <f>O114+O118+O157+O161</f>
        <v>-406956</v>
      </c>
      <c r="P113" s="831">
        <f>E113+J113</f>
        <v>3547584</v>
      </c>
    </row>
    <row r="114" spans="1:16" ht="47.25" thickTop="1" thickBot="1" x14ac:dyDescent="0.25">
      <c r="A114" s="422" t="s">
        <v>884</v>
      </c>
      <c r="B114" s="422" t="s">
        <v>840</v>
      </c>
      <c r="C114" s="422"/>
      <c r="D114" s="422" t="s">
        <v>841</v>
      </c>
      <c r="E114" s="840">
        <f>'d3'!E114-'d3-П'!E114</f>
        <v>-87000</v>
      </c>
      <c r="F114" s="840">
        <f>'d3'!F114-'d3-П'!F114</f>
        <v>-87000</v>
      </c>
      <c r="G114" s="840">
        <f>'d3'!G114-'d3-П'!G114</f>
        <v>74000</v>
      </c>
      <c r="H114" s="840">
        <f>'d3'!H114-'d3-П'!H114</f>
        <v>49000</v>
      </c>
      <c r="I114" s="840">
        <f>'d3'!I114-'d3-П'!I114</f>
        <v>0</v>
      </c>
      <c r="J114" s="840">
        <f>'d3'!J114-'d3-П'!J114</f>
        <v>-30000</v>
      </c>
      <c r="K114" s="840">
        <f>'d3'!K114-'d3-П'!K114</f>
        <v>-30000</v>
      </c>
      <c r="L114" s="840">
        <f>'d3'!L114-'d3-П'!L114</f>
        <v>0</v>
      </c>
      <c r="M114" s="840">
        <f>'d3'!M114-'d3-П'!M114</f>
        <v>0</v>
      </c>
      <c r="N114" s="840">
        <f>'d3'!N114-'d3-П'!N114</f>
        <v>0</v>
      </c>
      <c r="O114" s="840">
        <f>'d3'!O114-'d3-П'!O114</f>
        <v>-30000</v>
      </c>
      <c r="P114" s="840">
        <f>'d3'!P114-'d3-П'!P114</f>
        <v>-117000</v>
      </c>
    </row>
    <row r="115" spans="1:16" ht="230.25" thickTop="1" thickBot="1" x14ac:dyDescent="0.25">
      <c r="A115" s="843" t="s">
        <v>443</v>
      </c>
      <c r="B115" s="843" t="s">
        <v>254</v>
      </c>
      <c r="C115" s="843" t="s">
        <v>252</v>
      </c>
      <c r="D115" s="843" t="s">
        <v>253</v>
      </c>
      <c r="E115" s="840">
        <f>'d3'!E115-'d3-П'!E115</f>
        <v>-87000</v>
      </c>
      <c r="F115" s="840">
        <f>'d3'!F115-'d3-П'!F115</f>
        <v>-87000</v>
      </c>
      <c r="G115" s="840">
        <f>'d3'!G115-'d3-П'!G115</f>
        <v>74000</v>
      </c>
      <c r="H115" s="840">
        <f>'d3'!H115-'d3-П'!H115</f>
        <v>49000</v>
      </c>
      <c r="I115" s="840">
        <f>'d3'!I115-'d3-П'!I115</f>
        <v>0</v>
      </c>
      <c r="J115" s="840">
        <f>'d3'!J115-'d3-П'!J115</f>
        <v>-30000</v>
      </c>
      <c r="K115" s="840">
        <f>'d3'!K115-'d3-П'!K115</f>
        <v>-30000</v>
      </c>
      <c r="L115" s="840">
        <f>'d3'!L115-'d3-П'!L115</f>
        <v>0</v>
      </c>
      <c r="M115" s="840">
        <f>'d3'!M115-'d3-П'!M115</f>
        <v>0</v>
      </c>
      <c r="N115" s="840">
        <f>'d3'!N115-'d3-П'!N115</f>
        <v>0</v>
      </c>
      <c r="O115" s="840">
        <f>'d3'!O115-'d3-П'!O115</f>
        <v>-30000</v>
      </c>
      <c r="P115" s="840">
        <f>'d3'!P115-'d3-П'!P115</f>
        <v>-117000</v>
      </c>
    </row>
    <row r="116" spans="1:16" ht="184.5" thickTop="1" thickBot="1" x14ac:dyDescent="0.25">
      <c r="A116" s="843" t="s">
        <v>783</v>
      </c>
      <c r="B116" s="843" t="s">
        <v>388</v>
      </c>
      <c r="C116" s="843" t="s">
        <v>775</v>
      </c>
      <c r="D116" s="843" t="s">
        <v>776</v>
      </c>
      <c r="E116" s="840">
        <f>'d3'!E116-'d3-П'!E116</f>
        <v>0</v>
      </c>
      <c r="F116" s="840">
        <f>'d3'!F116-'d3-П'!F116</f>
        <v>0</v>
      </c>
      <c r="G116" s="840">
        <f>'d3'!G116-'d3-П'!G116</f>
        <v>0</v>
      </c>
      <c r="H116" s="840">
        <f>'d3'!H116-'d3-П'!H116</f>
        <v>0</v>
      </c>
      <c r="I116" s="840">
        <f>'d3'!I116-'d3-П'!I116</f>
        <v>0</v>
      </c>
      <c r="J116" s="840">
        <f>'d3'!J116-'d3-П'!J116</f>
        <v>0</v>
      </c>
      <c r="K116" s="840">
        <f>'d3'!K116-'d3-П'!K116</f>
        <v>0</v>
      </c>
      <c r="L116" s="840">
        <f>'d3'!L116-'d3-П'!L116</f>
        <v>0</v>
      </c>
      <c r="M116" s="840">
        <f>'d3'!M116-'d3-П'!M116</f>
        <v>0</v>
      </c>
      <c r="N116" s="840">
        <f>'d3'!N116-'d3-П'!N116</f>
        <v>0</v>
      </c>
      <c r="O116" s="840">
        <f>'d3'!O116-'d3-П'!O116</f>
        <v>0</v>
      </c>
      <c r="P116" s="840">
        <f>'d3'!P116-'d3-П'!P116</f>
        <v>0</v>
      </c>
    </row>
    <row r="117" spans="1:16" ht="93" thickTop="1" thickBot="1" x14ac:dyDescent="0.25">
      <c r="A117" s="842" t="s">
        <v>1133</v>
      </c>
      <c r="B117" s="842" t="s">
        <v>45</v>
      </c>
      <c r="C117" s="842" t="s">
        <v>44</v>
      </c>
      <c r="D117" s="842" t="s">
        <v>266</v>
      </c>
      <c r="E117" s="840">
        <f>'d3'!E117-'d3-П'!E117</f>
        <v>0</v>
      </c>
      <c r="F117" s="840">
        <f>'d3'!F117-'d3-П'!F117</f>
        <v>0</v>
      </c>
      <c r="G117" s="840">
        <f>'d3'!G117-'d3-П'!G117</f>
        <v>0</v>
      </c>
      <c r="H117" s="840">
        <f>'d3'!H117-'d3-П'!H117</f>
        <v>0</v>
      </c>
      <c r="I117" s="840">
        <f>'d3'!I117-'d3-П'!I117</f>
        <v>0</v>
      </c>
      <c r="J117" s="840">
        <f>'d3'!J117-'d3-П'!J117</f>
        <v>0</v>
      </c>
      <c r="K117" s="840">
        <f>'d3'!K117-'d3-П'!K117</f>
        <v>0</v>
      </c>
      <c r="L117" s="840">
        <f>'d3'!L117-'d3-П'!L117</f>
        <v>0</v>
      </c>
      <c r="M117" s="840">
        <f>'d3'!M117-'d3-П'!M117</f>
        <v>0</v>
      </c>
      <c r="N117" s="840">
        <f>'d3'!N117-'d3-П'!N117</f>
        <v>0</v>
      </c>
      <c r="O117" s="840">
        <f>'d3'!O117-'d3-П'!O117</f>
        <v>0</v>
      </c>
      <c r="P117" s="840">
        <f>'d3'!P117-'d3-П'!P117</f>
        <v>0</v>
      </c>
    </row>
    <row r="118" spans="1:16" ht="91.5" thickTop="1" thickBot="1" x14ac:dyDescent="0.25">
      <c r="A118" s="422" t="s">
        <v>885</v>
      </c>
      <c r="B118" s="422" t="s">
        <v>867</v>
      </c>
      <c r="C118" s="422"/>
      <c r="D118" s="422" t="s">
        <v>868</v>
      </c>
      <c r="E118" s="840">
        <f>'d3'!E118-'d3-П'!E118</f>
        <v>4041540</v>
      </c>
      <c r="F118" s="840">
        <f>'d3'!F118-'d3-П'!F118</f>
        <v>4041540</v>
      </c>
      <c r="G118" s="840">
        <f>'d3'!G118-'d3-П'!G118</f>
        <v>0</v>
      </c>
      <c r="H118" s="840">
        <f>'d3'!H118-'d3-П'!H118</f>
        <v>132700</v>
      </c>
      <c r="I118" s="840">
        <f>'d3'!I118-'d3-П'!I118</f>
        <v>0</v>
      </c>
      <c r="J118" s="840">
        <f>'d3'!J118-'d3-П'!J118</f>
        <v>0</v>
      </c>
      <c r="K118" s="840">
        <f>'d3'!K118-'d3-П'!K118</f>
        <v>0</v>
      </c>
      <c r="L118" s="840">
        <f>'d3'!L118-'d3-П'!L118</f>
        <v>0</v>
      </c>
      <c r="M118" s="840">
        <f>'d3'!M118-'d3-П'!M118</f>
        <v>0</v>
      </c>
      <c r="N118" s="840">
        <f>'d3'!N118-'d3-П'!N118</f>
        <v>0</v>
      </c>
      <c r="O118" s="840">
        <f>'d3'!O118-'d3-П'!O118</f>
        <v>0</v>
      </c>
      <c r="P118" s="840">
        <f>'d3'!P118-'d3-П'!P118</f>
        <v>4041540</v>
      </c>
    </row>
    <row r="119" spans="1:16" s="79" customFormat="1" ht="321.75" thickTop="1" thickBot="1" x14ac:dyDescent="0.25">
      <c r="A119" s="345" t="s">
        <v>886</v>
      </c>
      <c r="B119" s="345" t="s">
        <v>887</v>
      </c>
      <c r="C119" s="345"/>
      <c r="D119" s="345" t="s">
        <v>888</v>
      </c>
      <c r="E119" s="840">
        <f>'d3'!E119-'d3-П'!E119</f>
        <v>3110000</v>
      </c>
      <c r="F119" s="840">
        <f>'d3'!F119-'d3-П'!F119</f>
        <v>3110000</v>
      </c>
      <c r="G119" s="840">
        <f>'d3'!G119-'d3-П'!G119</f>
        <v>0</v>
      </c>
      <c r="H119" s="840">
        <f>'d3'!H119-'d3-П'!H119</f>
        <v>0</v>
      </c>
      <c r="I119" s="840">
        <f>'d3'!I119-'d3-П'!I119</f>
        <v>0</v>
      </c>
      <c r="J119" s="840">
        <f>'d3'!J119-'d3-П'!J119</f>
        <v>0</v>
      </c>
      <c r="K119" s="840">
        <f>'d3'!K119-'d3-П'!K119</f>
        <v>0</v>
      </c>
      <c r="L119" s="840">
        <f>'d3'!L119-'d3-П'!L119</f>
        <v>0</v>
      </c>
      <c r="M119" s="840">
        <f>'d3'!M119-'d3-П'!M119</f>
        <v>0</v>
      </c>
      <c r="N119" s="840">
        <f>'d3'!N119-'d3-П'!N119</f>
        <v>0</v>
      </c>
      <c r="O119" s="840">
        <f>'d3'!O119-'d3-П'!O119</f>
        <v>0</v>
      </c>
      <c r="P119" s="840">
        <f>'d3'!P119-'d3-П'!P119</f>
        <v>3110000</v>
      </c>
    </row>
    <row r="120" spans="1:16" s="39" customFormat="1" ht="138.75" thickTop="1" thickBot="1" x14ac:dyDescent="0.25">
      <c r="A120" s="843" t="s">
        <v>287</v>
      </c>
      <c r="B120" s="843" t="s">
        <v>288</v>
      </c>
      <c r="C120" s="843" t="s">
        <v>223</v>
      </c>
      <c r="D120" s="322" t="s">
        <v>289</v>
      </c>
      <c r="E120" s="840">
        <f>'d3'!E120-'d3-П'!E120</f>
        <v>0</v>
      </c>
      <c r="F120" s="840">
        <f>'d3'!F120-'d3-П'!F120</f>
        <v>0</v>
      </c>
      <c r="G120" s="840">
        <f>'d3'!G120-'d3-П'!G120</f>
        <v>0</v>
      </c>
      <c r="H120" s="840">
        <f>'d3'!H120-'d3-П'!H120</f>
        <v>0</v>
      </c>
      <c r="I120" s="840">
        <f>'d3'!I120-'d3-П'!I120</f>
        <v>0</v>
      </c>
      <c r="J120" s="840">
        <f>'d3'!J120-'d3-П'!J120</f>
        <v>0</v>
      </c>
      <c r="K120" s="840">
        <f>'d3'!K120-'d3-П'!K120</f>
        <v>0</v>
      </c>
      <c r="L120" s="840">
        <f>'d3'!L120-'d3-П'!L120</f>
        <v>0</v>
      </c>
      <c r="M120" s="840">
        <f>'d3'!M120-'d3-П'!M120</f>
        <v>0</v>
      </c>
      <c r="N120" s="840">
        <f>'d3'!N120-'d3-П'!N120</f>
        <v>0</v>
      </c>
      <c r="O120" s="840">
        <f>'d3'!O120-'d3-П'!O120</f>
        <v>0</v>
      </c>
      <c r="P120" s="840">
        <f>'d3'!P120-'d3-П'!P120</f>
        <v>0</v>
      </c>
    </row>
    <row r="121" spans="1:16" s="39" customFormat="1" ht="138.75" thickTop="1" thickBot="1" x14ac:dyDescent="0.25">
      <c r="A121" s="843" t="s">
        <v>290</v>
      </c>
      <c r="B121" s="843" t="s">
        <v>291</v>
      </c>
      <c r="C121" s="843" t="s">
        <v>224</v>
      </c>
      <c r="D121" s="843" t="s">
        <v>6</v>
      </c>
      <c r="E121" s="840">
        <f>'d3'!E121-'d3-П'!E121</f>
        <v>0</v>
      </c>
      <c r="F121" s="840">
        <f>'d3'!F121-'d3-П'!F121</f>
        <v>0</v>
      </c>
      <c r="G121" s="840">
        <f>'d3'!G121-'d3-П'!G121</f>
        <v>0</v>
      </c>
      <c r="H121" s="840">
        <f>'d3'!H121-'d3-П'!H121</f>
        <v>0</v>
      </c>
      <c r="I121" s="840">
        <f>'d3'!I121-'d3-П'!I121</f>
        <v>0</v>
      </c>
      <c r="J121" s="840">
        <f>'d3'!J121-'d3-П'!J121</f>
        <v>0</v>
      </c>
      <c r="K121" s="840">
        <f>'d3'!K121-'d3-П'!K121</f>
        <v>0</v>
      </c>
      <c r="L121" s="840">
        <f>'d3'!L121-'d3-П'!L121</f>
        <v>0</v>
      </c>
      <c r="M121" s="840">
        <f>'d3'!M121-'d3-П'!M121</f>
        <v>0</v>
      </c>
      <c r="N121" s="840">
        <f>'d3'!N121-'d3-П'!N121</f>
        <v>0</v>
      </c>
      <c r="O121" s="840">
        <f>'d3'!O121-'d3-П'!O121</f>
        <v>0</v>
      </c>
      <c r="P121" s="840">
        <f>'d3'!P121-'d3-П'!P121</f>
        <v>0</v>
      </c>
    </row>
    <row r="122" spans="1:16" s="39" customFormat="1" ht="184.5" thickTop="1" thickBot="1" x14ac:dyDescent="0.25">
      <c r="A122" s="843" t="s">
        <v>293</v>
      </c>
      <c r="B122" s="843" t="s">
        <v>294</v>
      </c>
      <c r="C122" s="843" t="s">
        <v>224</v>
      </c>
      <c r="D122" s="843" t="s">
        <v>7</v>
      </c>
      <c r="E122" s="840">
        <f>'d3'!E122-'d3-П'!E122</f>
        <v>0</v>
      </c>
      <c r="F122" s="840">
        <f>'d3'!F122-'d3-П'!F122</f>
        <v>0</v>
      </c>
      <c r="G122" s="840">
        <f>'d3'!G122-'d3-П'!G122</f>
        <v>0</v>
      </c>
      <c r="H122" s="840">
        <f>'d3'!H122-'d3-П'!H122</f>
        <v>0</v>
      </c>
      <c r="I122" s="840">
        <f>'d3'!I122-'d3-П'!I122</f>
        <v>0</v>
      </c>
      <c r="J122" s="840">
        <f>'d3'!J122-'d3-П'!J122</f>
        <v>0</v>
      </c>
      <c r="K122" s="840">
        <f>'d3'!K122-'d3-П'!K122</f>
        <v>0</v>
      </c>
      <c r="L122" s="840">
        <f>'d3'!L122-'d3-П'!L122</f>
        <v>0</v>
      </c>
      <c r="M122" s="840">
        <f>'d3'!M122-'d3-П'!M122</f>
        <v>0</v>
      </c>
      <c r="N122" s="840">
        <f>'d3'!N122-'d3-П'!N122</f>
        <v>0</v>
      </c>
      <c r="O122" s="840">
        <f>'d3'!O122-'d3-П'!O122</f>
        <v>0</v>
      </c>
      <c r="P122" s="840">
        <f>'d3'!P122-'d3-П'!P122</f>
        <v>0</v>
      </c>
    </row>
    <row r="123" spans="1:16" s="39" customFormat="1" ht="184.5" thickTop="1" thickBot="1" x14ac:dyDescent="0.25">
      <c r="A123" s="843" t="s">
        <v>295</v>
      </c>
      <c r="B123" s="843" t="s">
        <v>292</v>
      </c>
      <c r="C123" s="843" t="s">
        <v>224</v>
      </c>
      <c r="D123" s="843" t="s">
        <v>8</v>
      </c>
      <c r="E123" s="840">
        <f>'d3'!E123-'d3-П'!E123</f>
        <v>110000</v>
      </c>
      <c r="F123" s="840">
        <f>'d3'!F123-'d3-П'!F123</f>
        <v>110000</v>
      </c>
      <c r="G123" s="840">
        <f>'d3'!G123-'d3-П'!G123</f>
        <v>0</v>
      </c>
      <c r="H123" s="840">
        <f>'d3'!H123-'d3-П'!H123</f>
        <v>0</v>
      </c>
      <c r="I123" s="840">
        <f>'d3'!I123-'d3-П'!I123</f>
        <v>0</v>
      </c>
      <c r="J123" s="840">
        <f>'d3'!J123-'d3-П'!J123</f>
        <v>0</v>
      </c>
      <c r="K123" s="840">
        <f>'d3'!K123-'d3-П'!K123</f>
        <v>0</v>
      </c>
      <c r="L123" s="840">
        <f>'d3'!L123-'d3-П'!L123</f>
        <v>0</v>
      </c>
      <c r="M123" s="840">
        <f>'d3'!M123-'d3-П'!M123</f>
        <v>0</v>
      </c>
      <c r="N123" s="840">
        <f>'d3'!N123-'d3-П'!N123</f>
        <v>0</v>
      </c>
      <c r="O123" s="840">
        <f>'d3'!O123-'d3-П'!O123</f>
        <v>0</v>
      </c>
      <c r="P123" s="840">
        <f>'d3'!P123-'d3-П'!P123</f>
        <v>110000</v>
      </c>
    </row>
    <row r="124" spans="1:16" s="39" customFormat="1" ht="184.5" thickTop="1" thickBot="1" x14ac:dyDescent="0.25">
      <c r="A124" s="843" t="s">
        <v>296</v>
      </c>
      <c r="B124" s="843" t="s">
        <v>297</v>
      </c>
      <c r="C124" s="843" t="s">
        <v>224</v>
      </c>
      <c r="D124" s="843" t="s">
        <v>9</v>
      </c>
      <c r="E124" s="840">
        <f>'d3'!E124-'d3-П'!E124</f>
        <v>3000000</v>
      </c>
      <c r="F124" s="840">
        <f>'d3'!F124-'d3-П'!F124</f>
        <v>3000000</v>
      </c>
      <c r="G124" s="840">
        <f>'d3'!G124-'d3-П'!G124</f>
        <v>0</v>
      </c>
      <c r="H124" s="840">
        <f>'d3'!H124-'d3-П'!H124</f>
        <v>0</v>
      </c>
      <c r="I124" s="840">
        <f>'d3'!I124-'d3-П'!I124</f>
        <v>0</v>
      </c>
      <c r="J124" s="840">
        <f>'d3'!J124-'d3-П'!J124</f>
        <v>0</v>
      </c>
      <c r="K124" s="840">
        <f>'d3'!K124-'d3-П'!K124</f>
        <v>0</v>
      </c>
      <c r="L124" s="840">
        <f>'d3'!L124-'d3-П'!L124</f>
        <v>0</v>
      </c>
      <c r="M124" s="840">
        <f>'d3'!M124-'d3-П'!M124</f>
        <v>0</v>
      </c>
      <c r="N124" s="840">
        <f>'d3'!N124-'d3-П'!N124</f>
        <v>0</v>
      </c>
      <c r="O124" s="840">
        <f>'d3'!O124-'d3-П'!O124</f>
        <v>0</v>
      </c>
      <c r="P124" s="840">
        <f>'d3'!P124-'d3-П'!P124</f>
        <v>3000000</v>
      </c>
    </row>
    <row r="125" spans="1:16" s="39" customFormat="1" ht="184.5" thickTop="1" thickBot="1" x14ac:dyDescent="0.25">
      <c r="A125" s="843" t="s">
        <v>522</v>
      </c>
      <c r="B125" s="843" t="s">
        <v>523</v>
      </c>
      <c r="C125" s="843" t="s">
        <v>224</v>
      </c>
      <c r="D125" s="843" t="s">
        <v>524</v>
      </c>
      <c r="E125" s="840">
        <f>'d3'!E125-'d3-П'!E125</f>
        <v>0</v>
      </c>
      <c r="F125" s="840">
        <f>'d3'!F125-'d3-П'!F125</f>
        <v>0</v>
      </c>
      <c r="G125" s="840">
        <f>'d3'!G125-'d3-П'!G125</f>
        <v>0</v>
      </c>
      <c r="H125" s="840">
        <f>'d3'!H125-'d3-П'!H125</f>
        <v>0</v>
      </c>
      <c r="I125" s="840">
        <f>'d3'!I125-'d3-П'!I125</f>
        <v>0</v>
      </c>
      <c r="J125" s="840">
        <f>'d3'!J125-'d3-П'!J125</f>
        <v>0</v>
      </c>
      <c r="K125" s="840">
        <f>'d3'!K125-'d3-П'!K125</f>
        <v>0</v>
      </c>
      <c r="L125" s="840">
        <f>'d3'!L125-'d3-П'!L125</f>
        <v>0</v>
      </c>
      <c r="M125" s="840">
        <f>'d3'!M125-'d3-П'!M125</f>
        <v>0</v>
      </c>
      <c r="N125" s="840">
        <f>'d3'!N125-'d3-П'!N125</f>
        <v>0</v>
      </c>
      <c r="O125" s="840">
        <f>'d3'!O125-'d3-П'!O125</f>
        <v>0</v>
      </c>
      <c r="P125" s="840">
        <f>'d3'!P125-'d3-П'!P125</f>
        <v>0</v>
      </c>
    </row>
    <row r="126" spans="1:16" s="39" customFormat="1" ht="138.75" thickTop="1" thickBot="1" x14ac:dyDescent="0.25">
      <c r="A126" s="843" t="s">
        <v>1134</v>
      </c>
      <c r="B126" s="843" t="s">
        <v>1135</v>
      </c>
      <c r="C126" s="843" t="s">
        <v>224</v>
      </c>
      <c r="D126" s="843" t="s">
        <v>1136</v>
      </c>
      <c r="E126" s="840">
        <f>'d3'!E126-'d3-П'!E126</f>
        <v>0</v>
      </c>
      <c r="F126" s="840">
        <f>'d3'!F126-'d3-П'!F126</f>
        <v>0</v>
      </c>
      <c r="G126" s="840">
        <f>'d3'!G126-'d3-П'!G126</f>
        <v>0</v>
      </c>
      <c r="H126" s="840">
        <f>'d3'!H126-'d3-П'!H126</f>
        <v>0</v>
      </c>
      <c r="I126" s="840">
        <f>'d3'!I126-'d3-П'!I126</f>
        <v>0</v>
      </c>
      <c r="J126" s="840">
        <f>'d3'!J126-'d3-П'!J126</f>
        <v>0</v>
      </c>
      <c r="K126" s="840">
        <f>'d3'!K126-'d3-П'!K126</f>
        <v>0</v>
      </c>
      <c r="L126" s="840">
        <f>'d3'!L126-'d3-П'!L126</f>
        <v>0</v>
      </c>
      <c r="M126" s="840">
        <f>'d3'!M126-'d3-П'!M126</f>
        <v>0</v>
      </c>
      <c r="N126" s="840">
        <f>'d3'!N126-'d3-П'!N126</f>
        <v>0</v>
      </c>
      <c r="O126" s="840">
        <f>'d3'!O126-'d3-П'!O126</f>
        <v>0</v>
      </c>
      <c r="P126" s="840">
        <f>'d3'!P126-'d3-П'!P126</f>
        <v>0</v>
      </c>
    </row>
    <row r="127" spans="1:16" ht="138.75" thickTop="1" thickBot="1" x14ac:dyDescent="0.25">
      <c r="A127" s="843" t="s">
        <v>525</v>
      </c>
      <c r="B127" s="843" t="s">
        <v>526</v>
      </c>
      <c r="C127" s="843" t="s">
        <v>223</v>
      </c>
      <c r="D127" s="843" t="s">
        <v>527</v>
      </c>
      <c r="E127" s="840">
        <f>'d3'!E127-'d3-П'!E127</f>
        <v>0</v>
      </c>
      <c r="F127" s="840">
        <f>'d3'!F127-'d3-П'!F127</f>
        <v>0</v>
      </c>
      <c r="G127" s="840">
        <f>'d3'!G127-'d3-П'!G127</f>
        <v>0</v>
      </c>
      <c r="H127" s="840">
        <f>'d3'!H127-'d3-П'!H127</f>
        <v>0</v>
      </c>
      <c r="I127" s="840">
        <f>'d3'!I127-'d3-П'!I127</f>
        <v>0</v>
      </c>
      <c r="J127" s="840">
        <f>'d3'!J127-'d3-П'!J127</f>
        <v>0</v>
      </c>
      <c r="K127" s="840">
        <f>'d3'!K127-'d3-П'!K127</f>
        <v>0</v>
      </c>
      <c r="L127" s="840">
        <f>'d3'!L127-'d3-П'!L127</f>
        <v>0</v>
      </c>
      <c r="M127" s="840">
        <f>'d3'!M127-'d3-П'!M127</f>
        <v>0</v>
      </c>
      <c r="N127" s="840">
        <f>'d3'!N127-'d3-П'!N127</f>
        <v>0</v>
      </c>
      <c r="O127" s="840">
        <f>'d3'!O127-'d3-П'!O127</f>
        <v>0</v>
      </c>
      <c r="P127" s="840">
        <f>'d3'!P127-'d3-П'!P127</f>
        <v>0</v>
      </c>
    </row>
    <row r="128" spans="1:16" s="39" customFormat="1" ht="276" thickTop="1" thickBot="1" x14ac:dyDescent="0.25">
      <c r="A128" s="345" t="s">
        <v>889</v>
      </c>
      <c r="B128" s="345" t="s">
        <v>890</v>
      </c>
      <c r="C128" s="345"/>
      <c r="D128" s="345" t="s">
        <v>891</v>
      </c>
      <c r="E128" s="840">
        <f>'d3'!E128-'d3-П'!E128</f>
        <v>45000</v>
      </c>
      <c r="F128" s="840">
        <f>'d3'!F128-'d3-П'!F128</f>
        <v>45000</v>
      </c>
      <c r="G128" s="840">
        <f>'d3'!G128-'d3-П'!G128</f>
        <v>0</v>
      </c>
      <c r="H128" s="840">
        <f>'d3'!H128-'d3-П'!H128</f>
        <v>132700</v>
      </c>
      <c r="I128" s="840">
        <f>'d3'!I128-'d3-П'!I128</f>
        <v>0</v>
      </c>
      <c r="J128" s="840">
        <f>'d3'!J128-'d3-П'!J128</f>
        <v>0</v>
      </c>
      <c r="K128" s="840">
        <f>'d3'!K128-'d3-П'!K128</f>
        <v>0</v>
      </c>
      <c r="L128" s="840">
        <f>'d3'!L128-'d3-П'!L128</f>
        <v>0</v>
      </c>
      <c r="M128" s="840">
        <f>'d3'!M128-'d3-П'!M128</f>
        <v>0</v>
      </c>
      <c r="N128" s="840">
        <f>'d3'!N128-'d3-П'!N128</f>
        <v>0</v>
      </c>
      <c r="O128" s="840">
        <f>'d3'!O128-'d3-П'!O128</f>
        <v>0</v>
      </c>
      <c r="P128" s="840">
        <f>'d3'!P128-'d3-П'!P128</f>
        <v>45000</v>
      </c>
    </row>
    <row r="129" spans="1:16" ht="276" thickTop="1" thickBot="1" x14ac:dyDescent="0.25">
      <c r="A129" s="843" t="s">
        <v>285</v>
      </c>
      <c r="B129" s="843" t="s">
        <v>283</v>
      </c>
      <c r="C129" s="843" t="s">
        <v>218</v>
      </c>
      <c r="D129" s="843" t="s">
        <v>17</v>
      </c>
      <c r="E129" s="840">
        <f>'d3'!E129-'d3-П'!E129</f>
        <v>0</v>
      </c>
      <c r="F129" s="840">
        <f>'d3'!F129-'d3-П'!F129</f>
        <v>0</v>
      </c>
      <c r="G129" s="840">
        <f>'d3'!G129-'d3-П'!G129</f>
        <v>0</v>
      </c>
      <c r="H129" s="840">
        <f>'d3'!H129-'d3-П'!H129</f>
        <v>132700</v>
      </c>
      <c r="I129" s="840">
        <f>'d3'!I129-'d3-П'!I129</f>
        <v>0</v>
      </c>
      <c r="J129" s="840">
        <f>'d3'!J129-'d3-П'!J129</f>
        <v>0</v>
      </c>
      <c r="K129" s="840">
        <f>'d3'!K129-'d3-П'!K129</f>
        <v>0</v>
      </c>
      <c r="L129" s="840">
        <f>'d3'!L129-'d3-П'!L129</f>
        <v>0</v>
      </c>
      <c r="M129" s="840">
        <f>'d3'!M129-'d3-П'!M129</f>
        <v>0</v>
      </c>
      <c r="N129" s="840">
        <f>'d3'!N129-'d3-П'!N129</f>
        <v>0</v>
      </c>
      <c r="O129" s="840">
        <f>'d3'!O129-'d3-П'!O129</f>
        <v>0</v>
      </c>
      <c r="P129" s="840">
        <f>'d3'!P129-'d3-П'!P129</f>
        <v>0</v>
      </c>
    </row>
    <row r="130" spans="1:16" ht="138.75" thickTop="1" thickBot="1" x14ac:dyDescent="0.25">
      <c r="A130" s="843" t="s">
        <v>286</v>
      </c>
      <c r="B130" s="843" t="s">
        <v>284</v>
      </c>
      <c r="C130" s="843" t="s">
        <v>217</v>
      </c>
      <c r="D130" s="843" t="s">
        <v>491</v>
      </c>
      <c r="E130" s="840">
        <f>'d3'!E130-'d3-П'!E130</f>
        <v>45000</v>
      </c>
      <c r="F130" s="840">
        <f>'d3'!F130-'d3-П'!F130</f>
        <v>45000</v>
      </c>
      <c r="G130" s="840">
        <f>'d3'!G130-'d3-П'!G130</f>
        <v>0</v>
      </c>
      <c r="H130" s="840">
        <f>'d3'!H130-'d3-П'!H130</f>
        <v>0</v>
      </c>
      <c r="I130" s="840">
        <f>'d3'!I130-'d3-П'!I130</f>
        <v>0</v>
      </c>
      <c r="J130" s="840">
        <f>'d3'!J130-'d3-П'!J130</f>
        <v>0</v>
      </c>
      <c r="K130" s="840">
        <f>'d3'!K130-'d3-П'!K130</f>
        <v>0</v>
      </c>
      <c r="L130" s="840">
        <f>'d3'!L130-'d3-П'!L130</f>
        <v>0</v>
      </c>
      <c r="M130" s="840">
        <f>'d3'!M130-'d3-П'!M130</f>
        <v>0</v>
      </c>
      <c r="N130" s="840">
        <f>'d3'!N130-'d3-П'!N130</f>
        <v>0</v>
      </c>
      <c r="O130" s="840">
        <f>'d3'!O130-'d3-П'!O130</f>
        <v>0</v>
      </c>
      <c r="P130" s="840">
        <f>'d3'!P130-'d3-П'!P130</f>
        <v>45000</v>
      </c>
    </row>
    <row r="131" spans="1:16" ht="138.75" thickTop="1" thickBot="1" x14ac:dyDescent="0.25">
      <c r="A131" s="345" t="s">
        <v>1341</v>
      </c>
      <c r="B131" s="345" t="s">
        <v>922</v>
      </c>
      <c r="C131" s="345"/>
      <c r="D131" s="345" t="s">
        <v>923</v>
      </c>
      <c r="E131" s="840">
        <f>'d3'!E131-'d3-П'!E131</f>
        <v>0</v>
      </c>
      <c r="F131" s="840">
        <f>'d3'!F131-'d3-П'!F131</f>
        <v>0</v>
      </c>
      <c r="G131" s="840">
        <f>'d3'!G131-'d3-П'!G131</f>
        <v>0</v>
      </c>
      <c r="H131" s="840">
        <f>'d3'!H131-'d3-П'!H131</f>
        <v>0</v>
      </c>
      <c r="I131" s="840">
        <f>'d3'!I131-'d3-П'!I131</f>
        <v>0</v>
      </c>
      <c r="J131" s="840">
        <f>'d3'!J131-'d3-П'!J131</f>
        <v>0</v>
      </c>
      <c r="K131" s="840">
        <f>'d3'!K131-'d3-П'!K131</f>
        <v>0</v>
      </c>
      <c r="L131" s="840">
        <f>'d3'!L131-'d3-П'!L131</f>
        <v>0</v>
      </c>
      <c r="M131" s="840">
        <f>'d3'!M131-'d3-П'!M131</f>
        <v>0</v>
      </c>
      <c r="N131" s="840">
        <f>'d3'!N131-'d3-П'!N131</f>
        <v>0</v>
      </c>
      <c r="O131" s="840">
        <f>'d3'!O131-'d3-П'!O131</f>
        <v>0</v>
      </c>
      <c r="P131" s="840">
        <f>'d3'!P131-'d3-П'!P131</f>
        <v>0</v>
      </c>
    </row>
    <row r="132" spans="1:16" ht="276" thickTop="1" thickBot="1" x14ac:dyDescent="0.25">
      <c r="A132" s="843" t="s">
        <v>1342</v>
      </c>
      <c r="B132" s="843" t="s">
        <v>1343</v>
      </c>
      <c r="C132" s="843" t="s">
        <v>203</v>
      </c>
      <c r="D132" s="843" t="s">
        <v>1344</v>
      </c>
      <c r="E132" s="840">
        <f>'d3'!E132-'d3-П'!E132</f>
        <v>0</v>
      </c>
      <c r="F132" s="840">
        <f>'d3'!F132-'d3-П'!F132</f>
        <v>0</v>
      </c>
      <c r="G132" s="840">
        <f>'d3'!G132-'d3-П'!G132</f>
        <v>0</v>
      </c>
      <c r="H132" s="840">
        <f>'d3'!H132-'d3-П'!H132</f>
        <v>0</v>
      </c>
      <c r="I132" s="840">
        <f>'d3'!I132-'d3-П'!I132</f>
        <v>0</v>
      </c>
      <c r="J132" s="840">
        <f>'d3'!J132-'d3-П'!J132</f>
        <v>0</v>
      </c>
      <c r="K132" s="840">
        <f>'d3'!K132-'d3-П'!K132</f>
        <v>0</v>
      </c>
      <c r="L132" s="840">
        <f>'d3'!L132-'d3-П'!L132</f>
        <v>0</v>
      </c>
      <c r="M132" s="840">
        <f>'d3'!M132-'d3-П'!M132</f>
        <v>0</v>
      </c>
      <c r="N132" s="840">
        <f>'d3'!N132-'d3-П'!N132</f>
        <v>0</v>
      </c>
      <c r="O132" s="840">
        <f>'d3'!O132-'d3-П'!O132</f>
        <v>0</v>
      </c>
      <c r="P132" s="840">
        <f>'d3'!P132-'d3-П'!P132</f>
        <v>0</v>
      </c>
    </row>
    <row r="133" spans="1:16" ht="409.6" thickTop="1" thickBot="1" x14ac:dyDescent="0.25">
      <c r="A133" s="843" t="s">
        <v>281</v>
      </c>
      <c r="B133" s="843" t="s">
        <v>282</v>
      </c>
      <c r="C133" s="843" t="s">
        <v>217</v>
      </c>
      <c r="D133" s="843" t="s">
        <v>489</v>
      </c>
      <c r="E133" s="840">
        <f>'d3'!E133-'d3-П'!E133</f>
        <v>0</v>
      </c>
      <c r="F133" s="840">
        <f>'d3'!F133-'d3-П'!F133</f>
        <v>0</v>
      </c>
      <c r="G133" s="840">
        <f>'d3'!G133-'d3-П'!G133</f>
        <v>0</v>
      </c>
      <c r="H133" s="840">
        <f>'d3'!H133-'d3-П'!H133</f>
        <v>0</v>
      </c>
      <c r="I133" s="840">
        <f>'d3'!I133-'d3-П'!I133</f>
        <v>0</v>
      </c>
      <c r="J133" s="840">
        <f>'d3'!J133-'d3-П'!J133</f>
        <v>0</v>
      </c>
      <c r="K133" s="840">
        <f>'d3'!K133-'d3-П'!K133</f>
        <v>0</v>
      </c>
      <c r="L133" s="840">
        <f>'d3'!L133-'d3-П'!L133</f>
        <v>0</v>
      </c>
      <c r="M133" s="840">
        <f>'d3'!M133-'d3-П'!M133</f>
        <v>0</v>
      </c>
      <c r="N133" s="840">
        <f>'d3'!N133-'d3-П'!N133</f>
        <v>0</v>
      </c>
      <c r="O133" s="840">
        <f>'d3'!O133-'d3-П'!O133</f>
        <v>0</v>
      </c>
      <c r="P133" s="840">
        <f>'d3'!P133-'d3-П'!P133</f>
        <v>0</v>
      </c>
    </row>
    <row r="134" spans="1:16" ht="138.75" thickTop="1" thickBot="1" x14ac:dyDescent="0.25">
      <c r="A134" s="345" t="s">
        <v>1052</v>
      </c>
      <c r="B134" s="345" t="s">
        <v>1053</v>
      </c>
      <c r="C134" s="345"/>
      <c r="D134" s="345" t="s">
        <v>1054</v>
      </c>
      <c r="E134" s="840">
        <f>'d3'!E134-'d3-П'!E134</f>
        <v>0</v>
      </c>
      <c r="F134" s="840">
        <f>'d3'!F134-'d3-П'!F134</f>
        <v>0</v>
      </c>
      <c r="G134" s="840">
        <f>'d3'!G134-'d3-П'!G134</f>
        <v>0</v>
      </c>
      <c r="H134" s="840">
        <f>'d3'!H134-'d3-П'!H134</f>
        <v>0</v>
      </c>
      <c r="I134" s="840">
        <f>'d3'!I134-'d3-П'!I134</f>
        <v>0</v>
      </c>
      <c r="J134" s="840">
        <f>'d3'!J134-'d3-П'!J134</f>
        <v>0</v>
      </c>
      <c r="K134" s="840">
        <f>'d3'!K134-'d3-П'!K134</f>
        <v>0</v>
      </c>
      <c r="L134" s="840">
        <f>'d3'!L134-'d3-П'!L134</f>
        <v>0</v>
      </c>
      <c r="M134" s="840">
        <f>'d3'!M134-'d3-П'!M134</f>
        <v>0</v>
      </c>
      <c r="N134" s="840">
        <f>'d3'!N134-'d3-П'!N134</f>
        <v>0</v>
      </c>
      <c r="O134" s="840">
        <f>'d3'!O134-'d3-П'!O134</f>
        <v>0</v>
      </c>
      <c r="P134" s="840">
        <f>'d3'!P134-'d3-П'!P134</f>
        <v>0</v>
      </c>
    </row>
    <row r="135" spans="1:16" ht="276" thickTop="1" thickBot="1" x14ac:dyDescent="0.25">
      <c r="A135" s="843" t="s">
        <v>528</v>
      </c>
      <c r="B135" s="843" t="s">
        <v>529</v>
      </c>
      <c r="C135" s="843" t="s">
        <v>217</v>
      </c>
      <c r="D135" s="843" t="s">
        <v>530</v>
      </c>
      <c r="E135" s="840">
        <f>'d3'!E135-'d3-П'!E135</f>
        <v>0</v>
      </c>
      <c r="F135" s="840">
        <f>'d3'!F135-'d3-П'!F135</f>
        <v>0</v>
      </c>
      <c r="G135" s="840">
        <f>'d3'!G135-'d3-П'!G135</f>
        <v>0</v>
      </c>
      <c r="H135" s="840">
        <f>'d3'!H135-'d3-П'!H135</f>
        <v>0</v>
      </c>
      <c r="I135" s="840">
        <f>'d3'!I135-'d3-П'!I135</f>
        <v>0</v>
      </c>
      <c r="J135" s="840">
        <f>'d3'!J135-'d3-П'!J135</f>
        <v>0</v>
      </c>
      <c r="K135" s="840">
        <f>'d3'!K135-'d3-П'!K135</f>
        <v>0</v>
      </c>
      <c r="L135" s="840">
        <f>'d3'!L135-'d3-П'!L135</f>
        <v>0</v>
      </c>
      <c r="M135" s="840">
        <f>'d3'!M135-'d3-П'!M135</f>
        <v>0</v>
      </c>
      <c r="N135" s="840">
        <f>'d3'!N135-'d3-П'!N135</f>
        <v>0</v>
      </c>
      <c r="O135" s="840">
        <f>'d3'!O135-'d3-П'!O135</f>
        <v>0</v>
      </c>
      <c r="P135" s="840">
        <f>'d3'!P135-'d3-П'!P135</f>
        <v>0</v>
      </c>
    </row>
    <row r="136" spans="1:16" ht="367.5" thickTop="1" thickBot="1" x14ac:dyDescent="0.25">
      <c r="A136" s="843" t="s">
        <v>374</v>
      </c>
      <c r="B136" s="843" t="s">
        <v>373</v>
      </c>
      <c r="C136" s="843" t="s">
        <v>52</v>
      </c>
      <c r="D136" s="843" t="s">
        <v>490</v>
      </c>
      <c r="E136" s="840">
        <f>'d3'!E136-'d3-П'!E136</f>
        <v>0</v>
      </c>
      <c r="F136" s="840">
        <f>'d3'!F136-'d3-П'!F136</f>
        <v>0</v>
      </c>
      <c r="G136" s="840">
        <f>'d3'!G136-'d3-П'!G136</f>
        <v>0</v>
      </c>
      <c r="H136" s="840">
        <f>'d3'!H136-'d3-П'!H136</f>
        <v>0</v>
      </c>
      <c r="I136" s="840">
        <f>'d3'!I136-'d3-П'!I136</f>
        <v>0</v>
      </c>
      <c r="J136" s="840">
        <f>'d3'!J136-'d3-П'!J136</f>
        <v>0</v>
      </c>
      <c r="K136" s="840">
        <f>'d3'!K136-'d3-П'!K136</f>
        <v>0</v>
      </c>
      <c r="L136" s="840">
        <f>'d3'!L136-'d3-П'!L136</f>
        <v>0</v>
      </c>
      <c r="M136" s="840">
        <f>'d3'!M136-'d3-П'!M136</f>
        <v>0</v>
      </c>
      <c r="N136" s="840">
        <f>'d3'!N136-'d3-П'!N136</f>
        <v>0</v>
      </c>
      <c r="O136" s="840">
        <f>'d3'!O136-'d3-П'!O136</f>
        <v>0</v>
      </c>
      <c r="P136" s="840">
        <f>'d3'!P136-'d3-П'!P136</f>
        <v>0</v>
      </c>
    </row>
    <row r="137" spans="1:16" s="39" customFormat="1" ht="93" thickTop="1" thickBot="1" x14ac:dyDescent="0.25">
      <c r="A137" s="345" t="s">
        <v>892</v>
      </c>
      <c r="B137" s="345" t="s">
        <v>893</v>
      </c>
      <c r="C137" s="345"/>
      <c r="D137" s="345" t="s">
        <v>894</v>
      </c>
      <c r="E137" s="840">
        <f>'d3'!E137-'d3-П'!E137</f>
        <v>0</v>
      </c>
      <c r="F137" s="840">
        <f>'d3'!F137-'d3-П'!F137</f>
        <v>0</v>
      </c>
      <c r="G137" s="840">
        <f>'d3'!G137-'d3-П'!G137</f>
        <v>0</v>
      </c>
      <c r="H137" s="840">
        <f>'d3'!H137-'d3-П'!H137</f>
        <v>0</v>
      </c>
      <c r="I137" s="840">
        <f>'d3'!I137-'d3-П'!I137</f>
        <v>0</v>
      </c>
      <c r="J137" s="840">
        <f>'d3'!J137-'d3-П'!J137</f>
        <v>0</v>
      </c>
      <c r="K137" s="840">
        <f>'d3'!K137-'d3-П'!K137</f>
        <v>0</v>
      </c>
      <c r="L137" s="840">
        <f>'d3'!L137-'d3-П'!L137</f>
        <v>0</v>
      </c>
      <c r="M137" s="840">
        <f>'d3'!M137-'d3-П'!M137</f>
        <v>0</v>
      </c>
      <c r="N137" s="840">
        <f>'d3'!N137-'d3-П'!N137</f>
        <v>0</v>
      </c>
      <c r="O137" s="840">
        <f>'d3'!O137-'d3-П'!O137</f>
        <v>0</v>
      </c>
      <c r="P137" s="840">
        <f>'d3'!P137-'d3-П'!P137</f>
        <v>0</v>
      </c>
    </row>
    <row r="138" spans="1:16" ht="230.25" thickTop="1" thickBot="1" x14ac:dyDescent="0.25">
      <c r="A138" s="843" t="s">
        <v>350</v>
      </c>
      <c r="B138" s="843" t="s">
        <v>351</v>
      </c>
      <c r="C138" s="843" t="s">
        <v>223</v>
      </c>
      <c r="D138" s="843" t="s">
        <v>790</v>
      </c>
      <c r="E138" s="840">
        <f>'d3'!E138-'d3-П'!E138</f>
        <v>0</v>
      </c>
      <c r="F138" s="840">
        <f>'d3'!F138-'d3-П'!F138</f>
        <v>0</v>
      </c>
      <c r="G138" s="840">
        <f>'d3'!G138-'d3-П'!G138</f>
        <v>0</v>
      </c>
      <c r="H138" s="840">
        <f>'d3'!H138-'d3-П'!H138</f>
        <v>0</v>
      </c>
      <c r="I138" s="840">
        <f>'d3'!I138-'d3-П'!I138</f>
        <v>0</v>
      </c>
      <c r="J138" s="840">
        <f>'d3'!J138-'d3-П'!J138</f>
        <v>0</v>
      </c>
      <c r="K138" s="840">
        <f>'d3'!K138-'d3-П'!K138</f>
        <v>0</v>
      </c>
      <c r="L138" s="840">
        <f>'d3'!L138-'d3-П'!L138</f>
        <v>0</v>
      </c>
      <c r="M138" s="840">
        <f>'d3'!M138-'d3-П'!M138</f>
        <v>0</v>
      </c>
      <c r="N138" s="840">
        <f>'d3'!N138-'d3-П'!N138</f>
        <v>0</v>
      </c>
      <c r="O138" s="840">
        <f>'d3'!O138-'d3-П'!O138</f>
        <v>0</v>
      </c>
      <c r="P138" s="840">
        <f>'d3'!P138-'d3-П'!P138</f>
        <v>0</v>
      </c>
    </row>
    <row r="139" spans="1:16" ht="93" thickTop="1" thickBot="1" x14ac:dyDescent="0.25">
      <c r="A139" s="843" t="s">
        <v>456</v>
      </c>
      <c r="B139" s="843" t="s">
        <v>398</v>
      </c>
      <c r="C139" s="843" t="s">
        <v>399</v>
      </c>
      <c r="D139" s="843" t="s">
        <v>397</v>
      </c>
      <c r="E139" s="840">
        <f>'d3'!E139-'d3-П'!E139</f>
        <v>0</v>
      </c>
      <c r="F139" s="840">
        <f>'d3'!F139-'d3-П'!F139</f>
        <v>0</v>
      </c>
      <c r="G139" s="840">
        <f>'d3'!G139-'d3-П'!G139</f>
        <v>0</v>
      </c>
      <c r="H139" s="840">
        <f>'d3'!H139-'d3-П'!H139</f>
        <v>0</v>
      </c>
      <c r="I139" s="840">
        <f>'d3'!I139-'d3-П'!I139</f>
        <v>0</v>
      </c>
      <c r="J139" s="840">
        <f>'d3'!J139-'d3-П'!J139</f>
        <v>0</v>
      </c>
      <c r="K139" s="840">
        <f>'d3'!K139-'d3-П'!K139</f>
        <v>0</v>
      </c>
      <c r="L139" s="840">
        <f>'d3'!L139-'d3-П'!L139</f>
        <v>0</v>
      </c>
      <c r="M139" s="840">
        <f>'d3'!M139-'d3-П'!M139</f>
        <v>0</v>
      </c>
      <c r="N139" s="840">
        <f>'d3'!N139-'d3-П'!N139</f>
        <v>0</v>
      </c>
      <c r="O139" s="840">
        <f>'d3'!O139-'d3-П'!O139</f>
        <v>0</v>
      </c>
      <c r="P139" s="840">
        <f>'d3'!P139-'d3-П'!P139</f>
        <v>0</v>
      </c>
    </row>
    <row r="140" spans="1:16" ht="230.25" thickTop="1" thickBot="1" x14ac:dyDescent="0.25">
      <c r="A140" s="345" t="s">
        <v>1401</v>
      </c>
      <c r="B140" s="345" t="s">
        <v>1402</v>
      </c>
      <c r="C140" s="345"/>
      <c r="D140" s="345" t="s">
        <v>1400</v>
      </c>
      <c r="E140" s="840">
        <f>'d3'!E140-'d3-П'!E140</f>
        <v>0</v>
      </c>
      <c r="F140" s="840">
        <f>'d3'!F140-'d3-П'!F140</f>
        <v>0</v>
      </c>
      <c r="G140" s="840">
        <f>'d3'!G140-'d3-П'!G140</f>
        <v>0</v>
      </c>
      <c r="H140" s="840">
        <f>'d3'!H140-'d3-П'!H140</f>
        <v>0</v>
      </c>
      <c r="I140" s="840">
        <f>'d3'!I140-'d3-П'!I140</f>
        <v>0</v>
      </c>
      <c r="J140" s="840">
        <f>'d3'!J140-'d3-П'!J140</f>
        <v>0</v>
      </c>
      <c r="K140" s="840">
        <f>'d3'!K140-'d3-П'!K140</f>
        <v>0</v>
      </c>
      <c r="L140" s="840">
        <f>'d3'!L140-'d3-П'!L140</f>
        <v>0</v>
      </c>
      <c r="M140" s="840">
        <f>'d3'!M140-'d3-П'!M140</f>
        <v>0</v>
      </c>
      <c r="N140" s="840">
        <f>'d3'!N140-'d3-П'!N140</f>
        <v>0</v>
      </c>
      <c r="O140" s="840">
        <f>'d3'!O140-'d3-П'!O140</f>
        <v>0</v>
      </c>
      <c r="P140" s="840">
        <f>'d3'!P140-'d3-П'!P140</f>
        <v>0</v>
      </c>
    </row>
    <row r="141" spans="1:16" ht="409.6" thickTop="1" x14ac:dyDescent="0.65">
      <c r="A141" s="974" t="s">
        <v>1406</v>
      </c>
      <c r="B141" s="974" t="s">
        <v>1407</v>
      </c>
      <c r="C141" s="974" t="s">
        <v>52</v>
      </c>
      <c r="D141" s="832" t="s">
        <v>1403</v>
      </c>
      <c r="E141" s="966">
        <f>'d3'!E141-'d3-П'!E141</f>
        <v>0</v>
      </c>
      <c r="F141" s="966">
        <f>'d3'!F141-'d3-П'!F141</f>
        <v>0</v>
      </c>
      <c r="G141" s="966">
        <f>'d3'!G141-'d3-П'!G141</f>
        <v>0</v>
      </c>
      <c r="H141" s="966">
        <f>'d3'!H141-'d3-П'!H141</f>
        <v>0</v>
      </c>
      <c r="I141" s="966">
        <f>'d3'!I141-'d3-П'!I141</f>
        <v>0</v>
      </c>
      <c r="J141" s="966">
        <f>'d3'!J141-'d3-П'!J141</f>
        <v>0</v>
      </c>
      <c r="K141" s="966">
        <f>'d3'!K141-'d3-П'!K141</f>
        <v>0</v>
      </c>
      <c r="L141" s="966">
        <f>'d3'!L141-'d3-П'!L141</f>
        <v>0</v>
      </c>
      <c r="M141" s="966">
        <f>'d3'!M141-'d3-П'!M141</f>
        <v>0</v>
      </c>
      <c r="N141" s="966">
        <f>'d3'!N141-'d3-П'!N141</f>
        <v>0</v>
      </c>
      <c r="O141" s="966">
        <f>'d3'!O141-'d3-П'!O141</f>
        <v>0</v>
      </c>
      <c r="P141" s="966">
        <f>'d3'!P141-'d3-П'!P141</f>
        <v>0</v>
      </c>
    </row>
    <row r="142" spans="1:16" ht="409.5" x14ac:dyDescent="0.2">
      <c r="A142" s="967"/>
      <c r="B142" s="967"/>
      <c r="C142" s="967"/>
      <c r="D142" s="833" t="s">
        <v>1404</v>
      </c>
      <c r="E142" s="1063"/>
      <c r="F142" s="1063">
        <f>'d3'!F142-'d3-П'!F142</f>
        <v>0</v>
      </c>
      <c r="G142" s="1063">
        <f>'d3'!G142-'d3-П'!G142</f>
        <v>0</v>
      </c>
      <c r="H142" s="1063">
        <f>'d3'!H142-'d3-П'!H142</f>
        <v>0</v>
      </c>
      <c r="I142" s="1063">
        <f>'d3'!I142-'d3-П'!I142</f>
        <v>0</v>
      </c>
      <c r="J142" s="1063">
        <f>'d3'!J142-'d3-П'!J142</f>
        <v>0</v>
      </c>
      <c r="K142" s="1063">
        <f>'d3'!K142-'d3-П'!K142</f>
        <v>0</v>
      </c>
      <c r="L142" s="1063">
        <f>'d3'!L142-'d3-П'!L142</f>
        <v>0</v>
      </c>
      <c r="M142" s="1063">
        <f>'d3'!M142-'d3-П'!M142</f>
        <v>0</v>
      </c>
      <c r="N142" s="1063">
        <f>'d3'!N142-'d3-П'!N142</f>
        <v>0</v>
      </c>
      <c r="O142" s="1063">
        <f>'d3'!O142-'d3-П'!O142</f>
        <v>0</v>
      </c>
      <c r="P142" s="1063">
        <f>'d3'!P142-'d3-П'!P142</f>
        <v>0</v>
      </c>
    </row>
    <row r="143" spans="1:16" ht="409.6" thickBot="1" x14ac:dyDescent="0.25">
      <c r="A143" s="968"/>
      <c r="B143" s="968"/>
      <c r="C143" s="968"/>
      <c r="D143" s="834" t="s">
        <v>1405</v>
      </c>
      <c r="E143" s="1064"/>
      <c r="F143" s="1064">
        <f>'d3'!F143-'d3-П'!F143</f>
        <v>0</v>
      </c>
      <c r="G143" s="1064">
        <f>'d3'!G143-'d3-П'!G143</f>
        <v>0</v>
      </c>
      <c r="H143" s="1064">
        <f>'d3'!H143-'d3-П'!H143</f>
        <v>0</v>
      </c>
      <c r="I143" s="1064">
        <f>'d3'!I143-'d3-П'!I143</f>
        <v>0</v>
      </c>
      <c r="J143" s="1064">
        <f>'d3'!J143-'d3-П'!J143</f>
        <v>0</v>
      </c>
      <c r="K143" s="1064">
        <f>'d3'!K143-'d3-П'!K143</f>
        <v>0</v>
      </c>
      <c r="L143" s="1064">
        <f>'d3'!L143-'d3-П'!L143</f>
        <v>0</v>
      </c>
      <c r="M143" s="1064">
        <f>'d3'!M143-'d3-П'!M143</f>
        <v>0</v>
      </c>
      <c r="N143" s="1064">
        <f>'d3'!N143-'d3-П'!N143</f>
        <v>0</v>
      </c>
      <c r="O143" s="1064">
        <f>'d3'!O143-'d3-П'!O143</f>
        <v>0</v>
      </c>
      <c r="P143" s="1064">
        <f>'d3'!P143-'d3-П'!P143</f>
        <v>0</v>
      </c>
    </row>
    <row r="144" spans="1:16" ht="409.6" thickTop="1" x14ac:dyDescent="0.65">
      <c r="A144" s="974" t="s">
        <v>1412</v>
      </c>
      <c r="B144" s="974" t="s">
        <v>1413</v>
      </c>
      <c r="C144" s="974" t="s">
        <v>52</v>
      </c>
      <c r="D144" s="832" t="s">
        <v>1408</v>
      </c>
      <c r="E144" s="966">
        <f>'d3'!E144-'d3-П'!E144</f>
        <v>0</v>
      </c>
      <c r="F144" s="966">
        <f>'d3'!F144-'d3-П'!F144</f>
        <v>0</v>
      </c>
      <c r="G144" s="966">
        <f>'d3'!G144-'d3-П'!G144</f>
        <v>0</v>
      </c>
      <c r="H144" s="966">
        <f>'d3'!H144-'d3-П'!H144</f>
        <v>0</v>
      </c>
      <c r="I144" s="966">
        <f>'d3'!I144-'d3-П'!I144</f>
        <v>0</v>
      </c>
      <c r="J144" s="966">
        <f>'d3'!J144-'d3-П'!J144</f>
        <v>0</v>
      </c>
      <c r="K144" s="966">
        <f>'d3'!K144-'d3-П'!K144</f>
        <v>0</v>
      </c>
      <c r="L144" s="966">
        <f>'d3'!L144-'d3-П'!L144</f>
        <v>0</v>
      </c>
      <c r="M144" s="966">
        <f>'d3'!M144-'d3-П'!M144</f>
        <v>0</v>
      </c>
      <c r="N144" s="966">
        <f>'d3'!N144-'d3-П'!N144</f>
        <v>0</v>
      </c>
      <c r="O144" s="966">
        <f>'d3'!O144-'d3-П'!O144</f>
        <v>0</v>
      </c>
      <c r="P144" s="966">
        <f>'d3'!P144-'d3-П'!P144</f>
        <v>0</v>
      </c>
    </row>
    <row r="145" spans="1:16" ht="409.5" x14ac:dyDescent="0.2">
      <c r="A145" s="967"/>
      <c r="B145" s="967"/>
      <c r="C145" s="967"/>
      <c r="D145" s="833" t="s">
        <v>1409</v>
      </c>
      <c r="E145" s="1063">
        <f>'d3'!E145-'d3-П'!E145</f>
        <v>0</v>
      </c>
      <c r="F145" s="1063">
        <f>'d3'!F145-'d3-П'!F145</f>
        <v>0</v>
      </c>
      <c r="G145" s="1063">
        <f>'d3'!G145-'d3-П'!G145</f>
        <v>0</v>
      </c>
      <c r="H145" s="1063">
        <f>'d3'!H145-'d3-П'!H145</f>
        <v>0</v>
      </c>
      <c r="I145" s="1063">
        <f>'d3'!I145-'d3-П'!I145</f>
        <v>0</v>
      </c>
      <c r="J145" s="1063">
        <f>'d3'!J145-'d3-П'!J145</f>
        <v>0</v>
      </c>
      <c r="K145" s="1063">
        <f>'d3'!K145-'d3-П'!K145</f>
        <v>0</v>
      </c>
      <c r="L145" s="1063">
        <f>'d3'!L145-'d3-П'!L145</f>
        <v>0</v>
      </c>
      <c r="M145" s="1063">
        <f>'d3'!M145-'d3-П'!M145</f>
        <v>0</v>
      </c>
      <c r="N145" s="1063">
        <f>'d3'!N145-'d3-П'!N145</f>
        <v>0</v>
      </c>
      <c r="O145" s="1063">
        <f>'d3'!O145-'d3-П'!O145</f>
        <v>0</v>
      </c>
      <c r="P145" s="1063">
        <f>'d3'!P145-'d3-П'!P145</f>
        <v>0</v>
      </c>
    </row>
    <row r="146" spans="1:16" ht="409.5" x14ac:dyDescent="0.2">
      <c r="A146" s="967"/>
      <c r="B146" s="967"/>
      <c r="C146" s="967"/>
      <c r="D146" s="833" t="s">
        <v>1410</v>
      </c>
      <c r="E146" s="1063">
        <f>'d3'!E146-'d3-П'!E146</f>
        <v>0</v>
      </c>
      <c r="F146" s="1063">
        <f>'d3'!F146-'d3-П'!F146</f>
        <v>0</v>
      </c>
      <c r="G146" s="1063">
        <f>'d3'!G146-'d3-П'!G146</f>
        <v>0</v>
      </c>
      <c r="H146" s="1063">
        <f>'d3'!H146-'d3-П'!H146</f>
        <v>0</v>
      </c>
      <c r="I146" s="1063">
        <f>'d3'!I146-'d3-П'!I146</f>
        <v>0</v>
      </c>
      <c r="J146" s="1063">
        <f>'d3'!J146-'d3-П'!J146</f>
        <v>0</v>
      </c>
      <c r="K146" s="1063">
        <f>'d3'!K146-'d3-П'!K146</f>
        <v>0</v>
      </c>
      <c r="L146" s="1063">
        <f>'d3'!L146-'d3-П'!L146</f>
        <v>0</v>
      </c>
      <c r="M146" s="1063">
        <f>'d3'!M146-'d3-П'!M146</f>
        <v>0</v>
      </c>
      <c r="N146" s="1063">
        <f>'d3'!N146-'d3-П'!N146</f>
        <v>0</v>
      </c>
      <c r="O146" s="1063">
        <f>'d3'!O146-'d3-П'!O146</f>
        <v>0</v>
      </c>
      <c r="P146" s="1063">
        <f>'d3'!P146-'d3-П'!P146</f>
        <v>0</v>
      </c>
    </row>
    <row r="147" spans="1:16" ht="183.75" thickBot="1" x14ac:dyDescent="0.25">
      <c r="A147" s="968"/>
      <c r="B147" s="968"/>
      <c r="C147" s="968"/>
      <c r="D147" s="834" t="s">
        <v>1411</v>
      </c>
      <c r="E147" s="1064"/>
      <c r="F147" s="1064">
        <f>'d3'!F147-'d3-П'!F147</f>
        <v>0</v>
      </c>
      <c r="G147" s="1064">
        <f>'d3'!G147-'d3-П'!G147</f>
        <v>0</v>
      </c>
      <c r="H147" s="1064">
        <f>'d3'!H147-'d3-П'!H147</f>
        <v>0</v>
      </c>
      <c r="I147" s="1064">
        <f>'d3'!I147-'d3-П'!I147</f>
        <v>0</v>
      </c>
      <c r="J147" s="1064">
        <f>'d3'!J147-'d3-П'!J147</f>
        <v>0</v>
      </c>
      <c r="K147" s="1064">
        <f>'d3'!K147-'d3-П'!K147</f>
        <v>0</v>
      </c>
      <c r="L147" s="1064">
        <f>'d3'!L147-'d3-П'!L147</f>
        <v>0</v>
      </c>
      <c r="M147" s="1064">
        <f>'d3'!M147-'d3-П'!M147</f>
        <v>0</v>
      </c>
      <c r="N147" s="1064">
        <f>'d3'!N147-'d3-П'!N147</f>
        <v>0</v>
      </c>
      <c r="O147" s="1064">
        <f>'d3'!O147-'d3-П'!O147</f>
        <v>0</v>
      </c>
      <c r="P147" s="1064">
        <f>'d3'!P147-'d3-П'!P147</f>
        <v>0</v>
      </c>
    </row>
    <row r="148" spans="1:16" ht="409.6" thickTop="1" x14ac:dyDescent="0.65">
      <c r="A148" s="974" t="s">
        <v>1414</v>
      </c>
      <c r="B148" s="974" t="s">
        <v>1415</v>
      </c>
      <c r="C148" s="974" t="s">
        <v>52</v>
      </c>
      <c r="D148" s="832" t="s">
        <v>1416</v>
      </c>
      <c r="E148" s="966">
        <f>'d3'!E148-'d3-П'!E148</f>
        <v>0</v>
      </c>
      <c r="F148" s="966">
        <f>'d3'!F148-'d3-П'!F148</f>
        <v>0</v>
      </c>
      <c r="G148" s="966">
        <f>'d3'!G148-'d3-П'!G148</f>
        <v>0</v>
      </c>
      <c r="H148" s="966">
        <f>'d3'!H148-'d3-П'!H148</f>
        <v>0</v>
      </c>
      <c r="I148" s="966">
        <f>'d3'!I148-'d3-П'!I148</f>
        <v>0</v>
      </c>
      <c r="J148" s="966">
        <f>'d3'!J148-'d3-П'!J148</f>
        <v>0</v>
      </c>
      <c r="K148" s="966">
        <f>'d3'!K148-'d3-П'!K148</f>
        <v>0</v>
      </c>
      <c r="L148" s="966">
        <f>'d3'!L148-'d3-П'!L148</f>
        <v>0</v>
      </c>
      <c r="M148" s="966">
        <f>'d3'!M148-'d3-П'!M148</f>
        <v>0</v>
      </c>
      <c r="N148" s="966">
        <f>'d3'!N148-'d3-П'!N148</f>
        <v>0</v>
      </c>
      <c r="O148" s="966">
        <f>'d3'!O148-'d3-П'!O148</f>
        <v>0</v>
      </c>
      <c r="P148" s="966">
        <f>'d3'!P148-'d3-П'!P148</f>
        <v>0</v>
      </c>
    </row>
    <row r="149" spans="1:16" ht="409.5" x14ac:dyDescent="0.2">
      <c r="A149" s="967"/>
      <c r="B149" s="967"/>
      <c r="C149" s="967"/>
      <c r="D149" s="833" t="s">
        <v>1417</v>
      </c>
      <c r="E149" s="1063">
        <f>'d3'!E149-'d3-П'!E149</f>
        <v>0</v>
      </c>
      <c r="F149" s="1063">
        <f>'d3'!F149-'d3-П'!F149</f>
        <v>0</v>
      </c>
      <c r="G149" s="1063">
        <f>'d3'!G149-'d3-П'!G149</f>
        <v>0</v>
      </c>
      <c r="H149" s="1063">
        <f>'d3'!H149-'d3-П'!H149</f>
        <v>0</v>
      </c>
      <c r="I149" s="1063">
        <f>'d3'!I149-'d3-П'!I149</f>
        <v>0</v>
      </c>
      <c r="J149" s="1063">
        <f>'d3'!J149-'d3-П'!J149</f>
        <v>0</v>
      </c>
      <c r="K149" s="1063">
        <f>'d3'!K149-'d3-П'!K149</f>
        <v>0</v>
      </c>
      <c r="L149" s="1063">
        <f>'d3'!L149-'d3-П'!L149</f>
        <v>0</v>
      </c>
      <c r="M149" s="1063">
        <f>'d3'!M149-'d3-П'!M149</f>
        <v>0</v>
      </c>
      <c r="N149" s="1063">
        <f>'d3'!N149-'d3-П'!N149</f>
        <v>0</v>
      </c>
      <c r="O149" s="1063">
        <f>'d3'!O149-'d3-П'!O149</f>
        <v>0</v>
      </c>
      <c r="P149" s="1063">
        <f>'d3'!P149-'d3-П'!P149</f>
        <v>0</v>
      </c>
    </row>
    <row r="150" spans="1:16" ht="138" thickBot="1" x14ac:dyDescent="0.25">
      <c r="A150" s="968"/>
      <c r="B150" s="968"/>
      <c r="C150" s="968"/>
      <c r="D150" s="834" t="s">
        <v>1418</v>
      </c>
      <c r="E150" s="1063">
        <f>'d3'!E150-'d3-П'!E150</f>
        <v>0</v>
      </c>
      <c r="F150" s="1063">
        <f>'d3'!F150-'d3-П'!F150</f>
        <v>0</v>
      </c>
      <c r="G150" s="1063">
        <f>'d3'!G150-'d3-П'!G150</f>
        <v>0</v>
      </c>
      <c r="H150" s="1063">
        <f>'d3'!H150-'d3-П'!H150</f>
        <v>0</v>
      </c>
      <c r="I150" s="1063">
        <f>'d3'!I150-'d3-П'!I150</f>
        <v>0</v>
      </c>
      <c r="J150" s="1063">
        <f>'d3'!J150-'d3-П'!J150</f>
        <v>0</v>
      </c>
      <c r="K150" s="1063">
        <f>'d3'!K150-'d3-П'!K150</f>
        <v>0</v>
      </c>
      <c r="L150" s="1063">
        <f>'d3'!L150-'d3-П'!L150</f>
        <v>0</v>
      </c>
      <c r="M150" s="1063">
        <f>'d3'!M150-'d3-П'!M150</f>
        <v>0</v>
      </c>
      <c r="N150" s="1063">
        <f>'d3'!N150-'d3-П'!N150</f>
        <v>0</v>
      </c>
      <c r="O150" s="1063">
        <f>'d3'!O150-'d3-П'!O150</f>
        <v>0</v>
      </c>
      <c r="P150" s="1063">
        <f>'d3'!P150-'d3-П'!P150</f>
        <v>0</v>
      </c>
    </row>
    <row r="151" spans="1:16" ht="409.6" thickTop="1" x14ac:dyDescent="0.65">
      <c r="A151" s="974" t="s">
        <v>1422</v>
      </c>
      <c r="B151" s="974" t="s">
        <v>1423</v>
      </c>
      <c r="C151" s="974" t="s">
        <v>52</v>
      </c>
      <c r="D151" s="832" t="s">
        <v>1419</v>
      </c>
      <c r="E151" s="966">
        <f>'d3'!E151-'d3-П'!E151</f>
        <v>0</v>
      </c>
      <c r="F151" s="966">
        <f>'d3'!F151-'d3-П'!F151</f>
        <v>0</v>
      </c>
      <c r="G151" s="966">
        <f>'d3'!G151-'d3-П'!G151</f>
        <v>0</v>
      </c>
      <c r="H151" s="966">
        <f>'d3'!H151-'d3-П'!H151</f>
        <v>0</v>
      </c>
      <c r="I151" s="966">
        <f>'d3'!I151-'d3-П'!I151</f>
        <v>0</v>
      </c>
      <c r="J151" s="966">
        <f>'d3'!J151-'d3-П'!J151</f>
        <v>0</v>
      </c>
      <c r="K151" s="966">
        <f>'d3'!K151-'d3-П'!K151</f>
        <v>0</v>
      </c>
      <c r="L151" s="966">
        <f>'d3'!L151-'d3-П'!L151</f>
        <v>0</v>
      </c>
      <c r="M151" s="966">
        <f>'d3'!M151-'d3-П'!M151</f>
        <v>0</v>
      </c>
      <c r="N151" s="966">
        <f>'d3'!N151-'d3-П'!N151</f>
        <v>0</v>
      </c>
      <c r="O151" s="966">
        <f>'d3'!O151-'d3-П'!O151</f>
        <v>0</v>
      </c>
      <c r="P151" s="966">
        <f>'d3'!P151-'d3-П'!P151</f>
        <v>0</v>
      </c>
    </row>
    <row r="152" spans="1:16" ht="352.5" customHeight="1" x14ac:dyDescent="0.2">
      <c r="A152" s="967"/>
      <c r="B152" s="967"/>
      <c r="C152" s="967"/>
      <c r="D152" s="833" t="s">
        <v>1420</v>
      </c>
      <c r="E152" s="1063">
        <f>'d3'!E152-'d3-П'!E152</f>
        <v>0</v>
      </c>
      <c r="F152" s="1063">
        <f>'d3'!F152-'d3-П'!F152</f>
        <v>0</v>
      </c>
      <c r="G152" s="1063">
        <f>'d3'!G152-'d3-П'!G152</f>
        <v>0</v>
      </c>
      <c r="H152" s="1063">
        <f>'d3'!H152-'d3-П'!H152</f>
        <v>0</v>
      </c>
      <c r="I152" s="1063">
        <f>'d3'!I152-'d3-П'!I152</f>
        <v>0</v>
      </c>
      <c r="J152" s="1063">
        <f>'d3'!J152-'d3-П'!J152</f>
        <v>0</v>
      </c>
      <c r="K152" s="1063">
        <f>'d3'!K152-'d3-П'!K152</f>
        <v>0</v>
      </c>
      <c r="L152" s="1063">
        <f>'d3'!L152-'d3-П'!L152</f>
        <v>0</v>
      </c>
      <c r="M152" s="1063">
        <f>'d3'!M152-'d3-П'!M152</f>
        <v>0</v>
      </c>
      <c r="N152" s="1063">
        <f>'d3'!N152-'d3-П'!N152</f>
        <v>0</v>
      </c>
      <c r="O152" s="1063">
        <f>'d3'!O152-'d3-П'!O152</f>
        <v>0</v>
      </c>
      <c r="P152" s="1063">
        <f>'d3'!P152-'d3-П'!P152</f>
        <v>0</v>
      </c>
    </row>
    <row r="153" spans="1:16" ht="92.25" thickBot="1" x14ac:dyDescent="0.25">
      <c r="A153" s="968"/>
      <c r="B153" s="968"/>
      <c r="C153" s="968"/>
      <c r="D153" s="834" t="s">
        <v>1421</v>
      </c>
      <c r="E153" s="1063">
        <f>'d3'!E153-'d3-П'!E153</f>
        <v>0</v>
      </c>
      <c r="F153" s="1063">
        <f>'d3'!F153-'d3-П'!F153</f>
        <v>0</v>
      </c>
      <c r="G153" s="1063">
        <f>'d3'!G153-'d3-П'!G153</f>
        <v>0</v>
      </c>
      <c r="H153" s="1063">
        <f>'d3'!H153-'d3-П'!H153</f>
        <v>0</v>
      </c>
      <c r="I153" s="1063">
        <f>'d3'!I153-'d3-П'!I153</f>
        <v>0</v>
      </c>
      <c r="J153" s="1063">
        <f>'d3'!J153-'d3-П'!J153</f>
        <v>0</v>
      </c>
      <c r="K153" s="1063">
        <f>'d3'!K153-'d3-П'!K153</f>
        <v>0</v>
      </c>
      <c r="L153" s="1063">
        <f>'d3'!L153-'d3-П'!L153</f>
        <v>0</v>
      </c>
      <c r="M153" s="1063">
        <f>'d3'!M153-'d3-П'!M153</f>
        <v>0</v>
      </c>
      <c r="N153" s="1063">
        <f>'d3'!N153-'d3-П'!N153</f>
        <v>0</v>
      </c>
      <c r="O153" s="1063">
        <f>'d3'!O153-'d3-П'!O153</f>
        <v>0</v>
      </c>
      <c r="P153" s="1063">
        <f>'d3'!P153-'d3-П'!P153</f>
        <v>0</v>
      </c>
    </row>
    <row r="154" spans="1:16" s="39" customFormat="1" ht="47.25" thickTop="1" thickBot="1" x14ac:dyDescent="0.25">
      <c r="A154" s="345" t="s">
        <v>895</v>
      </c>
      <c r="B154" s="345" t="s">
        <v>896</v>
      </c>
      <c r="C154" s="345"/>
      <c r="D154" s="345" t="s">
        <v>897</v>
      </c>
      <c r="E154" s="840">
        <f>'d3'!E154-'d3-П'!E154</f>
        <v>886540</v>
      </c>
      <c r="F154" s="840">
        <f>'d3'!F154-'d3-П'!F154</f>
        <v>886540</v>
      </c>
      <c r="G154" s="840">
        <f>'d3'!G154-'d3-П'!G154</f>
        <v>0</v>
      </c>
      <c r="H154" s="840">
        <f>'d3'!H154-'d3-П'!H154</f>
        <v>0</v>
      </c>
      <c r="I154" s="840">
        <f>'d3'!I154-'d3-П'!I154</f>
        <v>0</v>
      </c>
      <c r="J154" s="840">
        <f>'d3'!J154-'d3-П'!J154</f>
        <v>0</v>
      </c>
      <c r="K154" s="840">
        <f>'d3'!K154-'d3-П'!K154</f>
        <v>0</v>
      </c>
      <c r="L154" s="840">
        <f>'d3'!L154-'d3-П'!L154</f>
        <v>0</v>
      </c>
      <c r="M154" s="840">
        <f>'d3'!M154-'d3-П'!M154</f>
        <v>0</v>
      </c>
      <c r="N154" s="840">
        <f>'d3'!N154-'d3-П'!N154</f>
        <v>0</v>
      </c>
      <c r="O154" s="840">
        <f>'d3'!O154-'d3-П'!O154</f>
        <v>0</v>
      </c>
      <c r="P154" s="840">
        <f>'d3'!P154-'d3-П'!P154</f>
        <v>886540</v>
      </c>
    </row>
    <row r="155" spans="1:16" ht="184.5" thickTop="1" thickBot="1" x14ac:dyDescent="0.25">
      <c r="A155" s="843" t="s">
        <v>352</v>
      </c>
      <c r="B155" s="843" t="s">
        <v>354</v>
      </c>
      <c r="C155" s="843" t="s">
        <v>209</v>
      </c>
      <c r="D155" s="321" t="s">
        <v>356</v>
      </c>
      <c r="E155" s="840">
        <f>'d3'!E155-'d3-П'!E155</f>
        <v>0</v>
      </c>
      <c r="F155" s="840">
        <f>'d3'!F155-'d3-П'!F155</f>
        <v>0</v>
      </c>
      <c r="G155" s="840">
        <f>'d3'!G155-'d3-П'!G155</f>
        <v>0</v>
      </c>
      <c r="H155" s="840">
        <f>'d3'!H155-'d3-П'!H155</f>
        <v>0</v>
      </c>
      <c r="I155" s="840">
        <f>'d3'!I155-'d3-П'!I155</f>
        <v>0</v>
      </c>
      <c r="J155" s="840">
        <f>'d3'!J155-'d3-П'!J155</f>
        <v>0</v>
      </c>
      <c r="K155" s="840">
        <f>'d3'!K155-'d3-П'!K155</f>
        <v>0</v>
      </c>
      <c r="L155" s="840">
        <f>'d3'!L155-'d3-П'!L155</f>
        <v>0</v>
      </c>
      <c r="M155" s="840">
        <f>'d3'!M155-'d3-П'!M155</f>
        <v>0</v>
      </c>
      <c r="N155" s="840">
        <f>'d3'!N155-'d3-П'!N155</f>
        <v>0</v>
      </c>
      <c r="O155" s="840">
        <f>'d3'!O155-'d3-П'!O155</f>
        <v>0</v>
      </c>
      <c r="P155" s="840">
        <f>'d3'!P155-'d3-П'!P155</f>
        <v>0</v>
      </c>
    </row>
    <row r="156" spans="1:16" ht="138.75" thickTop="1" thickBot="1" x14ac:dyDescent="0.25">
      <c r="A156" s="843" t="s">
        <v>353</v>
      </c>
      <c r="B156" s="843" t="s">
        <v>355</v>
      </c>
      <c r="C156" s="843" t="s">
        <v>209</v>
      </c>
      <c r="D156" s="321" t="s">
        <v>357</v>
      </c>
      <c r="E156" s="840">
        <f>'d3'!E156-'d3-П'!E156</f>
        <v>886540</v>
      </c>
      <c r="F156" s="840">
        <f>'d3'!F156-'d3-П'!F156</f>
        <v>886540</v>
      </c>
      <c r="G156" s="840">
        <f>'d3'!G156-'d3-П'!G156</f>
        <v>0</v>
      </c>
      <c r="H156" s="840">
        <f>'d3'!H156-'d3-П'!H156</f>
        <v>0</v>
      </c>
      <c r="I156" s="840">
        <f>'d3'!I156-'d3-П'!I156</f>
        <v>0</v>
      </c>
      <c r="J156" s="840">
        <f>'d3'!J156-'d3-П'!J156</f>
        <v>0</v>
      </c>
      <c r="K156" s="840">
        <f>'d3'!K156-'d3-П'!K156</f>
        <v>0</v>
      </c>
      <c r="L156" s="840">
        <f>'d3'!L156-'d3-П'!L156</f>
        <v>0</v>
      </c>
      <c r="M156" s="840">
        <f>'d3'!M156-'d3-П'!M156</f>
        <v>0</v>
      </c>
      <c r="N156" s="840">
        <f>'d3'!N156-'d3-П'!N156</f>
        <v>0</v>
      </c>
      <c r="O156" s="840">
        <f>'d3'!O156-'d3-П'!O156</f>
        <v>0</v>
      </c>
      <c r="P156" s="840">
        <f>'d3'!P156-'d3-П'!P156</f>
        <v>886540</v>
      </c>
    </row>
    <row r="157" spans="1:16" ht="91.5" thickTop="1" thickBot="1" x14ac:dyDescent="0.25">
      <c r="A157" s="422" t="s">
        <v>898</v>
      </c>
      <c r="B157" s="422" t="s">
        <v>899</v>
      </c>
      <c r="C157" s="422"/>
      <c r="D157" s="417" t="s">
        <v>900</v>
      </c>
      <c r="E157" s="840">
        <f>'d3'!E157-'d3-П'!E157</f>
        <v>0</v>
      </c>
      <c r="F157" s="840">
        <f>'d3'!F157-'d3-П'!F157</f>
        <v>0</v>
      </c>
      <c r="G157" s="840">
        <f>'d3'!G157-'d3-П'!G157</f>
        <v>0</v>
      </c>
      <c r="H157" s="840">
        <f>'d3'!H157-'d3-П'!H157</f>
        <v>0</v>
      </c>
      <c r="I157" s="840">
        <f>'d3'!I157-'d3-П'!I157</f>
        <v>0</v>
      </c>
      <c r="J157" s="840">
        <f>'d3'!J157-'d3-П'!J157</f>
        <v>-376956</v>
      </c>
      <c r="K157" s="840">
        <f>'d3'!K157-'d3-П'!K157</f>
        <v>-376956</v>
      </c>
      <c r="L157" s="840">
        <f>'d3'!L157-'d3-П'!L157</f>
        <v>0</v>
      </c>
      <c r="M157" s="840">
        <f>'d3'!M157-'d3-П'!M157</f>
        <v>0</v>
      </c>
      <c r="N157" s="840">
        <f>'d3'!N157-'d3-П'!N157</f>
        <v>0</v>
      </c>
      <c r="O157" s="840">
        <f>'d3'!O157-'d3-П'!O157</f>
        <v>-376956</v>
      </c>
      <c r="P157" s="840">
        <f>'d3'!P157-'d3-П'!P157</f>
        <v>-376956</v>
      </c>
    </row>
    <row r="158" spans="1:16" s="39" customFormat="1" ht="93" thickTop="1" thickBot="1" x14ac:dyDescent="0.25">
      <c r="A158" s="345" t="s">
        <v>901</v>
      </c>
      <c r="B158" s="345" t="s">
        <v>902</v>
      </c>
      <c r="C158" s="345"/>
      <c r="D158" s="418" t="s">
        <v>903</v>
      </c>
      <c r="E158" s="840">
        <f>'d3'!E158-'d3-П'!E158</f>
        <v>0</v>
      </c>
      <c r="F158" s="840">
        <f>'d3'!F158-'d3-П'!F158</f>
        <v>0</v>
      </c>
      <c r="G158" s="840">
        <f>'d3'!G158-'d3-П'!G158</f>
        <v>0</v>
      </c>
      <c r="H158" s="840">
        <f>'d3'!H158-'d3-П'!H158</f>
        <v>0</v>
      </c>
      <c r="I158" s="840">
        <f>'d3'!I158-'d3-П'!I158</f>
        <v>0</v>
      </c>
      <c r="J158" s="840">
        <f>'d3'!J158-'d3-П'!J158</f>
        <v>-376956</v>
      </c>
      <c r="K158" s="840">
        <f>'d3'!K158-'d3-П'!K158</f>
        <v>-376956</v>
      </c>
      <c r="L158" s="840">
        <f>'d3'!L158-'d3-П'!L158</f>
        <v>0</v>
      </c>
      <c r="M158" s="840">
        <f>'d3'!M158-'d3-П'!M158</f>
        <v>0</v>
      </c>
      <c r="N158" s="840">
        <f>'d3'!N158-'d3-П'!N158</f>
        <v>0</v>
      </c>
      <c r="O158" s="840">
        <f>'d3'!O158-'d3-П'!O158</f>
        <v>-376956</v>
      </c>
      <c r="P158" s="840">
        <f>'d3'!P158-'d3-П'!P158</f>
        <v>-376956</v>
      </c>
    </row>
    <row r="159" spans="1:16" ht="138.75" thickTop="1" thickBot="1" x14ac:dyDescent="0.25">
      <c r="A159" s="843" t="s">
        <v>393</v>
      </c>
      <c r="B159" s="843" t="s">
        <v>391</v>
      </c>
      <c r="C159" s="843" t="s">
        <v>365</v>
      </c>
      <c r="D159" s="321" t="s">
        <v>392</v>
      </c>
      <c r="E159" s="840">
        <f>'d3'!E159-'d3-П'!E159</f>
        <v>0</v>
      </c>
      <c r="F159" s="840">
        <f>'d3'!F159-'d3-П'!F159</f>
        <v>0</v>
      </c>
      <c r="G159" s="840">
        <f>'d3'!G159-'d3-П'!G159</f>
        <v>0</v>
      </c>
      <c r="H159" s="840">
        <f>'d3'!H159-'d3-П'!H159</f>
        <v>0</v>
      </c>
      <c r="I159" s="840">
        <f>'d3'!I159-'d3-П'!I159</f>
        <v>0</v>
      </c>
      <c r="J159" s="840">
        <f>'d3'!J159-'d3-П'!J159</f>
        <v>0</v>
      </c>
      <c r="K159" s="840">
        <f>'d3'!K159-'d3-П'!K159</f>
        <v>0</v>
      </c>
      <c r="L159" s="840">
        <f>'d3'!L159-'d3-П'!L159</f>
        <v>0</v>
      </c>
      <c r="M159" s="840">
        <f>'d3'!M159-'d3-П'!M159</f>
        <v>0</v>
      </c>
      <c r="N159" s="840">
        <f>'d3'!N159-'d3-П'!N159</f>
        <v>0</v>
      </c>
      <c r="O159" s="840">
        <f>'d3'!O159-'d3-П'!O159</f>
        <v>0</v>
      </c>
      <c r="P159" s="840">
        <f>'d3'!P159-'d3-П'!P159</f>
        <v>0</v>
      </c>
    </row>
    <row r="160" spans="1:16" ht="409.6" thickTop="1" thickBot="1" x14ac:dyDescent="0.25">
      <c r="A160" s="843" t="s">
        <v>1424</v>
      </c>
      <c r="B160" s="843" t="s">
        <v>1425</v>
      </c>
      <c r="C160" s="843" t="s">
        <v>365</v>
      </c>
      <c r="D160" s="321" t="s">
        <v>1426</v>
      </c>
      <c r="E160" s="840">
        <f>'d3'!E160-'d3-П'!E160</f>
        <v>0</v>
      </c>
      <c r="F160" s="840">
        <f>'d3'!F160-'d3-П'!F160</f>
        <v>0</v>
      </c>
      <c r="G160" s="840">
        <f>'d3'!G160-'d3-П'!G160</f>
        <v>0</v>
      </c>
      <c r="H160" s="840">
        <f>'d3'!H160-'d3-П'!H160</f>
        <v>0</v>
      </c>
      <c r="I160" s="840">
        <f>'d3'!I160-'d3-П'!I160</f>
        <v>0</v>
      </c>
      <c r="J160" s="840">
        <f>'d3'!J160-'d3-П'!J160</f>
        <v>-376956</v>
      </c>
      <c r="K160" s="840">
        <f>'d3'!K160-'d3-П'!K160</f>
        <v>-376956</v>
      </c>
      <c r="L160" s="840">
        <f>'d3'!L160-'d3-П'!L160</f>
        <v>0</v>
      </c>
      <c r="M160" s="840">
        <f>'d3'!M160-'d3-П'!M160</f>
        <v>0</v>
      </c>
      <c r="N160" s="840">
        <f>'d3'!N160-'d3-П'!N160</f>
        <v>0</v>
      </c>
      <c r="O160" s="840">
        <f>'d3'!O160-'d3-П'!O160</f>
        <v>-376956</v>
      </c>
      <c r="P160" s="840">
        <f>'d3'!P160-'d3-П'!P160</f>
        <v>-376956</v>
      </c>
    </row>
    <row r="161" spans="1:16" ht="47.25" thickTop="1" thickBot="1" x14ac:dyDescent="0.25">
      <c r="A161" s="422" t="s">
        <v>908</v>
      </c>
      <c r="B161" s="421" t="s">
        <v>905</v>
      </c>
      <c r="C161" s="421"/>
      <c r="D161" s="421" t="s">
        <v>906</v>
      </c>
      <c r="E161" s="840">
        <f>'d3'!E161-'d3-П'!E161</f>
        <v>0</v>
      </c>
      <c r="F161" s="840">
        <f>'d3'!F161-'d3-П'!F161</f>
        <v>0</v>
      </c>
      <c r="G161" s="840">
        <f>'d3'!G161-'d3-П'!G161</f>
        <v>0</v>
      </c>
      <c r="H161" s="840">
        <f>'d3'!H161-'d3-П'!H161</f>
        <v>0</v>
      </c>
      <c r="I161" s="840">
        <f>'d3'!I161-'d3-П'!I161</f>
        <v>0</v>
      </c>
      <c r="J161" s="840">
        <f>'d3'!J161-'d3-П'!J161</f>
        <v>0</v>
      </c>
      <c r="K161" s="840">
        <f>'d3'!K161-'d3-П'!K161</f>
        <v>0</v>
      </c>
      <c r="L161" s="840">
        <f>'d3'!L161-'d3-П'!L161</f>
        <v>0</v>
      </c>
      <c r="M161" s="840">
        <f>'d3'!M161-'d3-П'!M161</f>
        <v>0</v>
      </c>
      <c r="N161" s="840">
        <f>'d3'!N161-'d3-П'!N161</f>
        <v>0</v>
      </c>
      <c r="O161" s="840">
        <f>'d3'!O161-'d3-П'!O161</f>
        <v>0</v>
      </c>
      <c r="P161" s="840">
        <f>'d3'!P161-'d3-П'!P161</f>
        <v>0</v>
      </c>
    </row>
    <row r="162" spans="1:16" ht="91.5" thickTop="1" thickBot="1" x14ac:dyDescent="0.25">
      <c r="A162" s="379" t="s">
        <v>1143</v>
      </c>
      <c r="B162" s="380" t="s">
        <v>961</v>
      </c>
      <c r="C162" s="380"/>
      <c r="D162" s="380" t="s">
        <v>962</v>
      </c>
      <c r="E162" s="840">
        <f>'d3'!E162-'d3-П'!E162</f>
        <v>0</v>
      </c>
      <c r="F162" s="840">
        <f>'d3'!F162-'d3-П'!F162</f>
        <v>0</v>
      </c>
      <c r="G162" s="840">
        <f>'d3'!G162-'d3-П'!G162</f>
        <v>0</v>
      </c>
      <c r="H162" s="840">
        <f>'d3'!H162-'d3-П'!H162</f>
        <v>0</v>
      </c>
      <c r="I162" s="840">
        <f>'d3'!I162-'d3-П'!I162</f>
        <v>0</v>
      </c>
      <c r="J162" s="840">
        <f>'d3'!J162-'d3-П'!J162</f>
        <v>0</v>
      </c>
      <c r="K162" s="840">
        <f>'d3'!K162-'d3-П'!K162</f>
        <v>0</v>
      </c>
      <c r="L162" s="840">
        <f>'d3'!L162-'d3-П'!L162</f>
        <v>0</v>
      </c>
      <c r="M162" s="840">
        <f>'d3'!M162-'d3-П'!M162</f>
        <v>0</v>
      </c>
      <c r="N162" s="840">
        <f>'d3'!N162-'d3-П'!N162</f>
        <v>0</v>
      </c>
      <c r="O162" s="840">
        <f>'d3'!O162-'d3-П'!O162</f>
        <v>0</v>
      </c>
      <c r="P162" s="840">
        <f>'d3'!P162-'d3-П'!P162</f>
        <v>0</v>
      </c>
    </row>
    <row r="163" spans="1:16" ht="146.25" thickTop="1" thickBot="1" x14ac:dyDescent="0.25">
      <c r="A163" s="345" t="s">
        <v>1139</v>
      </c>
      <c r="B163" s="345" t="s">
        <v>980</v>
      </c>
      <c r="C163" s="345"/>
      <c r="D163" s="345" t="s">
        <v>981</v>
      </c>
      <c r="E163" s="840">
        <f>'d3'!E163-'d3-П'!E163</f>
        <v>0</v>
      </c>
      <c r="F163" s="840">
        <f>'d3'!F163-'d3-П'!F163</f>
        <v>0</v>
      </c>
      <c r="G163" s="840">
        <f>'d3'!G163-'d3-П'!G163</f>
        <v>0</v>
      </c>
      <c r="H163" s="840">
        <f>'d3'!H163-'d3-П'!H163</f>
        <v>0</v>
      </c>
      <c r="I163" s="840">
        <f>'d3'!I163-'d3-П'!I163</f>
        <v>0</v>
      </c>
      <c r="J163" s="840">
        <f>'d3'!J163-'d3-П'!J163</f>
        <v>0</v>
      </c>
      <c r="K163" s="840">
        <f>'d3'!K163-'d3-П'!K163</f>
        <v>0</v>
      </c>
      <c r="L163" s="840">
        <f>'d3'!L163-'d3-П'!L163</f>
        <v>0</v>
      </c>
      <c r="M163" s="840">
        <f>'d3'!M163-'d3-П'!M163</f>
        <v>0</v>
      </c>
      <c r="N163" s="840">
        <f>'d3'!N163-'d3-П'!N163</f>
        <v>0</v>
      </c>
      <c r="O163" s="840">
        <f>'d3'!O163-'d3-П'!O163</f>
        <v>0</v>
      </c>
      <c r="P163" s="840">
        <f>'d3'!P163-'d3-П'!P163</f>
        <v>0</v>
      </c>
    </row>
    <row r="164" spans="1:16" ht="99.75" thickTop="1" thickBot="1" x14ac:dyDescent="0.25">
      <c r="A164" s="843" t="s">
        <v>1140</v>
      </c>
      <c r="B164" s="843" t="s">
        <v>1141</v>
      </c>
      <c r="C164" s="843" t="s">
        <v>323</v>
      </c>
      <c r="D164" s="843" t="s">
        <v>1142</v>
      </c>
      <c r="E164" s="840">
        <f>'d3'!E164-'d3-П'!E164</f>
        <v>0</v>
      </c>
      <c r="F164" s="840">
        <f>'d3'!F164-'d3-П'!F164</f>
        <v>0</v>
      </c>
      <c r="G164" s="840">
        <f>'d3'!G164-'d3-П'!G164</f>
        <v>0</v>
      </c>
      <c r="H164" s="840">
        <f>'d3'!H164-'d3-П'!H164</f>
        <v>0</v>
      </c>
      <c r="I164" s="840">
        <f>'d3'!I164-'d3-П'!I164</f>
        <v>0</v>
      </c>
      <c r="J164" s="840">
        <f>'d3'!J164-'d3-П'!J164</f>
        <v>0</v>
      </c>
      <c r="K164" s="840">
        <f>'d3'!K164-'d3-П'!K164</f>
        <v>0</v>
      </c>
      <c r="L164" s="840">
        <f>'d3'!L164-'d3-П'!L164</f>
        <v>0</v>
      </c>
      <c r="M164" s="840">
        <f>'d3'!M164-'d3-П'!M164</f>
        <v>0</v>
      </c>
      <c r="N164" s="840">
        <f>'d3'!N164-'d3-П'!N164</f>
        <v>0</v>
      </c>
      <c r="O164" s="840">
        <f>'d3'!O164-'d3-П'!O164</f>
        <v>0</v>
      </c>
      <c r="P164" s="840">
        <f>'d3'!P164-'d3-П'!P164</f>
        <v>0</v>
      </c>
    </row>
    <row r="165" spans="1:16" ht="136.5" thickTop="1" thickBot="1" x14ac:dyDescent="0.25">
      <c r="A165" s="379" t="s">
        <v>910</v>
      </c>
      <c r="B165" s="380" t="s">
        <v>847</v>
      </c>
      <c r="C165" s="380"/>
      <c r="D165" s="380" t="s">
        <v>845</v>
      </c>
      <c r="E165" s="840">
        <f>'d3'!E165-'d3-П'!E165</f>
        <v>0</v>
      </c>
      <c r="F165" s="840">
        <f>'d3'!F165-'d3-П'!F165</f>
        <v>0</v>
      </c>
      <c r="G165" s="840">
        <f>'d3'!G165-'d3-П'!G165</f>
        <v>0</v>
      </c>
      <c r="H165" s="840">
        <f>'d3'!H165-'d3-П'!H165</f>
        <v>0</v>
      </c>
      <c r="I165" s="840">
        <f>'d3'!I165-'d3-П'!I165</f>
        <v>0</v>
      </c>
      <c r="J165" s="840">
        <f>'d3'!J165-'d3-П'!J165</f>
        <v>0</v>
      </c>
      <c r="K165" s="840">
        <f>'d3'!K165-'d3-П'!K165</f>
        <v>0</v>
      </c>
      <c r="L165" s="840">
        <f>'d3'!L165-'d3-П'!L165</f>
        <v>0</v>
      </c>
      <c r="M165" s="840">
        <f>'d3'!M165-'d3-П'!M165</f>
        <v>0</v>
      </c>
      <c r="N165" s="840">
        <f>'d3'!N165-'d3-П'!N165</f>
        <v>0</v>
      </c>
      <c r="O165" s="840">
        <f>'d3'!O165-'d3-П'!O165</f>
        <v>0</v>
      </c>
      <c r="P165" s="840">
        <f>'d3'!P165-'d3-П'!P165</f>
        <v>0</v>
      </c>
    </row>
    <row r="166" spans="1:16" ht="47.25" thickTop="1" thickBot="1" x14ac:dyDescent="0.25">
      <c r="A166" s="378" t="s">
        <v>909</v>
      </c>
      <c r="B166" s="378" t="s">
        <v>850</v>
      </c>
      <c r="C166" s="378"/>
      <c r="D166" s="418" t="s">
        <v>848</v>
      </c>
      <c r="E166" s="840">
        <f>'d3'!E166-'d3-П'!E166</f>
        <v>0</v>
      </c>
      <c r="F166" s="840">
        <f>'d3'!F166-'d3-П'!F166</f>
        <v>0</v>
      </c>
      <c r="G166" s="840">
        <f>'d3'!G166-'d3-П'!G166</f>
        <v>0</v>
      </c>
      <c r="H166" s="840">
        <f>'d3'!H166-'d3-П'!H166</f>
        <v>0</v>
      </c>
      <c r="I166" s="840">
        <f>'d3'!I166-'d3-П'!I166</f>
        <v>0</v>
      </c>
      <c r="J166" s="840">
        <f>'d3'!J166-'d3-П'!J166</f>
        <v>0</v>
      </c>
      <c r="K166" s="840">
        <f>'d3'!K166-'d3-П'!K166</f>
        <v>0</v>
      </c>
      <c r="L166" s="840">
        <f>'d3'!L166-'d3-П'!L166</f>
        <v>0</v>
      </c>
      <c r="M166" s="840">
        <f>'d3'!M166-'d3-П'!M166</f>
        <v>0</v>
      </c>
      <c r="N166" s="840">
        <f>'d3'!N166-'d3-П'!N166</f>
        <v>0</v>
      </c>
      <c r="O166" s="840">
        <f>'d3'!O166-'d3-П'!O166</f>
        <v>0</v>
      </c>
      <c r="P166" s="840">
        <f>'d3'!P166-'d3-П'!P166</f>
        <v>0</v>
      </c>
    </row>
    <row r="167" spans="1:16" ht="409.6" thickTop="1" thickBot="1" x14ac:dyDescent="0.7">
      <c r="A167" s="983" t="s">
        <v>451</v>
      </c>
      <c r="B167" s="983" t="s">
        <v>363</v>
      </c>
      <c r="C167" s="983" t="s">
        <v>184</v>
      </c>
      <c r="D167" s="315" t="s">
        <v>473</v>
      </c>
      <c r="E167" s="966">
        <f>'d3'!E167-'d3-П'!E167</f>
        <v>0</v>
      </c>
      <c r="F167" s="966">
        <f>'d3'!F167-'d3-П'!F167</f>
        <v>0</v>
      </c>
      <c r="G167" s="966">
        <f>'d3'!G167-'d3-П'!G167</f>
        <v>0</v>
      </c>
      <c r="H167" s="966">
        <f>'d3'!H167-'d3-П'!H167</f>
        <v>0</v>
      </c>
      <c r="I167" s="966">
        <f>'d3'!I167-'d3-П'!I167</f>
        <v>0</v>
      </c>
      <c r="J167" s="966">
        <f>'d3'!J167-'d3-П'!J167</f>
        <v>0</v>
      </c>
      <c r="K167" s="966">
        <f>'d3'!K167-'d3-П'!K167</f>
        <v>0</v>
      </c>
      <c r="L167" s="966">
        <f>'d3'!L167-'d3-П'!L167</f>
        <v>0</v>
      </c>
      <c r="M167" s="966">
        <f>'d3'!M167-'d3-П'!M167</f>
        <v>0</v>
      </c>
      <c r="N167" s="966">
        <f>'d3'!N167-'d3-П'!N167</f>
        <v>0</v>
      </c>
      <c r="O167" s="966">
        <f>'d3'!O167-'d3-П'!O167</f>
        <v>0</v>
      </c>
      <c r="P167" s="966">
        <f>'d3'!P167-'d3-П'!P167</f>
        <v>0</v>
      </c>
    </row>
    <row r="168" spans="1:16" ht="184.5" thickTop="1" thickBot="1" x14ac:dyDescent="0.25">
      <c r="A168" s="993"/>
      <c r="B168" s="994"/>
      <c r="C168" s="993"/>
      <c r="D168" s="317" t="s">
        <v>474</v>
      </c>
      <c r="E168" s="1064"/>
      <c r="F168" s="1064"/>
      <c r="G168" s="1064"/>
      <c r="H168" s="1064"/>
      <c r="I168" s="1064"/>
      <c r="J168" s="1064"/>
      <c r="K168" s="1064"/>
      <c r="L168" s="1064"/>
      <c r="M168" s="1064"/>
      <c r="N168" s="1064"/>
      <c r="O168" s="1064"/>
      <c r="P168" s="1064"/>
    </row>
    <row r="169" spans="1:16" ht="181.5" thickTop="1" thickBot="1" x14ac:dyDescent="0.25">
      <c r="A169" s="825">
        <v>1000000</v>
      </c>
      <c r="B169" s="825"/>
      <c r="C169" s="825"/>
      <c r="D169" s="826" t="s">
        <v>24</v>
      </c>
      <c r="E169" s="827">
        <f>E170</f>
        <v>0</v>
      </c>
      <c r="F169" s="828">
        <f t="shared" ref="F169:G169" si="21">F170</f>
        <v>0</v>
      </c>
      <c r="G169" s="828">
        <f t="shared" si="21"/>
        <v>0</v>
      </c>
      <c r="H169" s="828">
        <f>H170</f>
        <v>0</v>
      </c>
      <c r="I169" s="828">
        <f>I170</f>
        <v>0</v>
      </c>
      <c r="J169" s="827">
        <f>J170</f>
        <v>0</v>
      </c>
      <c r="K169" s="828">
        <f>K170</f>
        <v>0</v>
      </c>
      <c r="L169" s="828">
        <f>L170</f>
        <v>0</v>
      </c>
      <c r="M169" s="828">
        <f t="shared" ref="M169" si="22">M170</f>
        <v>0</v>
      </c>
      <c r="N169" s="828">
        <f>N170</f>
        <v>0</v>
      </c>
      <c r="O169" s="827">
        <f>O170</f>
        <v>0</v>
      </c>
      <c r="P169" s="828">
        <f t="shared" ref="P169" si="23">P170</f>
        <v>0</v>
      </c>
    </row>
    <row r="170" spans="1:16" ht="181.5" thickTop="1" thickBot="1" x14ac:dyDescent="0.25">
      <c r="A170" s="829">
        <v>1010000</v>
      </c>
      <c r="B170" s="829"/>
      <c r="C170" s="829"/>
      <c r="D170" s="830" t="s">
        <v>41</v>
      </c>
      <c r="E170" s="831">
        <f>E171+E173+E186+E181</f>
        <v>0</v>
      </c>
      <c r="F170" s="831">
        <f>F171+F173+F186+F181</f>
        <v>0</v>
      </c>
      <c r="G170" s="831">
        <f>G171+G173+G186+G181</f>
        <v>0</v>
      </c>
      <c r="H170" s="831">
        <f>H171+H173+H186+H181</f>
        <v>0</v>
      </c>
      <c r="I170" s="831">
        <f>I171+I173+I186+I181</f>
        <v>0</v>
      </c>
      <c r="J170" s="831">
        <f t="shared" ref="J170" si="24">L170+O170</f>
        <v>0</v>
      </c>
      <c r="K170" s="831">
        <f>K171+K173+K186+K181</f>
        <v>0</v>
      </c>
      <c r="L170" s="831">
        <f>L171+L173+L186+L181</f>
        <v>0</v>
      </c>
      <c r="M170" s="831">
        <f>M171+M173+M186+M181</f>
        <v>0</v>
      </c>
      <c r="N170" s="831">
        <f>N171+N173+N186+N181</f>
        <v>0</v>
      </c>
      <c r="O170" s="831">
        <f>O171+O173+O186+O181</f>
        <v>0</v>
      </c>
      <c r="P170" s="831">
        <f t="shared" ref="P170" si="25">E170+J170</f>
        <v>0</v>
      </c>
    </row>
    <row r="171" spans="1:16" ht="47.25" thickTop="1" thickBot="1" x14ac:dyDescent="0.25">
      <c r="A171" s="422" t="s">
        <v>911</v>
      </c>
      <c r="B171" s="422" t="s">
        <v>864</v>
      </c>
      <c r="C171" s="422"/>
      <c r="D171" s="422" t="s">
        <v>865</v>
      </c>
      <c r="E171" s="840">
        <f>'d3'!E171-'d3-П'!E171</f>
        <v>0</v>
      </c>
      <c r="F171" s="840">
        <f>'d3'!F171-'d3-П'!F171</f>
        <v>0</v>
      </c>
      <c r="G171" s="840">
        <f>'d3'!G171-'d3-П'!G171</f>
        <v>0</v>
      </c>
      <c r="H171" s="840">
        <f>'d3'!H171-'d3-П'!H171</f>
        <v>0</v>
      </c>
      <c r="I171" s="840">
        <f>'d3'!I171-'d3-П'!I171</f>
        <v>0</v>
      </c>
      <c r="J171" s="840">
        <f>'d3'!J171-'d3-П'!J171</f>
        <v>0</v>
      </c>
      <c r="K171" s="840">
        <f>'d3'!K171-'d3-П'!K171</f>
        <v>0</v>
      </c>
      <c r="L171" s="840">
        <f>'d3'!L171-'d3-П'!L171</f>
        <v>0</v>
      </c>
      <c r="M171" s="840">
        <f>'d3'!M171-'d3-П'!M171</f>
        <v>0</v>
      </c>
      <c r="N171" s="840">
        <f>'d3'!N171-'d3-П'!N171</f>
        <v>0</v>
      </c>
      <c r="O171" s="840">
        <f>'d3'!O171-'d3-П'!O171</f>
        <v>0</v>
      </c>
      <c r="P171" s="840">
        <f>'d3'!P171-'d3-П'!P171</f>
        <v>0</v>
      </c>
    </row>
    <row r="172" spans="1:16" ht="93" thickTop="1" thickBot="1" x14ac:dyDescent="0.25">
      <c r="A172" s="843" t="s">
        <v>791</v>
      </c>
      <c r="B172" s="843" t="s">
        <v>792</v>
      </c>
      <c r="C172" s="843" t="s">
        <v>199</v>
      </c>
      <c r="D172" s="843" t="s">
        <v>546</v>
      </c>
      <c r="E172" s="840">
        <f>'d3'!E172-'d3-П'!E172</f>
        <v>0</v>
      </c>
      <c r="F172" s="840">
        <f>'d3'!F172-'d3-П'!F172</f>
        <v>0</v>
      </c>
      <c r="G172" s="840">
        <f>'d3'!G172-'d3-П'!G172</f>
        <v>0</v>
      </c>
      <c r="H172" s="840">
        <f>'d3'!H172-'d3-П'!H172</f>
        <v>0</v>
      </c>
      <c r="I172" s="840">
        <f>'d3'!I172-'d3-П'!I172</f>
        <v>0</v>
      </c>
      <c r="J172" s="840">
        <f>'d3'!J172-'d3-П'!J172</f>
        <v>0</v>
      </c>
      <c r="K172" s="840">
        <f>'d3'!K172-'d3-П'!K172</f>
        <v>0</v>
      </c>
      <c r="L172" s="840">
        <f>'d3'!L172-'d3-П'!L172</f>
        <v>0</v>
      </c>
      <c r="M172" s="840">
        <f>'d3'!M172-'d3-П'!M172</f>
        <v>0</v>
      </c>
      <c r="N172" s="840">
        <f>'d3'!N172-'d3-П'!N172</f>
        <v>0</v>
      </c>
      <c r="O172" s="840">
        <f>'d3'!O172-'d3-П'!O172</f>
        <v>0</v>
      </c>
      <c r="P172" s="840">
        <f>'d3'!P172-'d3-П'!P172</f>
        <v>0</v>
      </c>
    </row>
    <row r="173" spans="1:16" s="2" customFormat="1" ht="47.25" thickTop="1" thickBot="1" x14ac:dyDescent="0.25">
      <c r="A173" s="422" t="s">
        <v>912</v>
      </c>
      <c r="B173" s="422" t="s">
        <v>913</v>
      </c>
      <c r="C173" s="422"/>
      <c r="D173" s="422" t="s">
        <v>914</v>
      </c>
      <c r="E173" s="840">
        <f>'d3'!E173-'d3-П'!E173</f>
        <v>0</v>
      </c>
      <c r="F173" s="840">
        <f>'d3'!F173-'d3-П'!F173</f>
        <v>0</v>
      </c>
      <c r="G173" s="840">
        <f>'d3'!G173-'d3-П'!G173</f>
        <v>0</v>
      </c>
      <c r="H173" s="840">
        <f>'d3'!H173-'d3-П'!H173</f>
        <v>0</v>
      </c>
      <c r="I173" s="840">
        <f>'d3'!I173-'d3-П'!I173</f>
        <v>0</v>
      </c>
      <c r="J173" s="840">
        <f>'d3'!J173-'d3-П'!J173</f>
        <v>0</v>
      </c>
      <c r="K173" s="840">
        <f>'d3'!K173-'d3-П'!K173</f>
        <v>0</v>
      </c>
      <c r="L173" s="840">
        <f>'d3'!L173-'d3-П'!L173</f>
        <v>0</v>
      </c>
      <c r="M173" s="840">
        <f>'d3'!M173-'d3-П'!M173</f>
        <v>0</v>
      </c>
      <c r="N173" s="840">
        <f>'d3'!N173-'d3-П'!N173</f>
        <v>0</v>
      </c>
      <c r="O173" s="840">
        <f>'d3'!O173-'d3-П'!O173</f>
        <v>0</v>
      </c>
      <c r="P173" s="840">
        <f>'d3'!P173-'d3-П'!P173</f>
        <v>0</v>
      </c>
    </row>
    <row r="174" spans="1:16" ht="47.25" thickTop="1" thickBot="1" x14ac:dyDescent="0.25">
      <c r="A174" s="843" t="s">
        <v>185</v>
      </c>
      <c r="B174" s="843" t="s">
        <v>186</v>
      </c>
      <c r="C174" s="843" t="s">
        <v>188</v>
      </c>
      <c r="D174" s="843" t="s">
        <v>189</v>
      </c>
      <c r="E174" s="840">
        <f>'d3'!E174-'d3-П'!E174</f>
        <v>0</v>
      </c>
      <c r="F174" s="840">
        <f>'d3'!F174-'d3-П'!F174</f>
        <v>0</v>
      </c>
      <c r="G174" s="840">
        <f>'d3'!G174-'d3-П'!G174</f>
        <v>0</v>
      </c>
      <c r="H174" s="840">
        <f>'d3'!H174-'d3-П'!H174</f>
        <v>0</v>
      </c>
      <c r="I174" s="840">
        <f>'d3'!I174-'d3-П'!I174</f>
        <v>0</v>
      </c>
      <c r="J174" s="840">
        <f>'d3'!J174-'d3-П'!J174</f>
        <v>0</v>
      </c>
      <c r="K174" s="840">
        <f>'d3'!K174-'d3-П'!K174</f>
        <v>0</v>
      </c>
      <c r="L174" s="840">
        <f>'d3'!L174-'d3-П'!L174</f>
        <v>0</v>
      </c>
      <c r="M174" s="840">
        <f>'d3'!M174-'d3-П'!M174</f>
        <v>0</v>
      </c>
      <c r="N174" s="840">
        <f>'d3'!N174-'d3-П'!N174</f>
        <v>0</v>
      </c>
      <c r="O174" s="840">
        <f>'d3'!O174-'d3-П'!O174</f>
        <v>0</v>
      </c>
      <c r="P174" s="840">
        <f>'d3'!P174-'d3-П'!P174</f>
        <v>0</v>
      </c>
    </row>
    <row r="175" spans="1:16" ht="93" thickTop="1" thickBot="1" x14ac:dyDescent="0.25">
      <c r="A175" s="843" t="s">
        <v>190</v>
      </c>
      <c r="B175" s="843" t="s">
        <v>191</v>
      </c>
      <c r="C175" s="843" t="s">
        <v>192</v>
      </c>
      <c r="D175" s="843" t="s">
        <v>193</v>
      </c>
      <c r="E175" s="840">
        <f>'d3'!E175-'d3-П'!E175</f>
        <v>0</v>
      </c>
      <c r="F175" s="840">
        <f>'d3'!F175-'d3-П'!F175</f>
        <v>0</v>
      </c>
      <c r="G175" s="840">
        <f>'d3'!G175-'d3-П'!G175</f>
        <v>0</v>
      </c>
      <c r="H175" s="840">
        <f>'d3'!H175-'d3-П'!H175</f>
        <v>0</v>
      </c>
      <c r="I175" s="840">
        <f>'d3'!I175-'d3-П'!I175</f>
        <v>0</v>
      </c>
      <c r="J175" s="840">
        <f>'d3'!J175-'d3-П'!J175</f>
        <v>0</v>
      </c>
      <c r="K175" s="840">
        <f>'d3'!K175-'d3-П'!K175</f>
        <v>0</v>
      </c>
      <c r="L175" s="840">
        <f>'d3'!L175-'d3-П'!L175</f>
        <v>0</v>
      </c>
      <c r="M175" s="840">
        <f>'d3'!M175-'d3-П'!M175</f>
        <v>0</v>
      </c>
      <c r="N175" s="840">
        <f>'d3'!N175-'d3-П'!N175</f>
        <v>0</v>
      </c>
      <c r="O175" s="840">
        <f>'d3'!O175-'d3-П'!O175</f>
        <v>0</v>
      </c>
      <c r="P175" s="840">
        <f>'d3'!P175-'d3-П'!P175</f>
        <v>0</v>
      </c>
    </row>
    <row r="176" spans="1:16" ht="93" thickTop="1" thickBot="1" x14ac:dyDescent="0.25">
      <c r="A176" s="843" t="s">
        <v>194</v>
      </c>
      <c r="B176" s="843" t="s">
        <v>195</v>
      </c>
      <c r="C176" s="843" t="s">
        <v>192</v>
      </c>
      <c r="D176" s="843" t="s">
        <v>500</v>
      </c>
      <c r="E176" s="840">
        <f>'d3'!E176-'d3-П'!E176</f>
        <v>0</v>
      </c>
      <c r="F176" s="840">
        <f>'d3'!F176-'d3-П'!F176</f>
        <v>0</v>
      </c>
      <c r="G176" s="840">
        <f>'d3'!G176-'d3-П'!G176</f>
        <v>0</v>
      </c>
      <c r="H176" s="840">
        <f>'d3'!H176-'d3-П'!H176</f>
        <v>0</v>
      </c>
      <c r="I176" s="840">
        <f>'d3'!I176-'d3-П'!I176</f>
        <v>0</v>
      </c>
      <c r="J176" s="840">
        <f>'d3'!J176-'d3-П'!J176</f>
        <v>0</v>
      </c>
      <c r="K176" s="840">
        <f>'d3'!K176-'d3-П'!K176</f>
        <v>0</v>
      </c>
      <c r="L176" s="840">
        <f>'d3'!L176-'d3-П'!L176</f>
        <v>0</v>
      </c>
      <c r="M176" s="840">
        <f>'d3'!M176-'d3-П'!M176</f>
        <v>0</v>
      </c>
      <c r="N176" s="840">
        <f>'d3'!N176-'d3-П'!N176</f>
        <v>0</v>
      </c>
      <c r="O176" s="840">
        <f>'d3'!O176-'d3-П'!O176</f>
        <v>0</v>
      </c>
      <c r="P176" s="840">
        <f>'d3'!P176-'d3-П'!P176</f>
        <v>0</v>
      </c>
    </row>
    <row r="177" spans="1:16" ht="184.5" thickTop="1" thickBot="1" x14ac:dyDescent="0.25">
      <c r="A177" s="843" t="s">
        <v>196</v>
      </c>
      <c r="B177" s="843" t="s">
        <v>187</v>
      </c>
      <c r="C177" s="843" t="s">
        <v>197</v>
      </c>
      <c r="D177" s="843" t="s">
        <v>198</v>
      </c>
      <c r="E177" s="840">
        <f>'d3'!E177-'d3-П'!E177</f>
        <v>0</v>
      </c>
      <c r="F177" s="840">
        <f>'d3'!F177-'d3-П'!F177</f>
        <v>0</v>
      </c>
      <c r="G177" s="840">
        <f>'d3'!G177-'d3-П'!G177</f>
        <v>0</v>
      </c>
      <c r="H177" s="840">
        <f>'d3'!H177-'d3-П'!H177</f>
        <v>0</v>
      </c>
      <c r="I177" s="840">
        <f>'d3'!I177-'d3-П'!I177</f>
        <v>0</v>
      </c>
      <c r="J177" s="840">
        <f>'d3'!J177-'d3-П'!J177</f>
        <v>0</v>
      </c>
      <c r="K177" s="840">
        <f>'d3'!K177-'d3-П'!K177</f>
        <v>0</v>
      </c>
      <c r="L177" s="840">
        <f>'d3'!L177-'d3-П'!L177</f>
        <v>0</v>
      </c>
      <c r="M177" s="840">
        <f>'d3'!M177-'d3-П'!M177</f>
        <v>0</v>
      </c>
      <c r="N177" s="840">
        <f>'d3'!N177-'d3-П'!N177</f>
        <v>0</v>
      </c>
      <c r="O177" s="840">
        <f>'d3'!O177-'d3-П'!O177</f>
        <v>0</v>
      </c>
      <c r="P177" s="840">
        <f>'d3'!P177-'d3-П'!P177</f>
        <v>0</v>
      </c>
    </row>
    <row r="178" spans="1:16" ht="93" thickTop="1" thickBot="1" x14ac:dyDescent="0.25">
      <c r="A178" s="345" t="s">
        <v>915</v>
      </c>
      <c r="B178" s="345" t="s">
        <v>916</v>
      </c>
      <c r="C178" s="345"/>
      <c r="D178" s="345" t="s">
        <v>917</v>
      </c>
      <c r="E178" s="840">
        <f>'d3'!E178-'d3-П'!E178</f>
        <v>0</v>
      </c>
      <c r="F178" s="840">
        <f>'d3'!F178-'d3-П'!F178</f>
        <v>0</v>
      </c>
      <c r="G178" s="840">
        <f>'d3'!G178-'d3-П'!G178</f>
        <v>0</v>
      </c>
      <c r="H178" s="840">
        <f>'d3'!H178-'d3-П'!H178</f>
        <v>0</v>
      </c>
      <c r="I178" s="840">
        <f>'d3'!I178-'d3-П'!I178</f>
        <v>0</v>
      </c>
      <c r="J178" s="840">
        <f>'d3'!J178-'d3-П'!J178</f>
        <v>0</v>
      </c>
      <c r="K178" s="840">
        <f>'d3'!K178-'d3-П'!K178</f>
        <v>0</v>
      </c>
      <c r="L178" s="840">
        <f>'d3'!L178-'d3-П'!L178</f>
        <v>0</v>
      </c>
      <c r="M178" s="840">
        <f>'d3'!M178-'d3-П'!M178</f>
        <v>0</v>
      </c>
      <c r="N178" s="840">
        <f>'d3'!N178-'d3-П'!N178</f>
        <v>0</v>
      </c>
      <c r="O178" s="840">
        <f>'d3'!O178-'d3-П'!O178</f>
        <v>0</v>
      </c>
      <c r="P178" s="840">
        <f>'d3'!P178-'d3-П'!P178</f>
        <v>0</v>
      </c>
    </row>
    <row r="179" spans="1:16" ht="138.75" thickTop="1" thickBot="1" x14ac:dyDescent="0.25">
      <c r="A179" s="843" t="s">
        <v>358</v>
      </c>
      <c r="B179" s="843" t="s">
        <v>359</v>
      </c>
      <c r="C179" s="843" t="s">
        <v>200</v>
      </c>
      <c r="D179" s="843" t="s">
        <v>501</v>
      </c>
      <c r="E179" s="840">
        <f>'d3'!E179-'d3-П'!E179</f>
        <v>0</v>
      </c>
      <c r="F179" s="840">
        <f>'d3'!F179-'d3-П'!F179</f>
        <v>0</v>
      </c>
      <c r="G179" s="840">
        <f>'d3'!G179-'d3-П'!G179</f>
        <v>0</v>
      </c>
      <c r="H179" s="840">
        <f>'d3'!H179-'d3-П'!H179</f>
        <v>0</v>
      </c>
      <c r="I179" s="840">
        <f>'d3'!I179-'d3-П'!I179</f>
        <v>0</v>
      </c>
      <c r="J179" s="840">
        <f>'d3'!J179-'d3-П'!J179</f>
        <v>0</v>
      </c>
      <c r="K179" s="840">
        <f>'d3'!K179-'d3-П'!K179</f>
        <v>0</v>
      </c>
      <c r="L179" s="840">
        <f>'d3'!L179-'d3-П'!L179</f>
        <v>0</v>
      </c>
      <c r="M179" s="840">
        <f>'d3'!M179-'d3-П'!M179</f>
        <v>0</v>
      </c>
      <c r="N179" s="840">
        <f>'d3'!N179-'d3-П'!N179</f>
        <v>0</v>
      </c>
      <c r="O179" s="840">
        <f>'d3'!O179-'d3-П'!O179</f>
        <v>0</v>
      </c>
      <c r="P179" s="840">
        <f>'d3'!P179-'d3-П'!P179</f>
        <v>0</v>
      </c>
    </row>
    <row r="180" spans="1:16" ht="93" thickTop="1" thickBot="1" x14ac:dyDescent="0.25">
      <c r="A180" s="843" t="s">
        <v>360</v>
      </c>
      <c r="B180" s="843" t="s">
        <v>361</v>
      </c>
      <c r="C180" s="843" t="s">
        <v>200</v>
      </c>
      <c r="D180" s="843" t="s">
        <v>502</v>
      </c>
      <c r="E180" s="840">
        <f>'d3'!E180-'d3-П'!E180</f>
        <v>0</v>
      </c>
      <c r="F180" s="840">
        <f>'d3'!F180-'d3-П'!F180</f>
        <v>0</v>
      </c>
      <c r="G180" s="840">
        <f>'d3'!G180-'d3-П'!G180</f>
        <v>0</v>
      </c>
      <c r="H180" s="840">
        <f>'d3'!H180-'d3-П'!H180</f>
        <v>0</v>
      </c>
      <c r="I180" s="840">
        <f>'d3'!I180-'d3-П'!I180</f>
        <v>0</v>
      </c>
      <c r="J180" s="840">
        <f>'d3'!J180-'d3-П'!J180</f>
        <v>0</v>
      </c>
      <c r="K180" s="840">
        <f>'d3'!K180-'d3-П'!K180</f>
        <v>0</v>
      </c>
      <c r="L180" s="840">
        <f>'d3'!L180-'d3-П'!L180</f>
        <v>0</v>
      </c>
      <c r="M180" s="840">
        <f>'d3'!M180-'d3-П'!M180</f>
        <v>0</v>
      </c>
      <c r="N180" s="840">
        <f>'d3'!N180-'d3-П'!N180</f>
        <v>0</v>
      </c>
      <c r="O180" s="840">
        <f>'d3'!O180-'d3-П'!O180</f>
        <v>0</v>
      </c>
      <c r="P180" s="840">
        <f>'d3'!P180-'d3-П'!P180</f>
        <v>0</v>
      </c>
    </row>
    <row r="181" spans="1:16" ht="47.25" thickTop="1" thickBot="1" x14ac:dyDescent="0.25">
      <c r="A181" s="422" t="s">
        <v>1121</v>
      </c>
      <c r="B181" s="421" t="s">
        <v>905</v>
      </c>
      <c r="C181" s="421"/>
      <c r="D181" s="421" t="s">
        <v>906</v>
      </c>
      <c r="E181" s="840">
        <f>'d3'!E181-'d3-П'!E181</f>
        <v>0</v>
      </c>
      <c r="F181" s="840">
        <f>'d3'!F181-'d3-П'!F181</f>
        <v>0</v>
      </c>
      <c r="G181" s="840">
        <f>'d3'!G181-'d3-П'!G181</f>
        <v>0</v>
      </c>
      <c r="H181" s="840">
        <f>'d3'!H181-'d3-П'!H181</f>
        <v>0</v>
      </c>
      <c r="I181" s="840">
        <f>'d3'!I181-'d3-П'!I181</f>
        <v>0</v>
      </c>
      <c r="J181" s="840">
        <f>'d3'!J181-'d3-П'!J181</f>
        <v>0</v>
      </c>
      <c r="K181" s="840">
        <f>'d3'!K181-'d3-П'!K181</f>
        <v>0</v>
      </c>
      <c r="L181" s="840">
        <f>'d3'!L181-'d3-П'!L181</f>
        <v>0</v>
      </c>
      <c r="M181" s="840">
        <f>'d3'!M181-'d3-П'!M181</f>
        <v>0</v>
      </c>
      <c r="N181" s="840">
        <f>'d3'!N181-'d3-П'!N181</f>
        <v>0</v>
      </c>
      <c r="O181" s="840">
        <f>'d3'!O181-'d3-П'!O181</f>
        <v>0</v>
      </c>
      <c r="P181" s="840">
        <f>'d3'!P181-'d3-П'!P181</f>
        <v>0</v>
      </c>
    </row>
    <row r="182" spans="1:16" ht="136.5" thickTop="1" thickBot="1" x14ac:dyDescent="0.25">
      <c r="A182" s="379" t="s">
        <v>1122</v>
      </c>
      <c r="B182" s="379" t="s">
        <v>847</v>
      </c>
      <c r="C182" s="379"/>
      <c r="D182" s="379" t="s">
        <v>845</v>
      </c>
      <c r="E182" s="840">
        <f>'d3'!E182-'d3-П'!E182</f>
        <v>0</v>
      </c>
      <c r="F182" s="840">
        <f>'d3'!F182-'d3-П'!F182</f>
        <v>0</v>
      </c>
      <c r="G182" s="840">
        <f>'d3'!G182-'d3-П'!G182</f>
        <v>0</v>
      </c>
      <c r="H182" s="840">
        <f>'d3'!H182-'d3-П'!H182</f>
        <v>0</v>
      </c>
      <c r="I182" s="840">
        <f>'d3'!I182-'d3-П'!I182</f>
        <v>0</v>
      </c>
      <c r="J182" s="840">
        <f>'d3'!J182-'d3-П'!J182</f>
        <v>0</v>
      </c>
      <c r="K182" s="840">
        <f>'d3'!K182-'d3-П'!K182</f>
        <v>0</v>
      </c>
      <c r="L182" s="840">
        <f>'d3'!L182-'d3-П'!L182</f>
        <v>0</v>
      </c>
      <c r="M182" s="840">
        <f>'d3'!M182-'d3-П'!M182</f>
        <v>0</v>
      </c>
      <c r="N182" s="840">
        <f>'d3'!N182-'d3-П'!N182</f>
        <v>0</v>
      </c>
      <c r="O182" s="840">
        <f>'d3'!O182-'d3-П'!O182</f>
        <v>0</v>
      </c>
      <c r="P182" s="840">
        <f>'d3'!P182-'d3-П'!P182</f>
        <v>0</v>
      </c>
    </row>
    <row r="183" spans="1:16" ht="93" thickTop="1" thickBot="1" x14ac:dyDescent="0.25">
      <c r="A183" s="345" t="s">
        <v>1363</v>
      </c>
      <c r="B183" s="345" t="s">
        <v>1364</v>
      </c>
      <c r="C183" s="345"/>
      <c r="D183" s="345" t="s">
        <v>1362</v>
      </c>
      <c r="E183" s="840">
        <f>'d3'!E183-'d3-П'!E183</f>
        <v>0</v>
      </c>
      <c r="F183" s="840">
        <f>'d3'!F183-'d3-П'!F183</f>
        <v>0</v>
      </c>
      <c r="G183" s="840">
        <f>'d3'!G183-'d3-П'!G183</f>
        <v>0</v>
      </c>
      <c r="H183" s="840">
        <f>'d3'!H183-'d3-П'!H183</f>
        <v>0</v>
      </c>
      <c r="I183" s="840">
        <f>'d3'!I183-'d3-П'!I183</f>
        <v>0</v>
      </c>
      <c r="J183" s="840">
        <f>'d3'!J183-'d3-П'!J183</f>
        <v>0</v>
      </c>
      <c r="K183" s="840">
        <f>'d3'!K183-'d3-П'!K183</f>
        <v>0</v>
      </c>
      <c r="L183" s="840">
        <f>'d3'!L183-'d3-П'!L183</f>
        <v>0</v>
      </c>
      <c r="M183" s="840">
        <f>'d3'!M183-'d3-П'!M183</f>
        <v>0</v>
      </c>
      <c r="N183" s="840">
        <f>'d3'!N183-'d3-П'!N183</f>
        <v>0</v>
      </c>
      <c r="O183" s="840">
        <f>'d3'!O183-'d3-П'!O183</f>
        <v>0</v>
      </c>
      <c r="P183" s="840">
        <f>'d3'!P183-'d3-П'!P183</f>
        <v>0</v>
      </c>
    </row>
    <row r="184" spans="1:16" ht="153" customHeight="1" thickTop="1" thickBot="1" x14ac:dyDescent="0.25">
      <c r="A184" s="843" t="s">
        <v>1366</v>
      </c>
      <c r="B184" s="843" t="s">
        <v>1367</v>
      </c>
      <c r="C184" s="843" t="s">
        <v>231</v>
      </c>
      <c r="D184" s="843" t="s">
        <v>1365</v>
      </c>
      <c r="E184" s="840">
        <f>'d3'!E184-'d3-П'!E184</f>
        <v>0</v>
      </c>
      <c r="F184" s="840">
        <f>'d3'!F184-'d3-П'!F184</f>
        <v>0</v>
      </c>
      <c r="G184" s="840">
        <f>'d3'!G184-'d3-П'!G184</f>
        <v>0</v>
      </c>
      <c r="H184" s="840">
        <f>'d3'!H184-'d3-П'!H184</f>
        <v>0</v>
      </c>
      <c r="I184" s="840">
        <f>'d3'!I184-'d3-П'!I184</f>
        <v>0</v>
      </c>
      <c r="J184" s="840">
        <f>'d3'!J184-'d3-П'!J184</f>
        <v>0</v>
      </c>
      <c r="K184" s="840">
        <f>'d3'!K184-'d3-П'!K184</f>
        <v>0</v>
      </c>
      <c r="L184" s="840">
        <f>'d3'!L184-'d3-П'!L184</f>
        <v>0</v>
      </c>
      <c r="M184" s="840">
        <f>'d3'!M184-'d3-П'!M184</f>
        <v>0</v>
      </c>
      <c r="N184" s="840">
        <f>'d3'!N184-'d3-П'!N184</f>
        <v>0</v>
      </c>
      <c r="O184" s="840">
        <f>'d3'!O184-'d3-П'!O184</f>
        <v>0</v>
      </c>
      <c r="P184" s="840">
        <f>'d3'!P184-'d3-П'!P184</f>
        <v>0</v>
      </c>
    </row>
    <row r="185" spans="1:16" ht="93" thickTop="1" thickBot="1" x14ac:dyDescent="0.25">
      <c r="A185" s="843" t="s">
        <v>1123</v>
      </c>
      <c r="B185" s="843" t="s">
        <v>215</v>
      </c>
      <c r="C185" s="843" t="s">
        <v>184</v>
      </c>
      <c r="D185" s="843" t="s">
        <v>36</v>
      </c>
      <c r="E185" s="840">
        <f>'d3'!E185-'d3-П'!E185</f>
        <v>0</v>
      </c>
      <c r="F185" s="840">
        <f>'d3'!F185-'d3-П'!F185</f>
        <v>0</v>
      </c>
      <c r="G185" s="840">
        <f>'d3'!G185-'d3-П'!G185</f>
        <v>0</v>
      </c>
      <c r="H185" s="840">
        <f>'d3'!H185-'d3-П'!H185</f>
        <v>0</v>
      </c>
      <c r="I185" s="840">
        <f>'d3'!I185-'d3-П'!I185</f>
        <v>0</v>
      </c>
      <c r="J185" s="840">
        <f>'d3'!J185-'d3-П'!J185</f>
        <v>0</v>
      </c>
      <c r="K185" s="840">
        <f>'d3'!K185-'d3-П'!K185</f>
        <v>0</v>
      </c>
      <c r="L185" s="840">
        <f>'d3'!L185-'d3-П'!L185</f>
        <v>0</v>
      </c>
      <c r="M185" s="840">
        <f>'d3'!M185-'d3-П'!M185</f>
        <v>0</v>
      </c>
      <c r="N185" s="840">
        <f>'d3'!N185-'d3-П'!N185</f>
        <v>0</v>
      </c>
      <c r="O185" s="840">
        <f>'d3'!O185-'d3-П'!O185</f>
        <v>0</v>
      </c>
      <c r="P185" s="840">
        <f>'d3'!P185-'d3-П'!P185</f>
        <v>0</v>
      </c>
    </row>
    <row r="186" spans="1:16" ht="47.25" thickTop="1" thickBot="1" x14ac:dyDescent="0.25">
      <c r="A186" s="422" t="s">
        <v>918</v>
      </c>
      <c r="B186" s="422" t="s">
        <v>858</v>
      </c>
      <c r="C186" s="422"/>
      <c r="D186" s="422" t="s">
        <v>859</v>
      </c>
      <c r="E186" s="840">
        <f>'d3'!E186-'d3-П'!E186</f>
        <v>0</v>
      </c>
      <c r="F186" s="840">
        <f>'d3'!F186-'d3-П'!F186</f>
        <v>0</v>
      </c>
      <c r="G186" s="840">
        <f>'d3'!G186-'d3-П'!G186</f>
        <v>0</v>
      </c>
      <c r="H186" s="840">
        <f>'d3'!H186-'d3-П'!H186</f>
        <v>0</v>
      </c>
      <c r="I186" s="840">
        <f>'d3'!I186-'d3-П'!I186</f>
        <v>0</v>
      </c>
      <c r="J186" s="840">
        <f>'d3'!J186-'d3-П'!J186</f>
        <v>0</v>
      </c>
      <c r="K186" s="840">
        <f>'d3'!K186-'d3-П'!K186</f>
        <v>0</v>
      </c>
      <c r="L186" s="840">
        <f>'d3'!L186-'d3-П'!L186</f>
        <v>0</v>
      </c>
      <c r="M186" s="840">
        <f>'d3'!M186-'d3-П'!M186</f>
        <v>0</v>
      </c>
      <c r="N186" s="840">
        <f>'d3'!N186-'d3-П'!N186</f>
        <v>0</v>
      </c>
      <c r="O186" s="840">
        <f>'d3'!O186-'d3-П'!O186</f>
        <v>0</v>
      </c>
      <c r="P186" s="840">
        <f>'d3'!P186-'d3-П'!P186</f>
        <v>0</v>
      </c>
    </row>
    <row r="187" spans="1:16" ht="271.5" thickTop="1" thickBot="1" x14ac:dyDescent="0.25">
      <c r="A187" s="379" t="s">
        <v>919</v>
      </c>
      <c r="B187" s="379" t="s">
        <v>861</v>
      </c>
      <c r="C187" s="379"/>
      <c r="D187" s="379" t="s">
        <v>862</v>
      </c>
      <c r="E187" s="840">
        <f>'d3'!E187-'d3-П'!E187</f>
        <v>0</v>
      </c>
      <c r="F187" s="840">
        <f>'d3'!F187-'d3-П'!F187</f>
        <v>0</v>
      </c>
      <c r="G187" s="840">
        <f>'d3'!G187-'d3-П'!G187</f>
        <v>0</v>
      </c>
      <c r="H187" s="840">
        <f>'d3'!H187-'d3-П'!H187</f>
        <v>0</v>
      </c>
      <c r="I187" s="840">
        <f>'d3'!I187-'d3-П'!I187</f>
        <v>0</v>
      </c>
      <c r="J187" s="840">
        <f>'d3'!J187-'d3-П'!J187</f>
        <v>0</v>
      </c>
      <c r="K187" s="840">
        <f>'d3'!K187-'d3-П'!K187</f>
        <v>0</v>
      </c>
      <c r="L187" s="840">
        <f>'d3'!L187-'d3-П'!L187</f>
        <v>0</v>
      </c>
      <c r="M187" s="840">
        <f>'d3'!M187-'d3-П'!M187</f>
        <v>0</v>
      </c>
      <c r="N187" s="840">
        <f>'d3'!N187-'d3-П'!N187</f>
        <v>0</v>
      </c>
      <c r="O187" s="840">
        <f>'d3'!O187-'d3-П'!O187</f>
        <v>0</v>
      </c>
      <c r="P187" s="840">
        <f>'d3'!P187-'d3-П'!P187</f>
        <v>0</v>
      </c>
    </row>
    <row r="188" spans="1:16" ht="93" thickTop="1" thickBot="1" x14ac:dyDescent="0.25">
      <c r="A188" s="843" t="s">
        <v>713</v>
      </c>
      <c r="B188" s="843" t="s">
        <v>389</v>
      </c>
      <c r="C188" s="843" t="s">
        <v>45</v>
      </c>
      <c r="D188" s="843" t="s">
        <v>390</v>
      </c>
      <c r="E188" s="840">
        <f>'d3'!E188-'d3-П'!E188</f>
        <v>0</v>
      </c>
      <c r="F188" s="840">
        <f>'d3'!F188-'d3-П'!F188</f>
        <v>0</v>
      </c>
      <c r="G188" s="840">
        <f>'d3'!G188-'d3-П'!G188</f>
        <v>0</v>
      </c>
      <c r="H188" s="840">
        <f>'d3'!H188-'d3-П'!H188</f>
        <v>0</v>
      </c>
      <c r="I188" s="840">
        <f>'d3'!I188-'d3-П'!I188</f>
        <v>0</v>
      </c>
      <c r="J188" s="840">
        <f>'d3'!J188-'d3-П'!J188</f>
        <v>0</v>
      </c>
      <c r="K188" s="840">
        <f>'d3'!K188-'d3-П'!K188</f>
        <v>0</v>
      </c>
      <c r="L188" s="840">
        <f>'d3'!L188-'d3-П'!L188</f>
        <v>0</v>
      </c>
      <c r="M188" s="840">
        <f>'d3'!M188-'d3-П'!M188</f>
        <v>0</v>
      </c>
      <c r="N188" s="840">
        <f>'d3'!N188-'d3-П'!N188</f>
        <v>0</v>
      </c>
      <c r="O188" s="840">
        <f>'d3'!O188-'d3-П'!O188</f>
        <v>0</v>
      </c>
      <c r="P188" s="840">
        <f>'d3'!P188-'d3-П'!P188</f>
        <v>0</v>
      </c>
    </row>
    <row r="189" spans="1:16" ht="136.5" thickTop="1" thickBot="1" x14ac:dyDescent="0.25">
      <c r="A189" s="825" t="s">
        <v>22</v>
      </c>
      <c r="B189" s="825"/>
      <c r="C189" s="825"/>
      <c r="D189" s="826" t="s">
        <v>23</v>
      </c>
      <c r="E189" s="827">
        <f>E190</f>
        <v>12743</v>
      </c>
      <c r="F189" s="828">
        <f t="shared" ref="F189:G189" si="26">F190</f>
        <v>12743</v>
      </c>
      <c r="G189" s="828">
        <f t="shared" si="26"/>
        <v>288838</v>
      </c>
      <c r="H189" s="828">
        <f>H190</f>
        <v>-46317</v>
      </c>
      <c r="I189" s="828">
        <f t="shared" ref="I189" si="27">I190</f>
        <v>0</v>
      </c>
      <c r="J189" s="827">
        <f>J190</f>
        <v>2964089</v>
      </c>
      <c r="K189" s="828">
        <f>K190</f>
        <v>2964089</v>
      </c>
      <c r="L189" s="828">
        <f>L190</f>
        <v>0</v>
      </c>
      <c r="M189" s="828">
        <f t="shared" ref="M189" si="28">M190</f>
        <v>0</v>
      </c>
      <c r="N189" s="828">
        <f>N190</f>
        <v>0</v>
      </c>
      <c r="O189" s="827">
        <f>O190</f>
        <v>2964089</v>
      </c>
      <c r="P189" s="828">
        <f t="shared" ref="P189" si="29">P190</f>
        <v>2976832</v>
      </c>
    </row>
    <row r="190" spans="1:16" ht="136.5" thickTop="1" thickBot="1" x14ac:dyDescent="0.25">
      <c r="A190" s="829" t="s">
        <v>21</v>
      </c>
      <c r="B190" s="829"/>
      <c r="C190" s="829"/>
      <c r="D190" s="830" t="s">
        <v>37</v>
      </c>
      <c r="E190" s="831">
        <f>E191+E197+E210+E213+E219</f>
        <v>12743</v>
      </c>
      <c r="F190" s="831">
        <f t="shared" ref="F190:I190" si="30">F191+F197+F210+F213+F219</f>
        <v>12743</v>
      </c>
      <c r="G190" s="831">
        <f t="shared" si="30"/>
        <v>288838</v>
      </c>
      <c r="H190" s="831">
        <f t="shared" si="30"/>
        <v>-46317</v>
      </c>
      <c r="I190" s="831">
        <f t="shared" si="30"/>
        <v>0</v>
      </c>
      <c r="J190" s="831">
        <f>L190+O190</f>
        <v>2964089</v>
      </c>
      <c r="K190" s="831">
        <f t="shared" ref="K190:O190" si="31">K191+K197+K210+K213+K219</f>
        <v>2964089</v>
      </c>
      <c r="L190" s="831">
        <f t="shared" si="31"/>
        <v>0</v>
      </c>
      <c r="M190" s="831">
        <f t="shared" si="31"/>
        <v>0</v>
      </c>
      <c r="N190" s="831">
        <f t="shared" si="31"/>
        <v>0</v>
      </c>
      <c r="O190" s="831">
        <f t="shared" si="31"/>
        <v>2964089</v>
      </c>
      <c r="P190" s="831">
        <f>E190+J190</f>
        <v>2976832</v>
      </c>
    </row>
    <row r="191" spans="1:16" ht="91.5" thickTop="1" thickBot="1" x14ac:dyDescent="0.25">
      <c r="A191" s="422" t="s">
        <v>920</v>
      </c>
      <c r="B191" s="422" t="s">
        <v>867</v>
      </c>
      <c r="C191" s="422"/>
      <c r="D191" s="422" t="s">
        <v>868</v>
      </c>
      <c r="E191" s="840">
        <f>'d3'!E191-'d3-П'!E191</f>
        <v>4758</v>
      </c>
      <c r="F191" s="840">
        <f>'d3'!F191-'d3-П'!F191</f>
        <v>4758</v>
      </c>
      <c r="G191" s="840">
        <f>'d3'!G191-'d3-П'!G191</f>
        <v>0</v>
      </c>
      <c r="H191" s="840">
        <f>'d3'!H191-'d3-П'!H191</f>
        <v>-7042</v>
      </c>
      <c r="I191" s="840">
        <f>'d3'!I191-'d3-П'!I191</f>
        <v>0</v>
      </c>
      <c r="J191" s="840">
        <f>'d3'!J191-'d3-П'!J191</f>
        <v>18200</v>
      </c>
      <c r="K191" s="840">
        <f>'d3'!K191-'d3-П'!K191</f>
        <v>18200</v>
      </c>
      <c r="L191" s="840">
        <f>'d3'!L191-'d3-П'!L191</f>
        <v>0</v>
      </c>
      <c r="M191" s="840">
        <f>'d3'!M191-'d3-П'!M191</f>
        <v>0</v>
      </c>
      <c r="N191" s="840">
        <f>'d3'!N191-'d3-П'!N191</f>
        <v>0</v>
      </c>
      <c r="O191" s="840">
        <f>'d3'!O191-'d3-П'!O191</f>
        <v>18200</v>
      </c>
      <c r="P191" s="840">
        <f>'d3'!P191-'d3-П'!P191</f>
        <v>22958</v>
      </c>
    </row>
    <row r="192" spans="1:16" s="39" customFormat="1" ht="138.75" thickTop="1" thickBot="1" x14ac:dyDescent="0.25">
      <c r="A192" s="345" t="s">
        <v>921</v>
      </c>
      <c r="B192" s="345" t="s">
        <v>922</v>
      </c>
      <c r="C192" s="345"/>
      <c r="D192" s="345" t="s">
        <v>923</v>
      </c>
      <c r="E192" s="840">
        <f>'d3'!E192-'d3-П'!E192</f>
        <v>0</v>
      </c>
      <c r="F192" s="840">
        <f>'d3'!F192-'d3-П'!F192</f>
        <v>0</v>
      </c>
      <c r="G192" s="840">
        <f>'d3'!G192-'d3-П'!G192</f>
        <v>0</v>
      </c>
      <c r="H192" s="840">
        <f>'d3'!H192-'d3-П'!H192</f>
        <v>0</v>
      </c>
      <c r="I192" s="840">
        <f>'d3'!I192-'d3-П'!I192</f>
        <v>0</v>
      </c>
      <c r="J192" s="840">
        <f>'d3'!J192-'d3-П'!J192</f>
        <v>0</v>
      </c>
      <c r="K192" s="840">
        <f>'d3'!K192-'d3-П'!K192</f>
        <v>0</v>
      </c>
      <c r="L192" s="840">
        <f>'d3'!L192-'d3-П'!L192</f>
        <v>0</v>
      </c>
      <c r="M192" s="840">
        <f>'d3'!M192-'d3-П'!M192</f>
        <v>0</v>
      </c>
      <c r="N192" s="840">
        <f>'d3'!N192-'d3-П'!N192</f>
        <v>0</v>
      </c>
      <c r="O192" s="840">
        <f>'d3'!O192-'d3-П'!O192</f>
        <v>0</v>
      </c>
      <c r="P192" s="840">
        <f>'d3'!P192-'d3-П'!P192</f>
        <v>0</v>
      </c>
    </row>
    <row r="193" spans="1:16" ht="138.75" thickTop="1" thickBot="1" x14ac:dyDescent="0.25">
      <c r="A193" s="843" t="s">
        <v>201</v>
      </c>
      <c r="B193" s="843" t="s">
        <v>202</v>
      </c>
      <c r="C193" s="843" t="s">
        <v>203</v>
      </c>
      <c r="D193" s="843" t="s">
        <v>793</v>
      </c>
      <c r="E193" s="840">
        <f>'d3'!E193-'d3-П'!E193</f>
        <v>0</v>
      </c>
      <c r="F193" s="840">
        <f>'d3'!F193-'d3-П'!F193</f>
        <v>0</v>
      </c>
      <c r="G193" s="840">
        <f>'d3'!G193-'d3-П'!G193</f>
        <v>0</v>
      </c>
      <c r="H193" s="840">
        <f>'d3'!H193-'d3-П'!H193</f>
        <v>0</v>
      </c>
      <c r="I193" s="840">
        <f>'d3'!I193-'d3-П'!I193</f>
        <v>0</v>
      </c>
      <c r="J193" s="840">
        <f>'d3'!J193-'d3-П'!J193</f>
        <v>0</v>
      </c>
      <c r="K193" s="840">
        <f>'d3'!K193-'d3-П'!K193</f>
        <v>0</v>
      </c>
      <c r="L193" s="840">
        <f>'d3'!L193-'d3-П'!L193</f>
        <v>0</v>
      </c>
      <c r="M193" s="840">
        <f>'d3'!M193-'d3-П'!M193</f>
        <v>0</v>
      </c>
      <c r="N193" s="840">
        <f>'d3'!N193-'d3-П'!N193</f>
        <v>0</v>
      </c>
      <c r="O193" s="840">
        <f>'d3'!O193-'d3-П'!O193</f>
        <v>0</v>
      </c>
      <c r="P193" s="840">
        <f>'d3'!P193-'d3-П'!P193</f>
        <v>0</v>
      </c>
    </row>
    <row r="194" spans="1:16" s="39" customFormat="1" ht="93" thickTop="1" thickBot="1" x14ac:dyDescent="0.25">
      <c r="A194" s="345" t="s">
        <v>924</v>
      </c>
      <c r="B194" s="345" t="s">
        <v>925</v>
      </c>
      <c r="C194" s="345"/>
      <c r="D194" s="345" t="s">
        <v>926</v>
      </c>
      <c r="E194" s="840">
        <f>'d3'!E194-'d3-П'!E194</f>
        <v>4758</v>
      </c>
      <c r="F194" s="840">
        <f>'d3'!F194-'d3-П'!F194</f>
        <v>4758</v>
      </c>
      <c r="G194" s="840">
        <f>'d3'!G194-'d3-П'!G194</f>
        <v>0</v>
      </c>
      <c r="H194" s="840">
        <f>'d3'!H194-'d3-П'!H194</f>
        <v>-7042</v>
      </c>
      <c r="I194" s="840">
        <f>'d3'!I194-'d3-П'!I194</f>
        <v>0</v>
      </c>
      <c r="J194" s="840">
        <f>'d3'!J194-'d3-П'!J194</f>
        <v>18200</v>
      </c>
      <c r="K194" s="840">
        <f>'d3'!K194-'d3-П'!K194</f>
        <v>18200</v>
      </c>
      <c r="L194" s="840">
        <f>'d3'!L194-'d3-П'!L194</f>
        <v>0</v>
      </c>
      <c r="M194" s="840">
        <f>'d3'!M194-'d3-П'!M194</f>
        <v>0</v>
      </c>
      <c r="N194" s="840">
        <f>'d3'!N194-'d3-П'!N194</f>
        <v>0</v>
      </c>
      <c r="O194" s="840">
        <f>'d3'!O194-'d3-П'!O194</f>
        <v>18200</v>
      </c>
      <c r="P194" s="840">
        <f>'d3'!P194-'d3-П'!P194</f>
        <v>22958</v>
      </c>
    </row>
    <row r="195" spans="1:16" s="463" customFormat="1" ht="93" thickTop="1" thickBot="1" x14ac:dyDescent="0.25">
      <c r="A195" s="843" t="s">
        <v>207</v>
      </c>
      <c r="B195" s="843" t="s">
        <v>208</v>
      </c>
      <c r="C195" s="843" t="s">
        <v>203</v>
      </c>
      <c r="D195" s="843" t="s">
        <v>10</v>
      </c>
      <c r="E195" s="840">
        <f>'d3'!E195-'d3-П'!E195</f>
        <v>4758</v>
      </c>
      <c r="F195" s="840">
        <f>'d3'!F195-'d3-П'!F195</f>
        <v>4758</v>
      </c>
      <c r="G195" s="840">
        <f>'d3'!G195-'d3-П'!G195</f>
        <v>0</v>
      </c>
      <c r="H195" s="840">
        <f>'d3'!H195-'d3-П'!H195</f>
        <v>-7042</v>
      </c>
      <c r="I195" s="840">
        <f>'d3'!I195-'d3-П'!I195</f>
        <v>0</v>
      </c>
      <c r="J195" s="840">
        <f>'d3'!J195-'d3-П'!J195</f>
        <v>18200</v>
      </c>
      <c r="K195" s="840">
        <f>'d3'!K195-'d3-П'!K195</f>
        <v>18200</v>
      </c>
      <c r="L195" s="840">
        <f>'d3'!L195-'d3-П'!L195</f>
        <v>0</v>
      </c>
      <c r="M195" s="840">
        <f>'d3'!M195-'d3-П'!M195</f>
        <v>0</v>
      </c>
      <c r="N195" s="840">
        <f>'d3'!N195-'d3-П'!N195</f>
        <v>0</v>
      </c>
      <c r="O195" s="840">
        <f>'d3'!O195-'d3-П'!O195</f>
        <v>18200</v>
      </c>
      <c r="P195" s="840">
        <f>'d3'!P195-'d3-П'!P195</f>
        <v>22958</v>
      </c>
    </row>
    <row r="196" spans="1:16" s="467" customFormat="1" ht="93" thickTop="1" thickBot="1" x14ac:dyDescent="0.25">
      <c r="A196" s="843" t="s">
        <v>377</v>
      </c>
      <c r="B196" s="843" t="s">
        <v>378</v>
      </c>
      <c r="C196" s="843" t="s">
        <v>203</v>
      </c>
      <c r="D196" s="843" t="s">
        <v>379</v>
      </c>
      <c r="E196" s="840">
        <f>'d3'!E196-'d3-П'!E196</f>
        <v>0</v>
      </c>
      <c r="F196" s="840">
        <f>'d3'!F196-'d3-П'!F196</f>
        <v>0</v>
      </c>
      <c r="G196" s="840">
        <f>'d3'!G196-'d3-П'!G196</f>
        <v>0</v>
      </c>
      <c r="H196" s="840">
        <f>'d3'!H196-'d3-П'!H196</f>
        <v>0</v>
      </c>
      <c r="I196" s="840">
        <f>'d3'!I196-'d3-П'!I196</f>
        <v>0</v>
      </c>
      <c r="J196" s="840">
        <f>'d3'!J196-'d3-П'!J196</f>
        <v>0</v>
      </c>
      <c r="K196" s="840">
        <f>'d3'!K196-'d3-П'!K196</f>
        <v>0</v>
      </c>
      <c r="L196" s="840">
        <f>'d3'!L196-'d3-П'!L196</f>
        <v>0</v>
      </c>
      <c r="M196" s="840">
        <f>'d3'!M196-'d3-П'!M196</f>
        <v>0</v>
      </c>
      <c r="N196" s="840">
        <f>'d3'!N196-'d3-П'!N196</f>
        <v>0</v>
      </c>
      <c r="O196" s="840">
        <f>'d3'!O196-'d3-П'!O196</f>
        <v>0</v>
      </c>
      <c r="P196" s="840">
        <f>'d3'!P196-'d3-П'!P196</f>
        <v>0</v>
      </c>
    </row>
    <row r="197" spans="1:16" ht="47.25" thickTop="1" thickBot="1" x14ac:dyDescent="0.25">
      <c r="A197" s="422" t="s">
        <v>927</v>
      </c>
      <c r="B197" s="422" t="s">
        <v>928</v>
      </c>
      <c r="C197" s="843"/>
      <c r="D197" s="422" t="s">
        <v>929</v>
      </c>
      <c r="E197" s="840">
        <f>'d3'!E197-'d3-П'!E197</f>
        <v>7985</v>
      </c>
      <c r="F197" s="840">
        <f>'d3'!F197-'d3-П'!F197</f>
        <v>7985</v>
      </c>
      <c r="G197" s="840">
        <f>'d3'!G197-'d3-П'!G197</f>
        <v>288838</v>
      </c>
      <c r="H197" s="840">
        <f>'d3'!H197-'d3-П'!H197</f>
        <v>-39275</v>
      </c>
      <c r="I197" s="840">
        <f>'d3'!I197-'d3-П'!I197</f>
        <v>0</v>
      </c>
      <c r="J197" s="840">
        <f>'d3'!J197-'d3-П'!J197</f>
        <v>2919917</v>
      </c>
      <c r="K197" s="840">
        <f>'d3'!K197-'d3-П'!K197</f>
        <v>2919917</v>
      </c>
      <c r="L197" s="840">
        <f>'d3'!L197-'d3-П'!L197</f>
        <v>0</v>
      </c>
      <c r="M197" s="840">
        <f>'d3'!M197-'d3-П'!M197</f>
        <v>0</v>
      </c>
      <c r="N197" s="840">
        <f>'d3'!N197-'d3-П'!N197</f>
        <v>0</v>
      </c>
      <c r="O197" s="840">
        <f>'d3'!O197-'d3-П'!O197</f>
        <v>2919917</v>
      </c>
      <c r="P197" s="840">
        <f>'d3'!P197-'d3-П'!P197</f>
        <v>2927902</v>
      </c>
    </row>
    <row r="198" spans="1:16" s="39" customFormat="1" ht="93" thickTop="1" thickBot="1" x14ac:dyDescent="0.25">
      <c r="A198" s="345" t="s">
        <v>930</v>
      </c>
      <c r="B198" s="345" t="s">
        <v>931</v>
      </c>
      <c r="C198" s="345"/>
      <c r="D198" s="345" t="s">
        <v>932</v>
      </c>
      <c r="E198" s="840">
        <f>'d3'!E198-'d3-П'!E198</f>
        <v>344000</v>
      </c>
      <c r="F198" s="840">
        <f>'d3'!F198-'d3-П'!F198</f>
        <v>344000</v>
      </c>
      <c r="G198" s="840">
        <f>'d3'!G198-'d3-П'!G198</f>
        <v>0</v>
      </c>
      <c r="H198" s="840">
        <f>'d3'!H198-'d3-П'!H198</f>
        <v>0</v>
      </c>
      <c r="I198" s="840">
        <f>'d3'!I198-'d3-П'!I198</f>
        <v>0</v>
      </c>
      <c r="J198" s="840">
        <f>'d3'!J198-'d3-П'!J198</f>
        <v>0</v>
      </c>
      <c r="K198" s="840">
        <f>'d3'!K198-'d3-П'!K198</f>
        <v>0</v>
      </c>
      <c r="L198" s="840">
        <f>'d3'!L198-'d3-П'!L198</f>
        <v>0</v>
      </c>
      <c r="M198" s="840">
        <f>'d3'!M198-'d3-П'!M198</f>
        <v>0</v>
      </c>
      <c r="N198" s="840">
        <f>'d3'!N198-'d3-П'!N198</f>
        <v>0</v>
      </c>
      <c r="O198" s="840">
        <f>'d3'!O198-'d3-П'!O198</f>
        <v>0</v>
      </c>
      <c r="P198" s="840">
        <f>'d3'!P198-'d3-П'!P198</f>
        <v>344000</v>
      </c>
    </row>
    <row r="199" spans="1:16" s="463" customFormat="1" ht="138.75" thickTop="1" thickBot="1" x14ac:dyDescent="0.25">
      <c r="A199" s="843" t="s">
        <v>46</v>
      </c>
      <c r="B199" s="843" t="s">
        <v>204</v>
      </c>
      <c r="C199" s="843" t="s">
        <v>213</v>
      </c>
      <c r="D199" s="843" t="s">
        <v>47</v>
      </c>
      <c r="E199" s="840">
        <f>'d3'!E199-'d3-П'!E199</f>
        <v>366000</v>
      </c>
      <c r="F199" s="840">
        <f>'d3'!F199-'d3-П'!F199</f>
        <v>366000</v>
      </c>
      <c r="G199" s="840">
        <f>'d3'!G199-'d3-П'!G199</f>
        <v>0</v>
      </c>
      <c r="H199" s="840">
        <f>'d3'!H199-'d3-П'!H199</f>
        <v>0</v>
      </c>
      <c r="I199" s="840">
        <f>'d3'!I199-'d3-П'!I199</f>
        <v>0</v>
      </c>
      <c r="J199" s="840">
        <f>'d3'!J199-'d3-П'!J199</f>
        <v>0</v>
      </c>
      <c r="K199" s="840">
        <f>'d3'!K199-'d3-П'!K199</f>
        <v>0</v>
      </c>
      <c r="L199" s="840">
        <f>'d3'!L199-'d3-П'!L199</f>
        <v>0</v>
      </c>
      <c r="M199" s="840">
        <f>'d3'!M199-'d3-П'!M199</f>
        <v>0</v>
      </c>
      <c r="N199" s="840">
        <f>'d3'!N199-'d3-П'!N199</f>
        <v>0</v>
      </c>
      <c r="O199" s="840">
        <f>'d3'!O199-'d3-П'!O199</f>
        <v>0</v>
      </c>
      <c r="P199" s="840">
        <f>'d3'!P199-'d3-П'!P199</f>
        <v>366000</v>
      </c>
    </row>
    <row r="200" spans="1:16" s="463" customFormat="1" ht="138.75" thickTop="1" thickBot="1" x14ac:dyDescent="0.25">
      <c r="A200" s="843" t="s">
        <v>48</v>
      </c>
      <c r="B200" s="843" t="s">
        <v>205</v>
      </c>
      <c r="C200" s="843" t="s">
        <v>213</v>
      </c>
      <c r="D200" s="843" t="s">
        <v>4</v>
      </c>
      <c r="E200" s="840">
        <f>'d3'!E200-'d3-П'!E200</f>
        <v>-22000</v>
      </c>
      <c r="F200" s="840">
        <f>'d3'!F200-'d3-П'!F200</f>
        <v>-22000</v>
      </c>
      <c r="G200" s="840">
        <f>'d3'!G200-'d3-П'!G200</f>
        <v>0</v>
      </c>
      <c r="H200" s="840">
        <f>'d3'!H200-'d3-П'!H200</f>
        <v>0</v>
      </c>
      <c r="I200" s="840">
        <f>'d3'!I200-'d3-П'!I200</f>
        <v>0</v>
      </c>
      <c r="J200" s="840">
        <f>'d3'!J200-'d3-П'!J200</f>
        <v>0</v>
      </c>
      <c r="K200" s="840">
        <f>'d3'!K200-'d3-П'!K200</f>
        <v>0</v>
      </c>
      <c r="L200" s="840">
        <f>'d3'!L200-'d3-П'!L200</f>
        <v>0</v>
      </c>
      <c r="M200" s="840">
        <f>'d3'!M200-'d3-П'!M200</f>
        <v>0</v>
      </c>
      <c r="N200" s="840">
        <f>'d3'!N200-'d3-П'!N200</f>
        <v>0</v>
      </c>
      <c r="O200" s="840">
        <f>'d3'!O200-'d3-П'!O200</f>
        <v>0</v>
      </c>
      <c r="P200" s="840">
        <f>'d3'!P200-'d3-П'!P200</f>
        <v>-22000</v>
      </c>
    </row>
    <row r="201" spans="1:16" s="39" customFormat="1" ht="184.5" thickTop="1" thickBot="1" x14ac:dyDescent="0.25">
      <c r="A201" s="345" t="s">
        <v>933</v>
      </c>
      <c r="B201" s="345" t="s">
        <v>934</v>
      </c>
      <c r="C201" s="345"/>
      <c r="D201" s="345" t="s">
        <v>935</v>
      </c>
      <c r="E201" s="840">
        <f>'d3'!E201-'d3-П'!E201</f>
        <v>-46000</v>
      </c>
      <c r="F201" s="840">
        <f>'d3'!F201-'d3-П'!F201</f>
        <v>-46000</v>
      </c>
      <c r="G201" s="840">
        <f>'d3'!G201-'d3-П'!G201</f>
        <v>0</v>
      </c>
      <c r="H201" s="840">
        <f>'d3'!H201-'d3-П'!H201</f>
        <v>0</v>
      </c>
      <c r="I201" s="840">
        <f>'d3'!I201-'d3-П'!I201</f>
        <v>0</v>
      </c>
      <c r="J201" s="840">
        <f>'d3'!J201-'d3-П'!J201</f>
        <v>0</v>
      </c>
      <c r="K201" s="840">
        <f>'d3'!K201-'d3-П'!K201</f>
        <v>0</v>
      </c>
      <c r="L201" s="840">
        <f>'d3'!L201-'d3-П'!L201</f>
        <v>0</v>
      </c>
      <c r="M201" s="840">
        <f>'d3'!M201-'d3-П'!M201</f>
        <v>0</v>
      </c>
      <c r="N201" s="840">
        <f>'d3'!N201-'d3-П'!N201</f>
        <v>0</v>
      </c>
      <c r="O201" s="840">
        <f>'d3'!O201-'d3-П'!O201</f>
        <v>0</v>
      </c>
      <c r="P201" s="840">
        <f>'d3'!P201-'d3-П'!P201</f>
        <v>-46000</v>
      </c>
    </row>
    <row r="202" spans="1:16" s="463" customFormat="1" ht="184.5" thickTop="1" thickBot="1" x14ac:dyDescent="0.25">
      <c r="A202" s="843" t="s">
        <v>49</v>
      </c>
      <c r="B202" s="843" t="s">
        <v>206</v>
      </c>
      <c r="C202" s="843" t="s">
        <v>213</v>
      </c>
      <c r="D202" s="843" t="s">
        <v>375</v>
      </c>
      <c r="E202" s="840">
        <f>'d3'!E202-'d3-П'!E202</f>
        <v>-46000</v>
      </c>
      <c r="F202" s="840">
        <f>'d3'!F202-'d3-П'!F202</f>
        <v>-46000</v>
      </c>
      <c r="G202" s="840">
        <f>'d3'!G202-'d3-П'!G202</f>
        <v>0</v>
      </c>
      <c r="H202" s="840">
        <f>'d3'!H202-'d3-П'!H202</f>
        <v>0</v>
      </c>
      <c r="I202" s="840">
        <f>'d3'!I202-'d3-П'!I202</f>
        <v>0</v>
      </c>
      <c r="J202" s="840">
        <f>'d3'!J202-'d3-П'!J202</f>
        <v>0</v>
      </c>
      <c r="K202" s="840">
        <f>'d3'!K202-'d3-П'!K202</f>
        <v>0</v>
      </c>
      <c r="L202" s="840">
        <f>'d3'!L202-'d3-П'!L202</f>
        <v>0</v>
      </c>
      <c r="M202" s="840">
        <f>'d3'!M202-'d3-П'!M202</f>
        <v>0</v>
      </c>
      <c r="N202" s="840">
        <f>'d3'!N202-'d3-П'!N202</f>
        <v>0</v>
      </c>
      <c r="O202" s="840">
        <f>'d3'!O202-'d3-П'!O202</f>
        <v>0</v>
      </c>
      <c r="P202" s="840">
        <f>'d3'!P202-'d3-П'!P202</f>
        <v>-46000</v>
      </c>
    </row>
    <row r="203" spans="1:16" ht="93" thickTop="1" thickBot="1" x14ac:dyDescent="0.25">
      <c r="A203" s="345" t="s">
        <v>936</v>
      </c>
      <c r="B203" s="345" t="s">
        <v>937</v>
      </c>
      <c r="C203" s="345"/>
      <c r="D203" s="345" t="s">
        <v>938</v>
      </c>
      <c r="E203" s="840">
        <f>'d3'!E203-'d3-П'!E203</f>
        <v>72985</v>
      </c>
      <c r="F203" s="840">
        <f>'d3'!F203-'d3-П'!F203</f>
        <v>72985</v>
      </c>
      <c r="G203" s="840">
        <f>'d3'!G203-'d3-П'!G203</f>
        <v>288838</v>
      </c>
      <c r="H203" s="840">
        <f>'d3'!H203-'d3-П'!H203</f>
        <v>-39275</v>
      </c>
      <c r="I203" s="840">
        <f>'d3'!I203-'d3-П'!I203</f>
        <v>0</v>
      </c>
      <c r="J203" s="840">
        <f>'d3'!J203-'d3-П'!J203</f>
        <v>2919917</v>
      </c>
      <c r="K203" s="840">
        <f>'d3'!K203-'d3-П'!K203</f>
        <v>2919917</v>
      </c>
      <c r="L203" s="840">
        <f>'d3'!L203-'d3-П'!L203</f>
        <v>0</v>
      </c>
      <c r="M203" s="840">
        <f>'d3'!M203-'d3-П'!M203</f>
        <v>0</v>
      </c>
      <c r="N203" s="840">
        <f>'d3'!N203-'d3-П'!N203</f>
        <v>0</v>
      </c>
      <c r="O203" s="840">
        <f>'d3'!O203-'d3-П'!O203</f>
        <v>2919917</v>
      </c>
      <c r="P203" s="840">
        <f>'d3'!P203-'d3-П'!P203</f>
        <v>2992902</v>
      </c>
    </row>
    <row r="204" spans="1:16" s="463" customFormat="1" ht="184.5" thickTop="1" thickBot="1" x14ac:dyDescent="0.25">
      <c r="A204" s="843" t="s">
        <v>28</v>
      </c>
      <c r="B204" s="843" t="s">
        <v>210</v>
      </c>
      <c r="C204" s="843" t="s">
        <v>213</v>
      </c>
      <c r="D204" s="843" t="s">
        <v>50</v>
      </c>
      <c r="E204" s="840">
        <f>'d3'!E204-'d3-П'!E204</f>
        <v>14943</v>
      </c>
      <c r="F204" s="840">
        <f>'d3'!F204-'d3-П'!F204</f>
        <v>14943</v>
      </c>
      <c r="G204" s="840">
        <f>'d3'!G204-'d3-П'!G204</f>
        <v>288838</v>
      </c>
      <c r="H204" s="840">
        <f>'d3'!H204-'d3-П'!H204</f>
        <v>-39275</v>
      </c>
      <c r="I204" s="840">
        <f>'d3'!I204-'d3-П'!I204</f>
        <v>0</v>
      </c>
      <c r="J204" s="840">
        <f>'d3'!J204-'d3-П'!J204</f>
        <v>3000917</v>
      </c>
      <c r="K204" s="840">
        <f>'d3'!K204-'d3-П'!K204</f>
        <v>3000917</v>
      </c>
      <c r="L204" s="840">
        <f>'d3'!L204-'d3-П'!L204</f>
        <v>0</v>
      </c>
      <c r="M204" s="840">
        <f>'d3'!M204-'d3-П'!M204</f>
        <v>0</v>
      </c>
      <c r="N204" s="840">
        <f>'d3'!N204-'d3-П'!N204</f>
        <v>0</v>
      </c>
      <c r="O204" s="840">
        <f>'d3'!O204-'d3-П'!O204</f>
        <v>3000917</v>
      </c>
      <c r="P204" s="840">
        <f>'d3'!P204-'d3-П'!P204</f>
        <v>3015860</v>
      </c>
    </row>
    <row r="205" spans="1:16" s="463" customFormat="1" ht="184.5" thickTop="1" thickBot="1" x14ac:dyDescent="0.25">
      <c r="A205" s="843" t="s">
        <v>29</v>
      </c>
      <c r="B205" s="843" t="s">
        <v>211</v>
      </c>
      <c r="C205" s="843" t="s">
        <v>213</v>
      </c>
      <c r="D205" s="843" t="s">
        <v>51</v>
      </c>
      <c r="E205" s="840">
        <f>'d3'!E205-'d3-П'!E205</f>
        <v>58042</v>
      </c>
      <c r="F205" s="840">
        <f>'d3'!F205-'d3-П'!F205</f>
        <v>58042</v>
      </c>
      <c r="G205" s="840">
        <f>'d3'!G205-'d3-П'!G205</f>
        <v>0</v>
      </c>
      <c r="H205" s="840">
        <f>'d3'!H205-'d3-П'!H205</f>
        <v>0</v>
      </c>
      <c r="I205" s="840">
        <f>'d3'!I205-'d3-П'!I205</f>
        <v>0</v>
      </c>
      <c r="J205" s="840">
        <f>'d3'!J205-'d3-П'!J205</f>
        <v>-81000</v>
      </c>
      <c r="K205" s="840">
        <f>'d3'!K205-'d3-П'!K205</f>
        <v>-81000</v>
      </c>
      <c r="L205" s="840">
        <f>'d3'!L205-'d3-П'!L205</f>
        <v>0</v>
      </c>
      <c r="M205" s="840">
        <f>'d3'!M205-'d3-П'!M205</f>
        <v>0</v>
      </c>
      <c r="N205" s="840">
        <f>'d3'!N205-'d3-П'!N205</f>
        <v>0</v>
      </c>
      <c r="O205" s="840">
        <f>'d3'!O205-'d3-П'!O205</f>
        <v>-81000</v>
      </c>
      <c r="P205" s="840">
        <f>'d3'!P205-'d3-П'!P205</f>
        <v>-22958</v>
      </c>
    </row>
    <row r="206" spans="1:16" ht="93" thickTop="1" thickBot="1" x14ac:dyDescent="0.25">
      <c r="A206" s="431" t="s">
        <v>939</v>
      </c>
      <c r="B206" s="345" t="s">
        <v>940</v>
      </c>
      <c r="C206" s="345"/>
      <c r="D206" s="345" t="s">
        <v>941</v>
      </c>
      <c r="E206" s="840">
        <f>'d3'!E206-'d3-П'!E206</f>
        <v>-363000</v>
      </c>
      <c r="F206" s="840">
        <f>'d3'!F206-'d3-П'!F206</f>
        <v>-363000</v>
      </c>
      <c r="G206" s="840">
        <f>'d3'!G206-'d3-П'!G206</f>
        <v>0</v>
      </c>
      <c r="H206" s="840">
        <f>'d3'!H206-'d3-П'!H206</f>
        <v>0</v>
      </c>
      <c r="I206" s="840">
        <f>'d3'!I206-'d3-П'!I206</f>
        <v>0</v>
      </c>
      <c r="J206" s="840">
        <f>'d3'!J206-'d3-П'!J206</f>
        <v>0</v>
      </c>
      <c r="K206" s="840">
        <f>'d3'!K206-'d3-П'!K206</f>
        <v>0</v>
      </c>
      <c r="L206" s="840">
        <f>'d3'!L206-'d3-П'!L206</f>
        <v>0</v>
      </c>
      <c r="M206" s="840">
        <f>'d3'!M206-'d3-П'!M206</f>
        <v>0</v>
      </c>
      <c r="N206" s="840">
        <f>'d3'!N206-'d3-П'!N206</f>
        <v>0</v>
      </c>
      <c r="O206" s="840">
        <f>'d3'!O206-'d3-П'!O206</f>
        <v>0</v>
      </c>
      <c r="P206" s="840">
        <f>'d3'!P206-'d3-П'!P206</f>
        <v>-363000</v>
      </c>
    </row>
    <row r="207" spans="1:16" s="463" customFormat="1" ht="276" thickTop="1" thickBot="1" x14ac:dyDescent="0.25">
      <c r="A207" s="474" t="s">
        <v>30</v>
      </c>
      <c r="B207" s="474" t="s">
        <v>212</v>
      </c>
      <c r="C207" s="474" t="s">
        <v>213</v>
      </c>
      <c r="D207" s="843" t="s">
        <v>31</v>
      </c>
      <c r="E207" s="840">
        <f>'d3'!E207-'d3-П'!E207</f>
        <v>-288000</v>
      </c>
      <c r="F207" s="840">
        <f>'d3'!F207-'d3-П'!F207</f>
        <v>-288000</v>
      </c>
      <c r="G207" s="840">
        <f>'d3'!G207-'d3-П'!G207</f>
        <v>0</v>
      </c>
      <c r="H207" s="840">
        <f>'d3'!H207-'d3-П'!H207</f>
        <v>0</v>
      </c>
      <c r="I207" s="840">
        <f>'d3'!I207-'d3-П'!I207</f>
        <v>0</v>
      </c>
      <c r="J207" s="840">
        <f>'d3'!J207-'d3-П'!J207</f>
        <v>0</v>
      </c>
      <c r="K207" s="840">
        <f>'d3'!K207-'d3-П'!K207</f>
        <v>0</v>
      </c>
      <c r="L207" s="840">
        <f>'d3'!L207-'d3-П'!L207</f>
        <v>0</v>
      </c>
      <c r="M207" s="840">
        <f>'d3'!M207-'d3-П'!M207</f>
        <v>0</v>
      </c>
      <c r="N207" s="840">
        <f>'d3'!N207-'d3-П'!N207</f>
        <v>0</v>
      </c>
      <c r="O207" s="840">
        <f>'d3'!O207-'d3-П'!O207</f>
        <v>0</v>
      </c>
      <c r="P207" s="840">
        <f>'d3'!P207-'d3-П'!P207</f>
        <v>-288000</v>
      </c>
    </row>
    <row r="208" spans="1:16" s="463" customFormat="1" ht="184.5" thickTop="1" thickBot="1" x14ac:dyDescent="0.25">
      <c r="A208" s="474" t="s">
        <v>559</v>
      </c>
      <c r="B208" s="474" t="s">
        <v>557</v>
      </c>
      <c r="C208" s="474" t="s">
        <v>213</v>
      </c>
      <c r="D208" s="843" t="s">
        <v>558</v>
      </c>
      <c r="E208" s="840">
        <f>'d3'!E208-'d3-П'!E208</f>
        <v>-75000</v>
      </c>
      <c r="F208" s="840">
        <f>'d3'!F208-'d3-П'!F208</f>
        <v>-75000</v>
      </c>
      <c r="G208" s="840">
        <f>'d3'!G208-'d3-П'!G208</f>
        <v>0</v>
      </c>
      <c r="H208" s="840">
        <f>'d3'!H208-'d3-П'!H208</f>
        <v>0</v>
      </c>
      <c r="I208" s="840">
        <f>'d3'!I208-'d3-П'!I208</f>
        <v>0</v>
      </c>
      <c r="J208" s="840">
        <f>'d3'!J208-'d3-П'!J208</f>
        <v>0</v>
      </c>
      <c r="K208" s="840">
        <f>'d3'!K208-'d3-П'!K208</f>
        <v>0</v>
      </c>
      <c r="L208" s="840">
        <f>'d3'!L208-'d3-П'!L208</f>
        <v>0</v>
      </c>
      <c r="M208" s="840">
        <f>'d3'!M208-'d3-П'!M208</f>
        <v>0</v>
      </c>
      <c r="N208" s="840">
        <f>'d3'!N208-'d3-П'!N208</f>
        <v>0</v>
      </c>
      <c r="O208" s="840">
        <f>'d3'!O208-'d3-П'!O208</f>
        <v>0</v>
      </c>
      <c r="P208" s="840">
        <f>'d3'!P208-'d3-П'!P208</f>
        <v>-75000</v>
      </c>
    </row>
    <row r="209" spans="1:16" s="463" customFormat="1" ht="93" thickTop="1" thickBot="1" x14ac:dyDescent="0.25">
      <c r="A209" s="474" t="s">
        <v>32</v>
      </c>
      <c r="B209" s="474" t="s">
        <v>214</v>
      </c>
      <c r="C209" s="474" t="s">
        <v>213</v>
      </c>
      <c r="D209" s="843" t="s">
        <v>33</v>
      </c>
      <c r="E209" s="840">
        <f>'d3'!E209-'d3-П'!E209</f>
        <v>0</v>
      </c>
      <c r="F209" s="840">
        <f>'d3'!F209-'d3-П'!F209</f>
        <v>0</v>
      </c>
      <c r="G209" s="840">
        <f>'d3'!G209-'d3-П'!G209</f>
        <v>0</v>
      </c>
      <c r="H209" s="840">
        <f>'d3'!H209-'d3-П'!H209</f>
        <v>0</v>
      </c>
      <c r="I209" s="840">
        <f>'d3'!I209-'d3-П'!I209</f>
        <v>0</v>
      </c>
      <c r="J209" s="840">
        <f>'d3'!J209-'d3-П'!J209</f>
        <v>0</v>
      </c>
      <c r="K209" s="840">
        <f>'d3'!K209-'d3-П'!K209</f>
        <v>0</v>
      </c>
      <c r="L209" s="840">
        <f>'d3'!L209-'d3-П'!L209</f>
        <v>0</v>
      </c>
      <c r="M209" s="840">
        <f>'d3'!M209-'d3-П'!M209</f>
        <v>0</v>
      </c>
      <c r="N209" s="840">
        <f>'d3'!N209-'d3-П'!N209</f>
        <v>0</v>
      </c>
      <c r="O209" s="840">
        <f>'d3'!O209-'d3-П'!O209</f>
        <v>0</v>
      </c>
      <c r="P209" s="840">
        <f>'d3'!P209-'d3-П'!P209</f>
        <v>0</v>
      </c>
    </row>
    <row r="210" spans="1:16" ht="91.5" thickTop="1" thickBot="1" x14ac:dyDescent="0.25">
      <c r="A210" s="422" t="s">
        <v>942</v>
      </c>
      <c r="B210" s="422" t="s">
        <v>899</v>
      </c>
      <c r="C210" s="422"/>
      <c r="D210" s="417" t="s">
        <v>900</v>
      </c>
      <c r="E210" s="840">
        <f>'d3'!E210-'d3-П'!E210</f>
        <v>0</v>
      </c>
      <c r="F210" s="840">
        <f>'d3'!F210-'d3-П'!F210</f>
        <v>0</v>
      </c>
      <c r="G210" s="840">
        <f>'d3'!G210-'d3-П'!G210</f>
        <v>0</v>
      </c>
      <c r="H210" s="840">
        <f>'d3'!H210-'d3-П'!H210</f>
        <v>0</v>
      </c>
      <c r="I210" s="840">
        <f>'d3'!I210-'d3-П'!I210</f>
        <v>0</v>
      </c>
      <c r="J210" s="840">
        <f>'d3'!J210-'d3-П'!J210</f>
        <v>0</v>
      </c>
      <c r="K210" s="840">
        <f>'d3'!K210-'d3-П'!K210</f>
        <v>0</v>
      </c>
      <c r="L210" s="840">
        <f>'d3'!L210-'d3-П'!L210</f>
        <v>0</v>
      </c>
      <c r="M210" s="840">
        <f>'d3'!M210-'d3-П'!M210</f>
        <v>0</v>
      </c>
      <c r="N210" s="840">
        <f>'d3'!N210-'d3-П'!N210</f>
        <v>0</v>
      </c>
      <c r="O210" s="840">
        <f>'d3'!O210-'d3-П'!O210</f>
        <v>0</v>
      </c>
      <c r="P210" s="840">
        <f>'d3'!P210-'d3-П'!P210</f>
        <v>0</v>
      </c>
    </row>
    <row r="211" spans="1:16" ht="93" thickTop="1" thickBot="1" x14ac:dyDescent="0.25">
      <c r="A211" s="431" t="s">
        <v>943</v>
      </c>
      <c r="B211" s="431" t="s">
        <v>902</v>
      </c>
      <c r="C211" s="431"/>
      <c r="D211" s="345" t="s">
        <v>903</v>
      </c>
      <c r="E211" s="840">
        <f>'d3'!E211-'d3-П'!E211</f>
        <v>0</v>
      </c>
      <c r="F211" s="840">
        <f>'d3'!F211-'d3-П'!F211</f>
        <v>0</v>
      </c>
      <c r="G211" s="840">
        <f>'d3'!G211-'d3-П'!G211</f>
        <v>0</v>
      </c>
      <c r="H211" s="840">
        <f>'d3'!H211-'d3-П'!H211</f>
        <v>0</v>
      </c>
      <c r="I211" s="840">
        <f>'d3'!I211-'d3-П'!I211</f>
        <v>0</v>
      </c>
      <c r="J211" s="840">
        <f>'d3'!J211-'d3-П'!J211</f>
        <v>0</v>
      </c>
      <c r="K211" s="840">
        <f>'d3'!K211-'d3-П'!K211</f>
        <v>0</v>
      </c>
      <c r="L211" s="840">
        <f>'d3'!L211-'d3-П'!L211</f>
        <v>0</v>
      </c>
      <c r="M211" s="840">
        <f>'d3'!M211-'d3-П'!M211</f>
        <v>0</v>
      </c>
      <c r="N211" s="840">
        <f>'d3'!N211-'d3-П'!N211</f>
        <v>0</v>
      </c>
      <c r="O211" s="840">
        <f>'d3'!O211-'d3-П'!O211</f>
        <v>0</v>
      </c>
      <c r="P211" s="840">
        <f>'d3'!P211-'d3-П'!P211</f>
        <v>0</v>
      </c>
    </row>
    <row r="212" spans="1:16" s="463" customFormat="1" ht="276" thickTop="1" thickBot="1" x14ac:dyDescent="0.25">
      <c r="A212" s="474" t="s">
        <v>367</v>
      </c>
      <c r="B212" s="474" t="s">
        <v>366</v>
      </c>
      <c r="C212" s="474" t="s">
        <v>365</v>
      </c>
      <c r="D212" s="843" t="s">
        <v>794</v>
      </c>
      <c r="E212" s="840">
        <f>'d3'!E212-'d3-П'!E212</f>
        <v>0</v>
      </c>
      <c r="F212" s="840">
        <f>'d3'!F212-'d3-П'!F212</f>
        <v>0</v>
      </c>
      <c r="G212" s="840">
        <f>'d3'!G212-'d3-П'!G212</f>
        <v>0</v>
      </c>
      <c r="H212" s="840">
        <f>'d3'!H212-'d3-П'!H212</f>
        <v>0</v>
      </c>
      <c r="I212" s="840">
        <f>'d3'!I212-'d3-П'!I212</f>
        <v>0</v>
      </c>
      <c r="J212" s="840">
        <f>'d3'!J212-'d3-П'!J212</f>
        <v>0</v>
      </c>
      <c r="K212" s="840">
        <f>'d3'!K212-'d3-П'!K212</f>
        <v>0</v>
      </c>
      <c r="L212" s="840">
        <f>'d3'!L212-'d3-П'!L212</f>
        <v>0</v>
      </c>
      <c r="M212" s="840">
        <f>'d3'!M212-'d3-П'!M212</f>
        <v>0</v>
      </c>
      <c r="N212" s="840">
        <f>'d3'!N212-'d3-П'!N212</f>
        <v>0</v>
      </c>
      <c r="O212" s="840">
        <f>'d3'!O212-'d3-П'!O212</f>
        <v>0</v>
      </c>
      <c r="P212" s="840">
        <f>'d3'!P212-'d3-П'!P212</f>
        <v>0</v>
      </c>
    </row>
    <row r="213" spans="1:16" ht="47.25" thickTop="1" thickBot="1" x14ac:dyDescent="0.25">
      <c r="A213" s="422" t="s">
        <v>944</v>
      </c>
      <c r="B213" s="421" t="s">
        <v>905</v>
      </c>
      <c r="C213" s="421"/>
      <c r="D213" s="421" t="s">
        <v>906</v>
      </c>
      <c r="E213" s="840">
        <f>'d3'!E213-'d3-П'!E213</f>
        <v>0</v>
      </c>
      <c r="F213" s="840">
        <f>'d3'!F213-'d3-П'!F213</f>
        <v>0</v>
      </c>
      <c r="G213" s="840">
        <f>'d3'!G213-'d3-П'!G213</f>
        <v>0</v>
      </c>
      <c r="H213" s="840">
        <f>'d3'!H213-'d3-П'!H213</f>
        <v>0</v>
      </c>
      <c r="I213" s="840">
        <f>'d3'!I213-'d3-П'!I213</f>
        <v>0</v>
      </c>
      <c r="J213" s="840">
        <f>'d3'!J213-'d3-П'!J213</f>
        <v>-23928</v>
      </c>
      <c r="K213" s="840">
        <f>'d3'!K213-'d3-П'!K213</f>
        <v>-23928</v>
      </c>
      <c r="L213" s="840">
        <f>'d3'!L213-'d3-П'!L213</f>
        <v>0</v>
      </c>
      <c r="M213" s="840">
        <f>'d3'!M213-'d3-П'!M213</f>
        <v>0</v>
      </c>
      <c r="N213" s="840">
        <f>'d3'!N213-'d3-П'!N213</f>
        <v>0</v>
      </c>
      <c r="O213" s="840">
        <f>'d3'!O213-'d3-П'!O213</f>
        <v>-23928</v>
      </c>
      <c r="P213" s="840">
        <f>'d3'!P213-'d3-П'!P213</f>
        <v>-23928</v>
      </c>
    </row>
    <row r="214" spans="1:16" ht="91.5" thickTop="1" thickBot="1" x14ac:dyDescent="0.25">
      <c r="A214" s="379" t="s">
        <v>1465</v>
      </c>
      <c r="B214" s="379" t="s">
        <v>961</v>
      </c>
      <c r="C214" s="379"/>
      <c r="D214" s="379" t="s">
        <v>962</v>
      </c>
      <c r="E214" s="840">
        <f>'d3'!E214-'d3-П'!E214</f>
        <v>0</v>
      </c>
      <c r="F214" s="840">
        <f>'d3'!F214-'d3-П'!F214</f>
        <v>0</v>
      </c>
      <c r="G214" s="840">
        <f>'d3'!G214-'d3-П'!G214</f>
        <v>0</v>
      </c>
      <c r="H214" s="840">
        <f>'d3'!H214-'d3-П'!H214</f>
        <v>0</v>
      </c>
      <c r="I214" s="840">
        <f>'d3'!I214-'d3-П'!I214</f>
        <v>0</v>
      </c>
      <c r="J214" s="840">
        <f>'d3'!J214-'d3-П'!J214</f>
        <v>0</v>
      </c>
      <c r="K214" s="840">
        <f>'d3'!K214-'d3-П'!K214</f>
        <v>0</v>
      </c>
      <c r="L214" s="840">
        <f>'d3'!L214-'d3-П'!L214</f>
        <v>0</v>
      </c>
      <c r="M214" s="840">
        <f>'d3'!M214-'d3-П'!M214</f>
        <v>0</v>
      </c>
      <c r="N214" s="840">
        <f>'d3'!N214-'d3-П'!N214</f>
        <v>0</v>
      </c>
      <c r="O214" s="840">
        <f>'d3'!O214-'d3-П'!O214</f>
        <v>0</v>
      </c>
      <c r="P214" s="840">
        <f>'d3'!P214-'d3-П'!P214</f>
        <v>0</v>
      </c>
    </row>
    <row r="215" spans="1:16" ht="145.5" thickTop="1" thickBot="1" x14ac:dyDescent="0.25">
      <c r="A215" s="345" t="s">
        <v>1466</v>
      </c>
      <c r="B215" s="345" t="s">
        <v>980</v>
      </c>
      <c r="C215" s="345"/>
      <c r="D215" s="345" t="s">
        <v>1452</v>
      </c>
      <c r="E215" s="840">
        <f>'d3'!E215-'d3-П'!E215</f>
        <v>0</v>
      </c>
      <c r="F215" s="840">
        <f>'d3'!F215-'d3-П'!F215</f>
        <v>0</v>
      </c>
      <c r="G215" s="840">
        <f>'d3'!G215-'d3-П'!G215</f>
        <v>0</v>
      </c>
      <c r="H215" s="840">
        <f>'d3'!H215-'d3-П'!H215</f>
        <v>0</v>
      </c>
      <c r="I215" s="840">
        <f>'d3'!I215-'d3-П'!I215</f>
        <v>0</v>
      </c>
      <c r="J215" s="840">
        <f>'d3'!J215-'d3-П'!J215</f>
        <v>0</v>
      </c>
      <c r="K215" s="840">
        <f>'d3'!K215-'d3-П'!K215</f>
        <v>0</v>
      </c>
      <c r="L215" s="840">
        <f>'d3'!L215-'d3-П'!L215</f>
        <v>0</v>
      </c>
      <c r="M215" s="840">
        <f>'d3'!M215-'d3-П'!M215</f>
        <v>0</v>
      </c>
      <c r="N215" s="840">
        <f>'d3'!N215-'d3-П'!N215</f>
        <v>0</v>
      </c>
      <c r="O215" s="840">
        <f>'d3'!O215-'d3-П'!O215</f>
        <v>0</v>
      </c>
      <c r="P215" s="840">
        <f>'d3'!P215-'d3-П'!P215</f>
        <v>0</v>
      </c>
    </row>
    <row r="216" spans="1:16" ht="145.5" thickTop="1" thickBot="1" x14ac:dyDescent="0.25">
      <c r="A216" s="843" t="s">
        <v>1467</v>
      </c>
      <c r="B216" s="843" t="s">
        <v>336</v>
      </c>
      <c r="C216" s="843" t="s">
        <v>323</v>
      </c>
      <c r="D216" s="843" t="s">
        <v>780</v>
      </c>
      <c r="E216" s="840">
        <f>'d3'!E216-'d3-П'!E216</f>
        <v>0</v>
      </c>
      <c r="F216" s="840">
        <f>'d3'!F216-'d3-П'!F216</f>
        <v>0</v>
      </c>
      <c r="G216" s="840">
        <f>'d3'!G216-'d3-П'!G216</f>
        <v>0</v>
      </c>
      <c r="H216" s="840">
        <f>'d3'!H216-'d3-П'!H216</f>
        <v>0</v>
      </c>
      <c r="I216" s="840">
        <f>'d3'!I216-'d3-П'!I216</f>
        <v>0</v>
      </c>
      <c r="J216" s="840">
        <f>'d3'!J216-'d3-П'!J216</f>
        <v>0</v>
      </c>
      <c r="K216" s="840">
        <f>'d3'!K216-'d3-П'!K216</f>
        <v>0</v>
      </c>
      <c r="L216" s="840">
        <f>'d3'!L216-'d3-П'!L216</f>
        <v>0</v>
      </c>
      <c r="M216" s="840">
        <f>'d3'!M216-'d3-П'!M216</f>
        <v>0</v>
      </c>
      <c r="N216" s="840">
        <f>'d3'!N216-'d3-П'!N216</f>
        <v>0</v>
      </c>
      <c r="O216" s="840">
        <f>'d3'!O216-'d3-П'!O216</f>
        <v>0</v>
      </c>
      <c r="P216" s="840">
        <f>'d3'!P216-'d3-П'!P216</f>
        <v>0</v>
      </c>
    </row>
    <row r="217" spans="1:16" ht="136.5" thickTop="1" thickBot="1" x14ac:dyDescent="0.25">
      <c r="A217" s="379" t="s">
        <v>945</v>
      </c>
      <c r="B217" s="379" t="s">
        <v>847</v>
      </c>
      <c r="C217" s="379"/>
      <c r="D217" s="379" t="s">
        <v>845</v>
      </c>
      <c r="E217" s="840">
        <f>'d3'!E217-'d3-П'!E217</f>
        <v>0</v>
      </c>
      <c r="F217" s="840">
        <f>'d3'!F217-'d3-П'!F217</f>
        <v>0</v>
      </c>
      <c r="G217" s="840">
        <f>'d3'!G217-'d3-П'!G217</f>
        <v>0</v>
      </c>
      <c r="H217" s="840">
        <f>'d3'!H217-'d3-П'!H217</f>
        <v>0</v>
      </c>
      <c r="I217" s="840">
        <f>'d3'!I217-'d3-П'!I217</f>
        <v>0</v>
      </c>
      <c r="J217" s="840">
        <f>'d3'!J217-'d3-П'!J217</f>
        <v>-23928</v>
      </c>
      <c r="K217" s="840">
        <f>'d3'!K217-'d3-П'!K217</f>
        <v>-23928</v>
      </c>
      <c r="L217" s="840">
        <f>'d3'!L217-'d3-П'!L217</f>
        <v>0</v>
      </c>
      <c r="M217" s="840">
        <f>'d3'!M217-'d3-П'!M217</f>
        <v>0</v>
      </c>
      <c r="N217" s="840">
        <f>'d3'!N217-'d3-П'!N217</f>
        <v>0</v>
      </c>
      <c r="O217" s="840">
        <f>'d3'!O217-'d3-П'!O217</f>
        <v>-23928</v>
      </c>
      <c r="P217" s="840">
        <f>'d3'!P217-'d3-П'!P217</f>
        <v>-23928</v>
      </c>
    </row>
    <row r="218" spans="1:16" s="463" customFormat="1" ht="93" thickTop="1" thickBot="1" x14ac:dyDescent="0.25">
      <c r="A218" s="843" t="s">
        <v>742</v>
      </c>
      <c r="B218" s="843" t="s">
        <v>215</v>
      </c>
      <c r="C218" s="843" t="s">
        <v>184</v>
      </c>
      <c r="D218" s="843" t="s">
        <v>36</v>
      </c>
      <c r="E218" s="840">
        <f>'d3'!E218-'d3-П'!E218</f>
        <v>0</v>
      </c>
      <c r="F218" s="840">
        <f>'d3'!F218-'d3-П'!F218</f>
        <v>0</v>
      </c>
      <c r="G218" s="840">
        <f>'d3'!G218-'d3-П'!G218</f>
        <v>0</v>
      </c>
      <c r="H218" s="840">
        <f>'d3'!H218-'d3-П'!H218</f>
        <v>0</v>
      </c>
      <c r="I218" s="840">
        <f>'d3'!I218-'d3-П'!I218</f>
        <v>0</v>
      </c>
      <c r="J218" s="840">
        <f>'d3'!J218-'d3-П'!J218</f>
        <v>-23928</v>
      </c>
      <c r="K218" s="840">
        <f>'d3'!K218-'d3-П'!K218</f>
        <v>-23928</v>
      </c>
      <c r="L218" s="840">
        <f>'d3'!L218-'d3-П'!L218</f>
        <v>0</v>
      </c>
      <c r="M218" s="840">
        <f>'d3'!M218-'d3-П'!M218</f>
        <v>0</v>
      </c>
      <c r="N218" s="840">
        <f>'d3'!N218-'d3-П'!N218</f>
        <v>0</v>
      </c>
      <c r="O218" s="840">
        <f>'d3'!O218-'d3-П'!O218</f>
        <v>-23928</v>
      </c>
      <c r="P218" s="840">
        <f>'d3'!P218-'d3-П'!P218</f>
        <v>-23928</v>
      </c>
    </row>
    <row r="219" spans="1:16" s="463" customFormat="1" ht="47.25" thickTop="1" thickBot="1" x14ac:dyDescent="0.25">
      <c r="A219" s="422" t="s">
        <v>1521</v>
      </c>
      <c r="B219" s="422" t="s">
        <v>858</v>
      </c>
      <c r="C219" s="422"/>
      <c r="D219" s="422" t="s">
        <v>859</v>
      </c>
      <c r="E219" s="840">
        <f>'d3'!E219-0</f>
        <v>0</v>
      </c>
      <c r="F219" s="840">
        <f>'d3'!F219-0</f>
        <v>0</v>
      </c>
      <c r="G219" s="840">
        <f>'d3'!G219-0</f>
        <v>0</v>
      </c>
      <c r="H219" s="840">
        <f>'d3'!H219-0</f>
        <v>0</v>
      </c>
      <c r="I219" s="840">
        <f>'d3'!I219-0</f>
        <v>0</v>
      </c>
      <c r="J219" s="840">
        <f>'d3'!J219-0</f>
        <v>49900</v>
      </c>
      <c r="K219" s="840">
        <f>'d3'!K219-0</f>
        <v>49900</v>
      </c>
      <c r="L219" s="840">
        <f>'d3'!L219-0</f>
        <v>0</v>
      </c>
      <c r="M219" s="840">
        <f>'d3'!M219-0</f>
        <v>0</v>
      </c>
      <c r="N219" s="840">
        <f>'d3'!N219-0</f>
        <v>0</v>
      </c>
      <c r="O219" s="840">
        <f>'d3'!O219-0</f>
        <v>49900</v>
      </c>
      <c r="P219" s="840">
        <f>'d3'!P219-0</f>
        <v>49900</v>
      </c>
    </row>
    <row r="220" spans="1:16" s="463" customFormat="1" ht="271.5" thickTop="1" thickBot="1" x14ac:dyDescent="0.25">
      <c r="A220" s="379" t="s">
        <v>1522</v>
      </c>
      <c r="B220" s="379" t="s">
        <v>861</v>
      </c>
      <c r="C220" s="379"/>
      <c r="D220" s="379" t="s">
        <v>862</v>
      </c>
      <c r="E220" s="840">
        <f>'d3'!E220-0</f>
        <v>0</v>
      </c>
      <c r="F220" s="840">
        <f>'d3'!F220-0</f>
        <v>0</v>
      </c>
      <c r="G220" s="840">
        <f>'d3'!G220-0</f>
        <v>0</v>
      </c>
      <c r="H220" s="840">
        <f>'d3'!H220-0</f>
        <v>0</v>
      </c>
      <c r="I220" s="840">
        <f>'d3'!I220-0</f>
        <v>0</v>
      </c>
      <c r="J220" s="840">
        <f>'d3'!J220-0</f>
        <v>49900</v>
      </c>
      <c r="K220" s="840">
        <f>'d3'!K220-0</f>
        <v>49900</v>
      </c>
      <c r="L220" s="840">
        <f>'d3'!L220-0</f>
        <v>0</v>
      </c>
      <c r="M220" s="840">
        <f>'d3'!M220-0</f>
        <v>0</v>
      </c>
      <c r="N220" s="840">
        <f>'d3'!N220-0</f>
        <v>0</v>
      </c>
      <c r="O220" s="840">
        <f>'d3'!O220-0</f>
        <v>49900</v>
      </c>
      <c r="P220" s="840">
        <f>'d3'!P220-0</f>
        <v>49900</v>
      </c>
    </row>
    <row r="221" spans="1:16" s="463" customFormat="1" ht="93" thickTop="1" thickBot="1" x14ac:dyDescent="0.25">
      <c r="A221" s="843" t="s">
        <v>1523</v>
      </c>
      <c r="B221" s="843" t="s">
        <v>389</v>
      </c>
      <c r="C221" s="843" t="s">
        <v>45</v>
      </c>
      <c r="D221" s="843" t="s">
        <v>390</v>
      </c>
      <c r="E221" s="840">
        <f>'d3'!E221-0</f>
        <v>0</v>
      </c>
      <c r="F221" s="840">
        <f>'d3'!F221-0</f>
        <v>0</v>
      </c>
      <c r="G221" s="840">
        <f>'d3'!G221-0</f>
        <v>0</v>
      </c>
      <c r="H221" s="840">
        <f>'d3'!H221-0</f>
        <v>0</v>
      </c>
      <c r="I221" s="840">
        <f>'d3'!I221-0</f>
        <v>0</v>
      </c>
      <c r="J221" s="840">
        <f>'d3'!J221-0</f>
        <v>49900</v>
      </c>
      <c r="K221" s="840">
        <f>'d3'!K221-0</f>
        <v>49900</v>
      </c>
      <c r="L221" s="840">
        <f>'d3'!L221-0</f>
        <v>0</v>
      </c>
      <c r="M221" s="840">
        <f>'d3'!M221-0</f>
        <v>0</v>
      </c>
      <c r="N221" s="840">
        <f>'d3'!N221-0</f>
        <v>0</v>
      </c>
      <c r="O221" s="840">
        <f>'d3'!O221-0</f>
        <v>49900</v>
      </c>
      <c r="P221" s="840">
        <f>'d3'!P221-0</f>
        <v>49900</v>
      </c>
    </row>
    <row r="222" spans="1:16" ht="181.5" thickTop="1" thickBot="1" x14ac:dyDescent="0.25">
      <c r="A222" s="825" t="s">
        <v>172</v>
      </c>
      <c r="B222" s="825"/>
      <c r="C222" s="825"/>
      <c r="D222" s="826" t="s">
        <v>672</v>
      </c>
      <c r="E222" s="827">
        <f>E223</f>
        <v>121722</v>
      </c>
      <c r="F222" s="828">
        <f t="shared" ref="F222:G222" si="32">F223</f>
        <v>121722</v>
      </c>
      <c r="G222" s="828">
        <f t="shared" si="32"/>
        <v>26000</v>
      </c>
      <c r="H222" s="828">
        <f>H223</f>
        <v>12039</v>
      </c>
      <c r="I222" s="828">
        <f t="shared" ref="I222" si="33">I223</f>
        <v>0</v>
      </c>
      <c r="J222" s="827">
        <f>J223</f>
        <v>0</v>
      </c>
      <c r="K222" s="828">
        <f>K223</f>
        <v>0</v>
      </c>
      <c r="L222" s="828">
        <f>L223</f>
        <v>0</v>
      </c>
      <c r="M222" s="828">
        <f t="shared" ref="M222" si="34">M223</f>
        <v>0</v>
      </c>
      <c r="N222" s="828">
        <f>N223</f>
        <v>0</v>
      </c>
      <c r="O222" s="827">
        <f>O223</f>
        <v>0</v>
      </c>
      <c r="P222" s="828">
        <f>P223</f>
        <v>121722</v>
      </c>
    </row>
    <row r="223" spans="1:16" ht="181.5" thickTop="1" thickBot="1" x14ac:dyDescent="0.25">
      <c r="A223" s="829" t="s">
        <v>173</v>
      </c>
      <c r="B223" s="829"/>
      <c r="C223" s="829"/>
      <c r="D223" s="830" t="s">
        <v>673</v>
      </c>
      <c r="E223" s="831">
        <f>E224+E227+E234</f>
        <v>121722</v>
      </c>
      <c r="F223" s="831">
        <f t="shared" ref="F223:I223" si="35">F224+F227+F234</f>
        <v>121722</v>
      </c>
      <c r="G223" s="831">
        <f t="shared" si="35"/>
        <v>26000</v>
      </c>
      <c r="H223" s="831">
        <f t="shared" si="35"/>
        <v>12039</v>
      </c>
      <c r="I223" s="831">
        <f t="shared" si="35"/>
        <v>0</v>
      </c>
      <c r="J223" s="831">
        <f t="shared" ref="J223" si="36">L223+O223</f>
        <v>0</v>
      </c>
      <c r="K223" s="831">
        <f t="shared" ref="K223:O223" si="37">K224+K227+K234</f>
        <v>0</v>
      </c>
      <c r="L223" s="831">
        <f t="shared" si="37"/>
        <v>0</v>
      </c>
      <c r="M223" s="831">
        <f t="shared" si="37"/>
        <v>0</v>
      </c>
      <c r="N223" s="831">
        <f t="shared" si="37"/>
        <v>0</v>
      </c>
      <c r="O223" s="831">
        <f t="shared" si="37"/>
        <v>0</v>
      </c>
      <c r="P223" s="831">
        <f>E223+J223</f>
        <v>121722</v>
      </c>
    </row>
    <row r="224" spans="1:16" ht="47.25" thickTop="1" thickBot="1" x14ac:dyDescent="0.25">
      <c r="A224" s="422" t="s">
        <v>946</v>
      </c>
      <c r="B224" s="422" t="s">
        <v>840</v>
      </c>
      <c r="C224" s="422"/>
      <c r="D224" s="422" t="s">
        <v>841</v>
      </c>
      <c r="E224" s="840">
        <f>'d3'!E224-'d3-П'!E221</f>
        <v>22039</v>
      </c>
      <c r="F224" s="840">
        <f>'d3'!F224-'d3-П'!F221</f>
        <v>22039</v>
      </c>
      <c r="G224" s="840">
        <f>'d3'!G224-'d3-П'!G221</f>
        <v>26000</v>
      </c>
      <c r="H224" s="840">
        <f>'d3'!H224-'d3-П'!H221</f>
        <v>12039</v>
      </c>
      <c r="I224" s="840">
        <f>'d3'!I224-'d3-П'!I221</f>
        <v>0</v>
      </c>
      <c r="J224" s="840">
        <f>'d3'!J224-'d3-П'!J221</f>
        <v>0</v>
      </c>
      <c r="K224" s="840">
        <f>'d3'!K224-'d3-П'!K221</f>
        <v>0</v>
      </c>
      <c r="L224" s="840">
        <f>'d3'!L224-'d3-П'!L221</f>
        <v>0</v>
      </c>
      <c r="M224" s="840">
        <f>'d3'!M224-'d3-П'!M221</f>
        <v>0</v>
      </c>
      <c r="N224" s="840">
        <f>'d3'!N224-'d3-П'!N221</f>
        <v>0</v>
      </c>
      <c r="O224" s="840">
        <f>'d3'!O224-'d3-П'!O221</f>
        <v>0</v>
      </c>
      <c r="P224" s="840">
        <f>'d3'!P224-'d3-П'!P221</f>
        <v>22039</v>
      </c>
    </row>
    <row r="225" spans="1:16" ht="230.25" thickTop="1" thickBot="1" x14ac:dyDescent="0.25">
      <c r="A225" s="843" t="s">
        <v>449</v>
      </c>
      <c r="B225" s="843" t="s">
        <v>254</v>
      </c>
      <c r="C225" s="843" t="s">
        <v>252</v>
      </c>
      <c r="D225" s="843" t="s">
        <v>253</v>
      </c>
      <c r="E225" s="840">
        <f>'d3'!E225-'d3-П'!E222</f>
        <v>27039</v>
      </c>
      <c r="F225" s="840">
        <f>'d3'!F225-'d3-П'!F222</f>
        <v>27039</v>
      </c>
      <c r="G225" s="840">
        <f>'d3'!G225-'d3-П'!G222</f>
        <v>26000</v>
      </c>
      <c r="H225" s="840">
        <f>'d3'!H225-'d3-П'!H222</f>
        <v>12039</v>
      </c>
      <c r="I225" s="840">
        <f>'d3'!I225-'d3-П'!I222</f>
        <v>0</v>
      </c>
      <c r="J225" s="840">
        <f>'d3'!J225-'d3-П'!J222</f>
        <v>0</v>
      </c>
      <c r="K225" s="840">
        <f>'d3'!K225-'d3-П'!K222</f>
        <v>0</v>
      </c>
      <c r="L225" s="840">
        <f>'d3'!L225-'d3-П'!L222</f>
        <v>0</v>
      </c>
      <c r="M225" s="840">
        <f>'d3'!M225-'d3-П'!M222</f>
        <v>0</v>
      </c>
      <c r="N225" s="840">
        <f>'d3'!N225-'d3-П'!N222</f>
        <v>0</v>
      </c>
      <c r="O225" s="840">
        <f>'d3'!O225-'d3-П'!O222</f>
        <v>0</v>
      </c>
      <c r="P225" s="840">
        <f>'d3'!P225-'d3-П'!P222</f>
        <v>27039</v>
      </c>
    </row>
    <row r="226" spans="1:16" ht="184.5" thickTop="1" thickBot="1" x14ac:dyDescent="0.25">
      <c r="A226" s="842" t="s">
        <v>782</v>
      </c>
      <c r="B226" s="842" t="s">
        <v>388</v>
      </c>
      <c r="C226" s="842" t="s">
        <v>775</v>
      </c>
      <c r="D226" s="842" t="s">
        <v>776</v>
      </c>
      <c r="E226" s="840">
        <f>'d3'!E226-'d3-П'!E223</f>
        <v>-5000</v>
      </c>
      <c r="F226" s="840">
        <f>'d3'!F226-'d3-П'!F223</f>
        <v>-5000</v>
      </c>
      <c r="G226" s="840">
        <f>'d3'!G226-'d3-П'!G223</f>
        <v>0</v>
      </c>
      <c r="H226" s="840">
        <f>'d3'!H226-'d3-П'!H223</f>
        <v>0</v>
      </c>
      <c r="I226" s="840">
        <f>'d3'!I226-'d3-П'!I223</f>
        <v>0</v>
      </c>
      <c r="J226" s="840">
        <f>'d3'!J226-'d3-П'!J223</f>
        <v>0</v>
      </c>
      <c r="K226" s="840">
        <f>'d3'!K226-'d3-П'!K223</f>
        <v>0</v>
      </c>
      <c r="L226" s="840">
        <f>'d3'!L226-'d3-П'!L223</f>
        <v>0</v>
      </c>
      <c r="M226" s="840">
        <f>'d3'!M226-'d3-П'!M223</f>
        <v>0</v>
      </c>
      <c r="N226" s="840">
        <f>'d3'!N226-'d3-П'!N223</f>
        <v>0</v>
      </c>
      <c r="O226" s="840">
        <f>'d3'!O226-'d3-П'!O223</f>
        <v>0</v>
      </c>
      <c r="P226" s="840">
        <f>'d3'!P226-'d3-П'!P223</f>
        <v>-5000</v>
      </c>
    </row>
    <row r="227" spans="1:16" ht="91.5" thickTop="1" thickBot="1" x14ac:dyDescent="0.25">
      <c r="A227" s="422" t="s">
        <v>947</v>
      </c>
      <c r="B227" s="421" t="s">
        <v>899</v>
      </c>
      <c r="C227" s="421"/>
      <c r="D227" s="417" t="s">
        <v>900</v>
      </c>
      <c r="E227" s="840">
        <f>'d3'!E227-'d3-П'!E224</f>
        <v>-200317</v>
      </c>
      <c r="F227" s="840">
        <f>'d3'!F227-'d3-П'!F224</f>
        <v>-200317</v>
      </c>
      <c r="G227" s="840">
        <f>'d3'!G227-'d3-П'!G224</f>
        <v>0</v>
      </c>
      <c r="H227" s="840">
        <f>'d3'!H227-'d3-П'!H224</f>
        <v>0</v>
      </c>
      <c r="I227" s="840">
        <f>'d3'!I227-'d3-П'!I224</f>
        <v>0</v>
      </c>
      <c r="J227" s="840">
        <f>'d3'!J227-'d3-П'!J224</f>
        <v>0</v>
      </c>
      <c r="K227" s="840">
        <f>'d3'!K227-'d3-П'!K224</f>
        <v>0</v>
      </c>
      <c r="L227" s="840">
        <f>'d3'!L227-'d3-П'!L224</f>
        <v>0</v>
      </c>
      <c r="M227" s="840">
        <f>'d3'!M227-'d3-П'!M224</f>
        <v>0</v>
      </c>
      <c r="N227" s="840">
        <f>'d3'!N227-'d3-П'!N224</f>
        <v>0</v>
      </c>
      <c r="O227" s="840">
        <f>'d3'!O227-'d3-П'!O224</f>
        <v>0</v>
      </c>
      <c r="P227" s="840">
        <f>'d3'!P227-'d3-П'!P224</f>
        <v>-200317</v>
      </c>
    </row>
    <row r="228" spans="1:16" s="39" customFormat="1" ht="184.5" thickTop="1" thickBot="1" x14ac:dyDescent="0.25">
      <c r="A228" s="345" t="s">
        <v>948</v>
      </c>
      <c r="B228" s="378" t="s">
        <v>949</v>
      </c>
      <c r="C228" s="378"/>
      <c r="D228" s="378" t="s">
        <v>950</v>
      </c>
      <c r="E228" s="840">
        <f>'d3'!E228-'d3-П'!E225</f>
        <v>-200317</v>
      </c>
      <c r="F228" s="840">
        <f>'d3'!F228-'d3-П'!F225</f>
        <v>-200317</v>
      </c>
      <c r="G228" s="840">
        <f>'d3'!G228-'d3-П'!G225</f>
        <v>0</v>
      </c>
      <c r="H228" s="840">
        <f>'d3'!H228-'d3-П'!H225</f>
        <v>0</v>
      </c>
      <c r="I228" s="840">
        <f>'d3'!I228-'d3-П'!I225</f>
        <v>0</v>
      </c>
      <c r="J228" s="840">
        <f>'d3'!J228-'d3-П'!J225</f>
        <v>0</v>
      </c>
      <c r="K228" s="840">
        <f>'d3'!K228-'d3-П'!K225</f>
        <v>0</v>
      </c>
      <c r="L228" s="840">
        <f>'d3'!L228-'d3-П'!L225</f>
        <v>0</v>
      </c>
      <c r="M228" s="840">
        <f>'d3'!M228-'d3-П'!M225</f>
        <v>0</v>
      </c>
      <c r="N228" s="840">
        <f>'d3'!N228-'d3-П'!N225</f>
        <v>0</v>
      </c>
      <c r="O228" s="840">
        <f>'d3'!O228-'d3-П'!O225</f>
        <v>0</v>
      </c>
      <c r="P228" s="840">
        <f>'d3'!P228-'d3-П'!P225</f>
        <v>-200317</v>
      </c>
    </row>
    <row r="229" spans="1:16" ht="138.75" thickTop="1" thickBot="1" x14ac:dyDescent="0.25">
      <c r="A229" s="843" t="s">
        <v>298</v>
      </c>
      <c r="B229" s="843" t="s">
        <v>299</v>
      </c>
      <c r="C229" s="843" t="s">
        <v>365</v>
      </c>
      <c r="D229" s="843" t="s">
        <v>300</v>
      </c>
      <c r="E229" s="840">
        <f>'d3'!E229-'d3-П'!E226</f>
        <v>-200317</v>
      </c>
      <c r="F229" s="840">
        <f>'d3'!F229-'d3-П'!F226</f>
        <v>-200317</v>
      </c>
      <c r="G229" s="840">
        <f>'d3'!G229-'d3-П'!G226</f>
        <v>0</v>
      </c>
      <c r="H229" s="840">
        <f>'d3'!H229-'d3-П'!H226</f>
        <v>0</v>
      </c>
      <c r="I229" s="840">
        <f>'d3'!I229-'d3-П'!I226</f>
        <v>0</v>
      </c>
      <c r="J229" s="840">
        <f>'d3'!J229-'d3-П'!J226</f>
        <v>0</v>
      </c>
      <c r="K229" s="840">
        <f>'d3'!K229-'d3-П'!K226</f>
        <v>0</v>
      </c>
      <c r="L229" s="840">
        <f>'d3'!L229-'d3-П'!L226</f>
        <v>0</v>
      </c>
      <c r="M229" s="840">
        <f>'d3'!M229-'d3-П'!M226</f>
        <v>0</v>
      </c>
      <c r="N229" s="840">
        <f>'d3'!N229-'d3-П'!N226</f>
        <v>0</v>
      </c>
      <c r="O229" s="840">
        <f>'d3'!O229-'d3-П'!O226</f>
        <v>0</v>
      </c>
      <c r="P229" s="840">
        <f>'d3'!P229-'d3-П'!P226</f>
        <v>-200317</v>
      </c>
    </row>
    <row r="230" spans="1:16" ht="138.75" thickTop="1" thickBot="1" x14ac:dyDescent="0.25">
      <c r="A230" s="843" t="s">
        <v>320</v>
      </c>
      <c r="B230" s="843" t="s">
        <v>321</v>
      </c>
      <c r="C230" s="843" t="s">
        <v>301</v>
      </c>
      <c r="D230" s="843" t="s">
        <v>322</v>
      </c>
      <c r="E230" s="840">
        <f>'d3'!E230-'d3-П'!E227</f>
        <v>0</v>
      </c>
      <c r="F230" s="840">
        <f>'d3'!F230-'d3-П'!F227</f>
        <v>0</v>
      </c>
      <c r="G230" s="840">
        <f>'d3'!G230-'d3-П'!G227</f>
        <v>0</v>
      </c>
      <c r="H230" s="840">
        <f>'d3'!H230-'d3-П'!H227</f>
        <v>0</v>
      </c>
      <c r="I230" s="840">
        <f>'d3'!I230-'d3-П'!I227</f>
        <v>0</v>
      </c>
      <c r="J230" s="840">
        <f>'d3'!J230-'d3-П'!J227</f>
        <v>0</v>
      </c>
      <c r="K230" s="840">
        <f>'d3'!K230-'d3-П'!K227</f>
        <v>0</v>
      </c>
      <c r="L230" s="840">
        <f>'d3'!L230-'d3-П'!L227</f>
        <v>0</v>
      </c>
      <c r="M230" s="840">
        <f>'d3'!M230-'d3-П'!M227</f>
        <v>0</v>
      </c>
      <c r="N230" s="840">
        <f>'d3'!N230-'d3-П'!N227</f>
        <v>0</v>
      </c>
      <c r="O230" s="840">
        <f>'d3'!O230-'d3-П'!O227</f>
        <v>0</v>
      </c>
      <c r="P230" s="840">
        <f>'d3'!P230-'d3-П'!P227</f>
        <v>0</v>
      </c>
    </row>
    <row r="231" spans="1:16" ht="184.5" thickTop="1" thickBot="1" x14ac:dyDescent="0.25">
      <c r="A231" s="843" t="s">
        <v>302</v>
      </c>
      <c r="B231" s="843" t="s">
        <v>303</v>
      </c>
      <c r="C231" s="843" t="s">
        <v>301</v>
      </c>
      <c r="D231" s="843" t="s">
        <v>503</v>
      </c>
      <c r="E231" s="840">
        <f>'d3'!E231-'d3-П'!E228</f>
        <v>0</v>
      </c>
      <c r="F231" s="840">
        <f>'d3'!F231-'d3-П'!F228</f>
        <v>0</v>
      </c>
      <c r="G231" s="840">
        <f>'d3'!G231-'d3-П'!G228</f>
        <v>0</v>
      </c>
      <c r="H231" s="840">
        <f>'d3'!H231-'d3-П'!H228</f>
        <v>0</v>
      </c>
      <c r="I231" s="840">
        <f>'d3'!I231-'d3-П'!I228</f>
        <v>0</v>
      </c>
      <c r="J231" s="840">
        <f>'d3'!J231-'d3-П'!J228</f>
        <v>0</v>
      </c>
      <c r="K231" s="840">
        <f>'d3'!K231-'d3-П'!K228</f>
        <v>0</v>
      </c>
      <c r="L231" s="840">
        <f>'d3'!L231-'d3-П'!L228</f>
        <v>0</v>
      </c>
      <c r="M231" s="840">
        <f>'d3'!M231-'d3-П'!M228</f>
        <v>0</v>
      </c>
      <c r="N231" s="840">
        <f>'d3'!N231-'d3-П'!N228</f>
        <v>0</v>
      </c>
      <c r="O231" s="840">
        <f>'d3'!O231-'d3-П'!O228</f>
        <v>0</v>
      </c>
      <c r="P231" s="840">
        <f>'d3'!P231-'d3-П'!P228</f>
        <v>0</v>
      </c>
    </row>
    <row r="232" spans="1:16" ht="230.25" thickTop="1" thickBot="1" x14ac:dyDescent="0.25">
      <c r="A232" s="843" t="s">
        <v>1153</v>
      </c>
      <c r="B232" s="843" t="s">
        <v>316</v>
      </c>
      <c r="C232" s="843" t="s">
        <v>301</v>
      </c>
      <c r="D232" s="843" t="s">
        <v>317</v>
      </c>
      <c r="E232" s="840">
        <f>'d3'!E232-'d3-П'!E229</f>
        <v>0</v>
      </c>
      <c r="F232" s="840">
        <f>'d3'!F232-'d3-П'!F229</f>
        <v>0</v>
      </c>
      <c r="G232" s="840">
        <f>'d3'!G232-'d3-П'!G229</f>
        <v>0</v>
      </c>
      <c r="H232" s="840">
        <f>'d3'!H232-'d3-П'!H229</f>
        <v>0</v>
      </c>
      <c r="I232" s="840">
        <f>'d3'!I232-'d3-П'!I229</f>
        <v>0</v>
      </c>
      <c r="J232" s="840">
        <f>'d3'!J232-'d3-П'!J229</f>
        <v>0</v>
      </c>
      <c r="K232" s="840">
        <f>'d3'!K232-'d3-П'!K229</f>
        <v>0</v>
      </c>
      <c r="L232" s="840">
        <f>'d3'!L232-'d3-П'!L229</f>
        <v>0</v>
      </c>
      <c r="M232" s="840">
        <f>'d3'!M232-'d3-П'!M229</f>
        <v>0</v>
      </c>
      <c r="N232" s="840">
        <f>'d3'!N232-'d3-П'!N229</f>
        <v>0</v>
      </c>
      <c r="O232" s="840">
        <f>'d3'!O232-'d3-П'!O229</f>
        <v>0</v>
      </c>
      <c r="P232" s="840">
        <f>'d3'!P232-'d3-П'!P229</f>
        <v>0</v>
      </c>
    </row>
    <row r="233" spans="1:16" ht="93" thickTop="1" thickBot="1" x14ac:dyDescent="0.25">
      <c r="A233" s="843" t="s">
        <v>306</v>
      </c>
      <c r="B233" s="843" t="s">
        <v>307</v>
      </c>
      <c r="C233" s="843" t="s">
        <v>301</v>
      </c>
      <c r="D233" s="843" t="s">
        <v>308</v>
      </c>
      <c r="E233" s="840">
        <f>'d3'!E233-'d3-П'!E230</f>
        <v>0</v>
      </c>
      <c r="F233" s="840">
        <f>'d3'!F233-'d3-П'!F230</f>
        <v>0</v>
      </c>
      <c r="G233" s="840">
        <f>'d3'!G233-'d3-П'!G230</f>
        <v>0</v>
      </c>
      <c r="H233" s="840">
        <f>'d3'!H233-'d3-П'!H230</f>
        <v>0</v>
      </c>
      <c r="I233" s="840">
        <f>'d3'!I233-'d3-П'!I230</f>
        <v>0</v>
      </c>
      <c r="J233" s="840">
        <f>'d3'!J233-'d3-П'!J230</f>
        <v>0</v>
      </c>
      <c r="K233" s="840">
        <f>'d3'!K233-'d3-П'!K230</f>
        <v>0</v>
      </c>
      <c r="L233" s="840">
        <f>'d3'!L233-'d3-П'!L230</f>
        <v>0</v>
      </c>
      <c r="M233" s="840">
        <f>'d3'!M233-'d3-П'!M230</f>
        <v>0</v>
      </c>
      <c r="N233" s="840">
        <f>'d3'!N233-'d3-П'!N230</f>
        <v>0</v>
      </c>
      <c r="O233" s="840">
        <f>'d3'!O233-'d3-П'!O230</f>
        <v>0</v>
      </c>
      <c r="P233" s="840">
        <f>'d3'!P233-'d3-П'!P230</f>
        <v>0</v>
      </c>
    </row>
    <row r="234" spans="1:16" ht="47.25" thickTop="1" thickBot="1" x14ac:dyDescent="0.25">
      <c r="A234" s="422" t="s">
        <v>951</v>
      </c>
      <c r="B234" s="422" t="s">
        <v>905</v>
      </c>
      <c r="C234" s="422"/>
      <c r="D234" s="422" t="s">
        <v>952</v>
      </c>
      <c r="E234" s="840">
        <f>'d3'!E234-'d3-П'!E231</f>
        <v>300000</v>
      </c>
      <c r="F234" s="840">
        <f>'d3'!F234-'d3-П'!F231</f>
        <v>300000</v>
      </c>
      <c r="G234" s="840">
        <f>'d3'!G234-'d3-П'!G231</f>
        <v>0</v>
      </c>
      <c r="H234" s="840">
        <f>'d3'!H234-'d3-П'!H231</f>
        <v>0</v>
      </c>
      <c r="I234" s="840">
        <f>'d3'!I234-'d3-П'!I231</f>
        <v>0</v>
      </c>
      <c r="J234" s="840">
        <f>'d3'!J234-'d3-П'!J231</f>
        <v>0</v>
      </c>
      <c r="K234" s="840">
        <f>'d3'!K234-'d3-П'!K231</f>
        <v>0</v>
      </c>
      <c r="L234" s="840">
        <f>'d3'!L234-'d3-П'!L231</f>
        <v>0</v>
      </c>
      <c r="M234" s="840">
        <f>'d3'!M234-'d3-П'!M231</f>
        <v>0</v>
      </c>
      <c r="N234" s="840">
        <f>'d3'!N234-'d3-П'!N231</f>
        <v>0</v>
      </c>
      <c r="O234" s="840">
        <f>'d3'!O234-'d3-П'!O231</f>
        <v>0</v>
      </c>
      <c r="P234" s="840">
        <f>'d3'!P234-'d3-П'!P231</f>
        <v>300000</v>
      </c>
    </row>
    <row r="235" spans="1:16" ht="136.5" thickTop="1" thickBot="1" x14ac:dyDescent="0.25">
      <c r="A235" s="379" t="s">
        <v>953</v>
      </c>
      <c r="B235" s="379" t="s">
        <v>847</v>
      </c>
      <c r="C235" s="379"/>
      <c r="D235" s="379" t="s">
        <v>845</v>
      </c>
      <c r="E235" s="840">
        <f>'d3'!E235-'d3-П'!E232</f>
        <v>300000</v>
      </c>
      <c r="F235" s="840">
        <f>'d3'!F235-'d3-П'!F232</f>
        <v>300000</v>
      </c>
      <c r="G235" s="840">
        <f>'d3'!G235-'d3-П'!G232</f>
        <v>0</v>
      </c>
      <c r="H235" s="840">
        <f>'d3'!H235-'d3-П'!H232</f>
        <v>0</v>
      </c>
      <c r="I235" s="840">
        <f>'d3'!I235-'d3-П'!I232</f>
        <v>0</v>
      </c>
      <c r="J235" s="840">
        <f>'d3'!J235-'d3-П'!J232</f>
        <v>0</v>
      </c>
      <c r="K235" s="840">
        <f>'d3'!K235-'d3-П'!K232</f>
        <v>0</v>
      </c>
      <c r="L235" s="840">
        <f>'d3'!L235-'d3-П'!L232</f>
        <v>0</v>
      </c>
      <c r="M235" s="840">
        <f>'d3'!M235-'d3-П'!M232</f>
        <v>0</v>
      </c>
      <c r="N235" s="840">
        <f>'d3'!N235-'d3-П'!N232</f>
        <v>0</v>
      </c>
      <c r="O235" s="840">
        <f>'d3'!O235-'d3-П'!O232</f>
        <v>0</v>
      </c>
      <c r="P235" s="840">
        <f>'d3'!P235-'d3-П'!P232</f>
        <v>300000</v>
      </c>
    </row>
    <row r="236" spans="1:16" ht="47.25" thickTop="1" thickBot="1" x14ac:dyDescent="0.25">
      <c r="A236" s="843" t="s">
        <v>315</v>
      </c>
      <c r="B236" s="843" t="s">
        <v>230</v>
      </c>
      <c r="C236" s="843" t="s">
        <v>231</v>
      </c>
      <c r="D236" s="843" t="s">
        <v>43</v>
      </c>
      <c r="E236" s="840">
        <f>'d3'!E236-'d3-П'!E233</f>
        <v>300000</v>
      </c>
      <c r="F236" s="840">
        <f>'d3'!F236-'d3-П'!F233</f>
        <v>300000</v>
      </c>
      <c r="G236" s="840">
        <f>'d3'!G236-'d3-П'!G233</f>
        <v>0</v>
      </c>
      <c r="H236" s="840">
        <f>'d3'!H236-'d3-П'!H233</f>
        <v>0</v>
      </c>
      <c r="I236" s="840">
        <f>'d3'!I236-'d3-П'!I233</f>
        <v>0</v>
      </c>
      <c r="J236" s="840">
        <f>'d3'!J236-'d3-П'!J233</f>
        <v>0</v>
      </c>
      <c r="K236" s="840">
        <f>'d3'!K236-'d3-П'!K233</f>
        <v>0</v>
      </c>
      <c r="L236" s="840">
        <f>'d3'!L236-'d3-П'!L233</f>
        <v>0</v>
      </c>
      <c r="M236" s="840">
        <f>'d3'!M236-'d3-П'!M233</f>
        <v>0</v>
      </c>
      <c r="N236" s="840">
        <f>'d3'!N236-'d3-П'!N233</f>
        <v>0</v>
      </c>
      <c r="O236" s="840">
        <f>'d3'!O236-'d3-П'!O233</f>
        <v>0</v>
      </c>
      <c r="P236" s="840">
        <f>'d3'!P236-'d3-П'!P233</f>
        <v>300000</v>
      </c>
    </row>
    <row r="237" spans="1:16" ht="93" thickTop="1" thickBot="1" x14ac:dyDescent="0.25">
      <c r="A237" s="843" t="s">
        <v>1126</v>
      </c>
      <c r="B237" s="843" t="s">
        <v>215</v>
      </c>
      <c r="C237" s="843" t="s">
        <v>184</v>
      </c>
      <c r="D237" s="843" t="s">
        <v>36</v>
      </c>
      <c r="E237" s="840">
        <f>'d3'!E237-'d3-П'!E234</f>
        <v>0</v>
      </c>
      <c r="F237" s="840">
        <f>'d3'!F237-'d3-П'!F234</f>
        <v>0</v>
      </c>
      <c r="G237" s="840">
        <f>'d3'!G237-'d3-П'!G234</f>
        <v>0</v>
      </c>
      <c r="H237" s="840">
        <f>'d3'!H237-'d3-П'!H234</f>
        <v>0</v>
      </c>
      <c r="I237" s="840">
        <f>'d3'!I237-'d3-П'!I234</f>
        <v>0</v>
      </c>
      <c r="J237" s="840">
        <f>'d3'!J237-'d3-П'!J234</f>
        <v>0</v>
      </c>
      <c r="K237" s="840">
        <f>'d3'!K237-'d3-П'!K234</f>
        <v>0</v>
      </c>
      <c r="L237" s="840">
        <f>'d3'!L237-'d3-П'!L234</f>
        <v>0</v>
      </c>
      <c r="M237" s="840">
        <f>'d3'!M237-'d3-П'!M234</f>
        <v>0</v>
      </c>
      <c r="N237" s="840">
        <f>'d3'!N237-'d3-П'!N234</f>
        <v>0</v>
      </c>
      <c r="O237" s="840">
        <f>'d3'!O237-'d3-П'!O234</f>
        <v>0</v>
      </c>
      <c r="P237" s="840">
        <f>'d3'!P237-'d3-П'!P234</f>
        <v>0</v>
      </c>
    </row>
    <row r="238" spans="1:16" ht="47.25" thickTop="1" thickBot="1" x14ac:dyDescent="0.25">
      <c r="A238" s="345" t="s">
        <v>954</v>
      </c>
      <c r="B238" s="345" t="s">
        <v>850</v>
      </c>
      <c r="C238" s="345"/>
      <c r="D238" s="345" t="s">
        <v>955</v>
      </c>
      <c r="E238" s="840">
        <f>'d3'!E238-'d3-П'!E235</f>
        <v>0</v>
      </c>
      <c r="F238" s="840">
        <f>'d3'!F238-'d3-П'!F235</f>
        <v>0</v>
      </c>
      <c r="G238" s="840">
        <f>'d3'!G238-'d3-П'!G235</f>
        <v>0</v>
      </c>
      <c r="H238" s="840">
        <f>'d3'!H238-'d3-П'!H235</f>
        <v>0</v>
      </c>
      <c r="I238" s="840">
        <f>'d3'!I238-'d3-П'!I235</f>
        <v>0</v>
      </c>
      <c r="J238" s="840">
        <f>'d3'!J238-'d3-П'!J235</f>
        <v>0</v>
      </c>
      <c r="K238" s="840">
        <f>'d3'!K238-'d3-П'!K235</f>
        <v>0</v>
      </c>
      <c r="L238" s="840">
        <f>'d3'!L238-'d3-П'!L235</f>
        <v>0</v>
      </c>
      <c r="M238" s="840">
        <f>'d3'!M238-'d3-П'!M235</f>
        <v>0</v>
      </c>
      <c r="N238" s="840">
        <f>'d3'!N238-'d3-П'!N235</f>
        <v>0</v>
      </c>
      <c r="O238" s="840">
        <f>'d3'!O238-'d3-П'!O235</f>
        <v>0</v>
      </c>
      <c r="P238" s="840">
        <f>'d3'!P238-'d3-П'!P235</f>
        <v>0</v>
      </c>
    </row>
    <row r="239" spans="1:16" ht="409.6" thickTop="1" thickBot="1" x14ac:dyDescent="0.7">
      <c r="A239" s="983" t="s">
        <v>452</v>
      </c>
      <c r="B239" s="983" t="s">
        <v>363</v>
      </c>
      <c r="C239" s="983" t="s">
        <v>184</v>
      </c>
      <c r="D239" s="315" t="s">
        <v>473</v>
      </c>
      <c r="E239" s="966">
        <f>'d3'!E239-'d3-П'!E236</f>
        <v>0</v>
      </c>
      <c r="F239" s="966">
        <f>'d3'!F239-'d3-П'!F236</f>
        <v>0</v>
      </c>
      <c r="G239" s="966">
        <f>'d3'!G239-'d3-П'!G236</f>
        <v>0</v>
      </c>
      <c r="H239" s="966">
        <f>'d3'!H239-'d3-П'!H236</f>
        <v>0</v>
      </c>
      <c r="I239" s="966">
        <f>'d3'!I239-'d3-П'!I236</f>
        <v>0</v>
      </c>
      <c r="J239" s="966">
        <f>'d3'!J239-'d3-П'!J236</f>
        <v>0</v>
      </c>
      <c r="K239" s="966">
        <f>'d3'!K239-'d3-П'!K236</f>
        <v>0</v>
      </c>
      <c r="L239" s="966">
        <f>'d3'!L239-'d3-П'!L236</f>
        <v>0</v>
      </c>
      <c r="M239" s="966">
        <f>'d3'!M239-'d3-П'!M236</f>
        <v>0</v>
      </c>
      <c r="N239" s="966">
        <f>'d3'!N239-'d3-П'!N236</f>
        <v>0</v>
      </c>
      <c r="O239" s="966">
        <f>'d3'!O239-'d3-П'!O236</f>
        <v>0</v>
      </c>
      <c r="P239" s="966">
        <f>'d3'!P239-'d3-П'!P236</f>
        <v>0</v>
      </c>
    </row>
    <row r="240" spans="1:16" ht="184.5" thickTop="1" thickBot="1" x14ac:dyDescent="0.25">
      <c r="A240" s="983"/>
      <c r="B240" s="983"/>
      <c r="C240" s="983"/>
      <c r="D240" s="317" t="s">
        <v>474</v>
      </c>
      <c r="E240" s="1064"/>
      <c r="F240" s="1064">
        <f>'d3'!F240-'d3-П'!F237</f>
        <v>0</v>
      </c>
      <c r="G240" s="1064">
        <f>'d3'!G240-'d3-П'!G237</f>
        <v>0</v>
      </c>
      <c r="H240" s="1064">
        <f>'d3'!H240-'d3-П'!H237</f>
        <v>0</v>
      </c>
      <c r="I240" s="1064">
        <f>'d3'!I240-'d3-П'!I237</f>
        <v>0</v>
      </c>
      <c r="J240" s="1064">
        <f>'d3'!J240-'d3-П'!J237</f>
        <v>0</v>
      </c>
      <c r="K240" s="1064">
        <f>'d3'!K240-'d3-П'!K237</f>
        <v>0</v>
      </c>
      <c r="L240" s="1064">
        <f>'d3'!L240-'d3-П'!L237</f>
        <v>0</v>
      </c>
      <c r="M240" s="1064">
        <f>'d3'!M240-'d3-П'!M237</f>
        <v>0</v>
      </c>
      <c r="N240" s="1064">
        <f>'d3'!N240-'d3-П'!N237</f>
        <v>0</v>
      </c>
      <c r="O240" s="1064">
        <f>'d3'!O240-'d3-П'!O237</f>
        <v>0</v>
      </c>
      <c r="P240" s="1064">
        <f>'d3'!P240-'d3-П'!P237</f>
        <v>0</v>
      </c>
    </row>
    <row r="241" spans="1:16" ht="181.5" thickTop="1" thickBot="1" x14ac:dyDescent="0.25">
      <c r="A241" s="825" t="s">
        <v>640</v>
      </c>
      <c r="B241" s="825"/>
      <c r="C241" s="825"/>
      <c r="D241" s="826" t="s">
        <v>670</v>
      </c>
      <c r="E241" s="827">
        <f>E242</f>
        <v>10123806</v>
      </c>
      <c r="F241" s="828">
        <f t="shared" ref="F241:G241" si="38">F242</f>
        <v>10123806</v>
      </c>
      <c r="G241" s="828">
        <f t="shared" si="38"/>
        <v>-211226</v>
      </c>
      <c r="H241" s="828">
        <f>H242</f>
        <v>0</v>
      </c>
      <c r="I241" s="828">
        <f t="shared" ref="I241" si="39">I242</f>
        <v>0</v>
      </c>
      <c r="J241" s="827">
        <f>J242</f>
        <v>-5711631.0000000149</v>
      </c>
      <c r="K241" s="828">
        <f>K242</f>
        <v>-5711630.9999999851</v>
      </c>
      <c r="L241" s="828">
        <f>L242</f>
        <v>0</v>
      </c>
      <c r="M241" s="828">
        <f t="shared" ref="M241" si="40">M242</f>
        <v>0</v>
      </c>
      <c r="N241" s="828">
        <f>N242</f>
        <v>0</v>
      </c>
      <c r="O241" s="827">
        <f>O242</f>
        <v>-5711631.0000000149</v>
      </c>
      <c r="P241" s="828">
        <f>P242</f>
        <v>4412174.9999999851</v>
      </c>
    </row>
    <row r="242" spans="1:16" ht="181.5" thickTop="1" thickBot="1" x14ac:dyDescent="0.25">
      <c r="A242" s="829" t="s">
        <v>641</v>
      </c>
      <c r="B242" s="829"/>
      <c r="C242" s="829"/>
      <c r="D242" s="830" t="s">
        <v>671</v>
      </c>
      <c r="E242" s="831">
        <f>E243+E247+E253+E265</f>
        <v>10123806</v>
      </c>
      <c r="F242" s="831">
        <f t="shared" ref="F242:I242" si="41">F243+F247+F253+F265</f>
        <v>10123806</v>
      </c>
      <c r="G242" s="831">
        <f t="shared" si="41"/>
        <v>-211226</v>
      </c>
      <c r="H242" s="831">
        <f t="shared" si="41"/>
        <v>0</v>
      </c>
      <c r="I242" s="831">
        <f t="shared" si="41"/>
        <v>0</v>
      </c>
      <c r="J242" s="831">
        <f t="shared" ref="J242" si="42">L242+O242</f>
        <v>-5711631.0000000149</v>
      </c>
      <c r="K242" s="831">
        <f t="shared" ref="K242:O242" si="43">K243+K247+K253+K265</f>
        <v>-5711630.9999999851</v>
      </c>
      <c r="L242" s="831">
        <f t="shared" si="43"/>
        <v>0</v>
      </c>
      <c r="M242" s="831">
        <f t="shared" si="43"/>
        <v>0</v>
      </c>
      <c r="N242" s="831">
        <f t="shared" si="43"/>
        <v>0</v>
      </c>
      <c r="O242" s="831">
        <f t="shared" si="43"/>
        <v>-5711631.0000000149</v>
      </c>
      <c r="P242" s="831">
        <f>E242+J242</f>
        <v>4412174.9999999851</v>
      </c>
    </row>
    <row r="243" spans="1:16" ht="47.25" thickTop="1" thickBot="1" x14ac:dyDescent="0.25">
      <c r="A243" s="422" t="s">
        <v>956</v>
      </c>
      <c r="B243" s="422" t="s">
        <v>840</v>
      </c>
      <c r="C243" s="422"/>
      <c r="D243" s="422" t="s">
        <v>841</v>
      </c>
      <c r="E243" s="840">
        <f>'d3'!E243-'d3-П'!E240</f>
        <v>-102930</v>
      </c>
      <c r="F243" s="840">
        <f>'d3'!F243-'d3-П'!F240</f>
        <v>-102930</v>
      </c>
      <c r="G243" s="840">
        <f>'d3'!G243-'d3-П'!G240</f>
        <v>-45000</v>
      </c>
      <c r="H243" s="840">
        <f>'d3'!H243-'d3-П'!H240</f>
        <v>0</v>
      </c>
      <c r="I243" s="840">
        <f>'d3'!I243-'d3-П'!I240</f>
        <v>0</v>
      </c>
      <c r="J243" s="840">
        <f>'d3'!J243-'d3-П'!J240</f>
        <v>0</v>
      </c>
      <c r="K243" s="840">
        <f>'d3'!K243-'d3-П'!K240</f>
        <v>0</v>
      </c>
      <c r="L243" s="840">
        <f>'d3'!L243-'d3-П'!L240</f>
        <v>0</v>
      </c>
      <c r="M243" s="840">
        <f>'d3'!M243-'d3-П'!M240</f>
        <v>0</v>
      </c>
      <c r="N243" s="840">
        <f>'d3'!N243-'d3-П'!N240</f>
        <v>0</v>
      </c>
      <c r="O243" s="840">
        <f>'d3'!O243-'d3-П'!O240</f>
        <v>0</v>
      </c>
      <c r="P243" s="840">
        <f>'d3'!P243-'d3-П'!P240</f>
        <v>-102930</v>
      </c>
    </row>
    <row r="244" spans="1:16" ht="230.25" thickTop="1" thickBot="1" x14ac:dyDescent="0.25">
      <c r="A244" s="843" t="s">
        <v>642</v>
      </c>
      <c r="B244" s="843" t="s">
        <v>254</v>
      </c>
      <c r="C244" s="843" t="s">
        <v>252</v>
      </c>
      <c r="D244" s="843" t="s">
        <v>253</v>
      </c>
      <c r="E244" s="840">
        <f>'d3'!E244-'d3-П'!E241</f>
        <v>-100000</v>
      </c>
      <c r="F244" s="840">
        <f>'d3'!F244-'d3-П'!F241</f>
        <v>-100000</v>
      </c>
      <c r="G244" s="840">
        <f>'d3'!G244-'d3-П'!G241</f>
        <v>-45000</v>
      </c>
      <c r="H244" s="840">
        <f>'d3'!H244-'d3-П'!H241</f>
        <v>0</v>
      </c>
      <c r="I244" s="840">
        <f>'d3'!I244-'d3-П'!I241</f>
        <v>0</v>
      </c>
      <c r="J244" s="840">
        <f>'d3'!J244-'d3-П'!J241</f>
        <v>0</v>
      </c>
      <c r="K244" s="840">
        <f>'d3'!K244-'d3-П'!K241</f>
        <v>0</v>
      </c>
      <c r="L244" s="840">
        <f>'d3'!L244-'d3-П'!L241</f>
        <v>0</v>
      </c>
      <c r="M244" s="840">
        <f>'d3'!M244-'d3-П'!M241</f>
        <v>0</v>
      </c>
      <c r="N244" s="840">
        <f>'d3'!N244-'d3-П'!N241</f>
        <v>0</v>
      </c>
      <c r="O244" s="840">
        <f>'d3'!O244-'d3-П'!O241</f>
        <v>0</v>
      </c>
      <c r="P244" s="840">
        <f>'d3'!P244-'d3-П'!P241</f>
        <v>-100000</v>
      </c>
    </row>
    <row r="245" spans="1:16" ht="184.5" thickTop="1" thickBot="1" x14ac:dyDescent="0.25">
      <c r="A245" s="842" t="s">
        <v>784</v>
      </c>
      <c r="B245" s="842" t="s">
        <v>388</v>
      </c>
      <c r="C245" s="842" t="s">
        <v>775</v>
      </c>
      <c r="D245" s="842" t="s">
        <v>776</v>
      </c>
      <c r="E245" s="840">
        <f>'d3'!E245-'d3-П'!E242</f>
        <v>-2930</v>
      </c>
      <c r="F245" s="840">
        <f>'d3'!F245-'d3-П'!F242</f>
        <v>-2930</v>
      </c>
      <c r="G245" s="840">
        <f>'d3'!G245-'d3-П'!G242</f>
        <v>0</v>
      </c>
      <c r="H245" s="840">
        <f>'d3'!H245-'d3-П'!H242</f>
        <v>0</v>
      </c>
      <c r="I245" s="840">
        <f>'d3'!I245-'d3-П'!I242</f>
        <v>0</v>
      </c>
      <c r="J245" s="840">
        <f>'d3'!J245-'d3-П'!J242</f>
        <v>0</v>
      </c>
      <c r="K245" s="840">
        <f>'d3'!K245-'d3-П'!K242</f>
        <v>0</v>
      </c>
      <c r="L245" s="840">
        <f>'d3'!L245-'d3-П'!L242</f>
        <v>0</v>
      </c>
      <c r="M245" s="840">
        <f>'d3'!M245-'d3-П'!M242</f>
        <v>0</v>
      </c>
      <c r="N245" s="840">
        <f>'d3'!N245-'d3-П'!N242</f>
        <v>0</v>
      </c>
      <c r="O245" s="840">
        <f>'d3'!O245-'d3-П'!O242</f>
        <v>0</v>
      </c>
      <c r="P245" s="840">
        <f>'d3'!P245-'d3-П'!P242</f>
        <v>-2930</v>
      </c>
    </row>
    <row r="246" spans="1:16" ht="93" thickTop="1" thickBot="1" x14ac:dyDescent="0.25">
      <c r="A246" s="843" t="s">
        <v>643</v>
      </c>
      <c r="B246" s="843" t="s">
        <v>45</v>
      </c>
      <c r="C246" s="843" t="s">
        <v>44</v>
      </c>
      <c r="D246" s="843" t="s">
        <v>266</v>
      </c>
      <c r="E246" s="840">
        <f>'d3'!E246-'d3-П'!E243</f>
        <v>0</v>
      </c>
      <c r="F246" s="840">
        <f>'d3'!F246-'d3-П'!F243</f>
        <v>0</v>
      </c>
      <c r="G246" s="840">
        <f>'d3'!G246-'d3-П'!G243</f>
        <v>0</v>
      </c>
      <c r="H246" s="840">
        <f>'d3'!H246-'d3-П'!H243</f>
        <v>0</v>
      </c>
      <c r="I246" s="840">
        <f>'d3'!I246-'d3-П'!I243</f>
        <v>0</v>
      </c>
      <c r="J246" s="840">
        <f>'d3'!J246-'d3-П'!J243</f>
        <v>0</v>
      </c>
      <c r="K246" s="840">
        <f>'d3'!K246-'d3-П'!K243</f>
        <v>0</v>
      </c>
      <c r="L246" s="840">
        <f>'d3'!L246-'d3-П'!L243</f>
        <v>0</v>
      </c>
      <c r="M246" s="840">
        <f>'d3'!M246-'d3-П'!M243</f>
        <v>0</v>
      </c>
      <c r="N246" s="840">
        <f>'d3'!N246-'d3-П'!N243</f>
        <v>0</v>
      </c>
      <c r="O246" s="840">
        <f>'d3'!O246-'d3-П'!O243</f>
        <v>0</v>
      </c>
      <c r="P246" s="840">
        <f>'d3'!P246-'d3-П'!P243</f>
        <v>0</v>
      </c>
    </row>
    <row r="247" spans="1:16" ht="91.5" thickTop="1" thickBot="1" x14ac:dyDescent="0.25">
      <c r="A247" s="422" t="s">
        <v>957</v>
      </c>
      <c r="B247" s="421" t="s">
        <v>899</v>
      </c>
      <c r="C247" s="421"/>
      <c r="D247" s="417" t="s">
        <v>900</v>
      </c>
      <c r="E247" s="840">
        <f>'d3'!E247-'d3-П'!E244</f>
        <v>13664797</v>
      </c>
      <c r="F247" s="840">
        <f>'d3'!F247-'d3-П'!F244</f>
        <v>13664797</v>
      </c>
      <c r="G247" s="840">
        <f>'d3'!G247-'d3-П'!G244</f>
        <v>0</v>
      </c>
      <c r="H247" s="840">
        <f>'d3'!H247-'d3-П'!H244</f>
        <v>0</v>
      </c>
      <c r="I247" s="840">
        <f>'d3'!I247-'d3-П'!I244</f>
        <v>0</v>
      </c>
      <c r="J247" s="840">
        <f>'d3'!J247-'d3-П'!J244</f>
        <v>201669</v>
      </c>
      <c r="K247" s="840">
        <f>'d3'!K247-'d3-П'!K244</f>
        <v>201669</v>
      </c>
      <c r="L247" s="840">
        <f>'d3'!L247-'d3-П'!L244</f>
        <v>0</v>
      </c>
      <c r="M247" s="840">
        <f>'d3'!M247-'d3-П'!M244</f>
        <v>0</v>
      </c>
      <c r="N247" s="840">
        <f>'d3'!N247-'d3-П'!N244</f>
        <v>0</v>
      </c>
      <c r="O247" s="840">
        <f>'d3'!O247-'d3-П'!O244</f>
        <v>201669</v>
      </c>
      <c r="P247" s="840">
        <f>'d3'!P247-'d3-П'!P244</f>
        <v>13866466</v>
      </c>
    </row>
    <row r="248" spans="1:16" ht="184.5" thickTop="1" thickBot="1" x14ac:dyDescent="0.25">
      <c r="A248" s="345" t="s">
        <v>958</v>
      </c>
      <c r="B248" s="378" t="s">
        <v>949</v>
      </c>
      <c r="C248" s="378"/>
      <c r="D248" s="378" t="s">
        <v>950</v>
      </c>
      <c r="E248" s="840">
        <f>'d3'!E248-'d3-П'!E245</f>
        <v>9950000</v>
      </c>
      <c r="F248" s="840">
        <f>'d3'!F248-'d3-П'!F245</f>
        <v>9950000</v>
      </c>
      <c r="G248" s="840">
        <f>'d3'!G248-'d3-П'!G245</f>
        <v>0</v>
      </c>
      <c r="H248" s="840">
        <f>'d3'!H248-'d3-П'!H245</f>
        <v>0</v>
      </c>
      <c r="I248" s="840">
        <f>'d3'!I248-'d3-П'!I245</f>
        <v>0</v>
      </c>
      <c r="J248" s="840">
        <f>'d3'!J248-'d3-П'!J245</f>
        <v>0</v>
      </c>
      <c r="K248" s="840">
        <f>'d3'!K248-'d3-П'!K245</f>
        <v>0</v>
      </c>
      <c r="L248" s="840">
        <f>'d3'!L248-'d3-П'!L245</f>
        <v>0</v>
      </c>
      <c r="M248" s="840">
        <f>'d3'!M248-'d3-П'!M245</f>
        <v>0</v>
      </c>
      <c r="N248" s="840">
        <f>'d3'!N248-'d3-П'!N245</f>
        <v>0</v>
      </c>
      <c r="O248" s="840">
        <f>'d3'!O248-'d3-П'!O245</f>
        <v>0</v>
      </c>
      <c r="P248" s="840">
        <f>'d3'!P248-'d3-П'!P245</f>
        <v>9950000</v>
      </c>
    </row>
    <row r="249" spans="1:16" ht="184.5" thickTop="1" thickBot="1" x14ac:dyDescent="0.25">
      <c r="A249" s="843" t="s">
        <v>644</v>
      </c>
      <c r="B249" s="843" t="s">
        <v>403</v>
      </c>
      <c r="C249" s="843" t="s">
        <v>301</v>
      </c>
      <c r="D249" s="843" t="s">
        <v>404</v>
      </c>
      <c r="E249" s="840">
        <f>'d3'!E249-'d3-П'!E246</f>
        <v>10000000</v>
      </c>
      <c r="F249" s="840">
        <f>'d3'!F249-'d3-П'!F246</f>
        <v>10000000</v>
      </c>
      <c r="G249" s="840">
        <f>'d3'!G249-'d3-П'!G246</f>
        <v>0</v>
      </c>
      <c r="H249" s="840">
        <f>'d3'!H249-'d3-П'!H246</f>
        <v>0</v>
      </c>
      <c r="I249" s="840">
        <f>'d3'!I249-'d3-П'!I246</f>
        <v>0</v>
      </c>
      <c r="J249" s="840">
        <f>'d3'!J249-'d3-П'!J246</f>
        <v>0</v>
      </c>
      <c r="K249" s="840">
        <f>'d3'!K249-'d3-П'!K246</f>
        <v>0</v>
      </c>
      <c r="L249" s="840">
        <f>'d3'!L249-'d3-П'!L246</f>
        <v>0</v>
      </c>
      <c r="M249" s="840">
        <f>'d3'!M249-'d3-П'!M246</f>
        <v>0</v>
      </c>
      <c r="N249" s="840">
        <f>'d3'!N249-'d3-П'!N246</f>
        <v>0</v>
      </c>
      <c r="O249" s="840">
        <f>'d3'!O249-'d3-П'!O246</f>
        <v>0</v>
      </c>
      <c r="P249" s="840">
        <f>'d3'!P249-'d3-П'!P246</f>
        <v>10000000</v>
      </c>
    </row>
    <row r="250" spans="1:16" ht="138.75" thickTop="1" thickBot="1" x14ac:dyDescent="0.25">
      <c r="A250" s="843" t="s">
        <v>645</v>
      </c>
      <c r="B250" s="843" t="s">
        <v>304</v>
      </c>
      <c r="C250" s="843" t="s">
        <v>301</v>
      </c>
      <c r="D250" s="843" t="s">
        <v>305</v>
      </c>
      <c r="E250" s="840">
        <f>'d3'!E250-'d3-П'!E247</f>
        <v>-50000</v>
      </c>
      <c r="F250" s="840">
        <f>'d3'!F250-'d3-П'!F247</f>
        <v>-50000</v>
      </c>
      <c r="G250" s="840">
        <f>'d3'!G250-'d3-П'!G247</f>
        <v>0</v>
      </c>
      <c r="H250" s="840">
        <f>'d3'!H250-'d3-П'!H247</f>
        <v>0</v>
      </c>
      <c r="I250" s="840">
        <f>'d3'!I250-'d3-П'!I247</f>
        <v>0</v>
      </c>
      <c r="J250" s="840">
        <f>'d3'!J250-'d3-П'!J247</f>
        <v>0</v>
      </c>
      <c r="K250" s="840">
        <f>'d3'!K250-'d3-П'!K247</f>
        <v>0</v>
      </c>
      <c r="L250" s="840">
        <f>'d3'!L250-'d3-П'!L247</f>
        <v>0</v>
      </c>
      <c r="M250" s="840">
        <f>'d3'!M250-'d3-П'!M247</f>
        <v>0</v>
      </c>
      <c r="N250" s="840">
        <f>'d3'!N250-'d3-П'!N247</f>
        <v>0</v>
      </c>
      <c r="O250" s="840">
        <f>'d3'!O250-'d3-П'!O247</f>
        <v>0</v>
      </c>
      <c r="P250" s="840">
        <f>'d3'!P250-'d3-П'!P247</f>
        <v>-50000</v>
      </c>
    </row>
    <row r="251" spans="1:16" ht="230.25" thickTop="1" thickBot="1" x14ac:dyDescent="0.25">
      <c r="A251" s="843" t="s">
        <v>646</v>
      </c>
      <c r="B251" s="843" t="s">
        <v>316</v>
      </c>
      <c r="C251" s="843" t="s">
        <v>301</v>
      </c>
      <c r="D251" s="843" t="s">
        <v>317</v>
      </c>
      <c r="E251" s="840">
        <f>'d3'!E251-'d3-П'!E248</f>
        <v>0</v>
      </c>
      <c r="F251" s="840">
        <f>'d3'!F251-'d3-П'!F248</f>
        <v>0</v>
      </c>
      <c r="G251" s="840">
        <f>'d3'!G251-'d3-П'!G248</f>
        <v>0</v>
      </c>
      <c r="H251" s="840">
        <f>'d3'!H251-'d3-П'!H248</f>
        <v>0</v>
      </c>
      <c r="I251" s="840">
        <f>'d3'!I251-'d3-П'!I248</f>
        <v>0</v>
      </c>
      <c r="J251" s="840">
        <f>'d3'!J251-'d3-П'!J248</f>
        <v>0</v>
      </c>
      <c r="K251" s="840">
        <f>'d3'!K251-'d3-П'!K248</f>
        <v>0</v>
      </c>
      <c r="L251" s="840">
        <f>'d3'!L251-'d3-П'!L248</f>
        <v>0</v>
      </c>
      <c r="M251" s="840">
        <f>'d3'!M251-'d3-П'!M248</f>
        <v>0</v>
      </c>
      <c r="N251" s="840">
        <f>'d3'!N251-'d3-П'!N248</f>
        <v>0</v>
      </c>
      <c r="O251" s="840">
        <f>'d3'!O251-'d3-П'!O248</f>
        <v>0</v>
      </c>
      <c r="P251" s="840">
        <f>'d3'!P251-'d3-П'!P248</f>
        <v>0</v>
      </c>
    </row>
    <row r="252" spans="1:16" ht="93" thickTop="1" thickBot="1" x14ac:dyDescent="0.25">
      <c r="A252" s="843" t="s">
        <v>647</v>
      </c>
      <c r="B252" s="843" t="s">
        <v>307</v>
      </c>
      <c r="C252" s="843" t="s">
        <v>301</v>
      </c>
      <c r="D252" s="843" t="s">
        <v>308</v>
      </c>
      <c r="E252" s="840">
        <f>'d3'!E252-'d3-П'!E249</f>
        <v>3714797</v>
      </c>
      <c r="F252" s="840">
        <f>'d3'!F252-'d3-П'!F249</f>
        <v>3714797</v>
      </c>
      <c r="G252" s="840">
        <f>'d3'!G252-'d3-П'!G249</f>
        <v>0</v>
      </c>
      <c r="H252" s="840">
        <f>'d3'!H252-'d3-П'!H249</f>
        <v>0</v>
      </c>
      <c r="I252" s="840">
        <f>'d3'!I252-'d3-П'!I249</f>
        <v>0</v>
      </c>
      <c r="J252" s="840">
        <f>'d3'!J252-'d3-П'!J249</f>
        <v>201669</v>
      </c>
      <c r="K252" s="840">
        <f>'d3'!K252-'d3-П'!K249</f>
        <v>201669</v>
      </c>
      <c r="L252" s="840">
        <f>'d3'!L252-'d3-П'!L249</f>
        <v>0</v>
      </c>
      <c r="M252" s="840">
        <f>'d3'!M252-'d3-П'!M249</f>
        <v>0</v>
      </c>
      <c r="N252" s="840">
        <f>'d3'!N252-'d3-П'!N249</f>
        <v>0</v>
      </c>
      <c r="O252" s="840">
        <f>'d3'!O252-'d3-П'!O249</f>
        <v>201669</v>
      </c>
      <c r="P252" s="840">
        <f>'d3'!P252-'d3-П'!P249</f>
        <v>3916466</v>
      </c>
    </row>
    <row r="253" spans="1:16" ht="47.25" thickTop="1" thickBot="1" x14ac:dyDescent="0.25">
      <c r="A253" s="422" t="s">
        <v>959</v>
      </c>
      <c r="B253" s="421" t="s">
        <v>905</v>
      </c>
      <c r="C253" s="421"/>
      <c r="D253" s="421" t="s">
        <v>906</v>
      </c>
      <c r="E253" s="840">
        <f>'d3'!E253-'d3-П'!E250</f>
        <v>-3003154</v>
      </c>
      <c r="F253" s="840">
        <f>'d3'!F253-'d3-П'!F250</f>
        <v>-3003154</v>
      </c>
      <c r="G253" s="840">
        <f>'d3'!G253-'d3-П'!G250</f>
        <v>0</v>
      </c>
      <c r="H253" s="840">
        <f>'d3'!H253-'d3-П'!H250</f>
        <v>0</v>
      </c>
      <c r="I253" s="840">
        <f>'d3'!I253-'d3-П'!I250</f>
        <v>0</v>
      </c>
      <c r="J253" s="840">
        <f>'d3'!J253-'d3-П'!J250</f>
        <v>-5949300.0000000149</v>
      </c>
      <c r="K253" s="840">
        <f>'d3'!K253-'d3-П'!K250</f>
        <v>-5949299.9999999851</v>
      </c>
      <c r="L253" s="840">
        <f>'d3'!L253-'d3-П'!L250</f>
        <v>0</v>
      </c>
      <c r="M253" s="840">
        <f>'d3'!M253-'d3-П'!M250</f>
        <v>0</v>
      </c>
      <c r="N253" s="840">
        <f>'d3'!N253-'d3-П'!N250</f>
        <v>0</v>
      </c>
      <c r="O253" s="840">
        <f>'d3'!O253-'d3-П'!O250</f>
        <v>-5949300.0000000149</v>
      </c>
      <c r="P253" s="840">
        <f>'d3'!P253-'d3-П'!P250</f>
        <v>-8952454</v>
      </c>
    </row>
    <row r="254" spans="1:16" ht="91.5" thickTop="1" thickBot="1" x14ac:dyDescent="0.25">
      <c r="A254" s="379" t="s">
        <v>960</v>
      </c>
      <c r="B254" s="379" t="s">
        <v>961</v>
      </c>
      <c r="C254" s="379"/>
      <c r="D254" s="379" t="s">
        <v>962</v>
      </c>
      <c r="E254" s="840">
        <f>'d3'!E254-'d3-П'!E251</f>
        <v>0</v>
      </c>
      <c r="F254" s="840">
        <f>'d3'!F254-'d3-П'!F251</f>
        <v>0</v>
      </c>
      <c r="G254" s="840">
        <f>'d3'!G254-'d3-П'!G251</f>
        <v>0</v>
      </c>
      <c r="H254" s="840">
        <f>'d3'!H254-'d3-П'!H251</f>
        <v>0</v>
      </c>
      <c r="I254" s="840">
        <f>'d3'!I254-'d3-П'!I251</f>
        <v>0</v>
      </c>
      <c r="J254" s="840">
        <f>'d3'!J254-'d3-П'!J251</f>
        <v>0</v>
      </c>
      <c r="K254" s="840">
        <f>'d3'!K254-'d3-П'!K251</f>
        <v>0</v>
      </c>
      <c r="L254" s="840">
        <f>'d3'!L254-'d3-П'!L251</f>
        <v>0</v>
      </c>
      <c r="M254" s="840">
        <f>'d3'!M254-'d3-П'!M251</f>
        <v>0</v>
      </c>
      <c r="N254" s="840">
        <f>'d3'!N254-'d3-П'!N251</f>
        <v>0</v>
      </c>
      <c r="O254" s="840">
        <f>'d3'!O254-'d3-П'!O251</f>
        <v>0</v>
      </c>
      <c r="P254" s="840">
        <f>'d3'!P254-'d3-П'!P251</f>
        <v>0</v>
      </c>
    </row>
    <row r="255" spans="1:16" ht="99.75" thickTop="1" thickBot="1" x14ac:dyDescent="0.25">
      <c r="A255" s="843" t="s">
        <v>648</v>
      </c>
      <c r="B255" s="843" t="s">
        <v>324</v>
      </c>
      <c r="C255" s="843" t="s">
        <v>323</v>
      </c>
      <c r="D255" s="843" t="s">
        <v>777</v>
      </c>
      <c r="E255" s="840">
        <f>'d3'!E255-'d3-П'!E252</f>
        <v>0</v>
      </c>
      <c r="F255" s="840">
        <f>'d3'!F255-'d3-П'!F252</f>
        <v>0</v>
      </c>
      <c r="G255" s="840">
        <f>'d3'!G255-'d3-П'!G252</f>
        <v>0</v>
      </c>
      <c r="H255" s="840">
        <f>'d3'!H255-'d3-П'!H252</f>
        <v>0</v>
      </c>
      <c r="I255" s="840">
        <f>'d3'!I255-'d3-П'!I252</f>
        <v>0</v>
      </c>
      <c r="J255" s="840">
        <f>'d3'!J255-'d3-П'!J252</f>
        <v>0</v>
      </c>
      <c r="K255" s="840">
        <f>'d3'!K255-'d3-П'!K252</f>
        <v>0</v>
      </c>
      <c r="L255" s="840">
        <f>'d3'!L255-'d3-П'!L252</f>
        <v>0</v>
      </c>
      <c r="M255" s="840">
        <f>'d3'!M255-'d3-П'!M252</f>
        <v>0</v>
      </c>
      <c r="N255" s="840">
        <f>'d3'!N255-'d3-П'!N252</f>
        <v>0</v>
      </c>
      <c r="O255" s="840">
        <f>'d3'!O255-'d3-П'!O252</f>
        <v>0</v>
      </c>
      <c r="P255" s="840">
        <f>'d3'!P255-'d3-П'!P252</f>
        <v>0</v>
      </c>
    </row>
    <row r="256" spans="1:16" ht="136.5" thickTop="1" thickBot="1" x14ac:dyDescent="0.25">
      <c r="A256" s="379" t="s">
        <v>963</v>
      </c>
      <c r="B256" s="379" t="s">
        <v>964</v>
      </c>
      <c r="C256" s="379"/>
      <c r="D256" s="379" t="s">
        <v>965</v>
      </c>
      <c r="E256" s="840">
        <f>'d3'!E256-'d3-П'!E253</f>
        <v>-3003154</v>
      </c>
      <c r="F256" s="840">
        <f>'d3'!F256-'d3-П'!F253</f>
        <v>-3003154</v>
      </c>
      <c r="G256" s="840">
        <f>'d3'!G256-'d3-П'!G253</f>
        <v>0</v>
      </c>
      <c r="H256" s="840">
        <f>'d3'!H256-'d3-П'!H253</f>
        <v>0</v>
      </c>
      <c r="I256" s="840">
        <f>'d3'!I256-'d3-П'!I253</f>
        <v>0</v>
      </c>
      <c r="J256" s="840">
        <f>'d3'!J256-'d3-П'!J253</f>
        <v>-1296000</v>
      </c>
      <c r="K256" s="840">
        <f>'d3'!K256-'d3-П'!K253</f>
        <v>-1296000</v>
      </c>
      <c r="L256" s="840">
        <f>'d3'!L256-'d3-П'!L253</f>
        <v>0</v>
      </c>
      <c r="M256" s="840">
        <f>'d3'!M256-'d3-П'!M253</f>
        <v>0</v>
      </c>
      <c r="N256" s="840">
        <f>'d3'!N256-'d3-П'!N253</f>
        <v>0</v>
      </c>
      <c r="O256" s="840">
        <f>'d3'!O256-'d3-П'!O253</f>
        <v>-1296000</v>
      </c>
      <c r="P256" s="840">
        <f>'d3'!P256-'d3-П'!P253</f>
        <v>-4299154</v>
      </c>
    </row>
    <row r="257" spans="1:16" ht="138.75" thickTop="1" thickBot="1" x14ac:dyDescent="0.25">
      <c r="A257" s="843" t="s">
        <v>1224</v>
      </c>
      <c r="B257" s="345" t="s">
        <v>1225</v>
      </c>
      <c r="C257" s="379"/>
      <c r="D257" s="345" t="s">
        <v>1226</v>
      </c>
      <c r="E257" s="840">
        <f>'d3'!E257-'d3-П'!E254</f>
        <v>-3003154</v>
      </c>
      <c r="F257" s="840">
        <f>'d3'!F257-'d3-П'!F254</f>
        <v>-3003154</v>
      </c>
      <c r="G257" s="840">
        <f>'d3'!G257-'d3-П'!G254</f>
        <v>0</v>
      </c>
      <c r="H257" s="840">
        <f>'d3'!H257-'d3-П'!H254</f>
        <v>0</v>
      </c>
      <c r="I257" s="840">
        <f>'d3'!I257-'d3-П'!I254</f>
        <v>0</v>
      </c>
      <c r="J257" s="840">
        <f>'d3'!J257-'d3-П'!J254</f>
        <v>-1296000</v>
      </c>
      <c r="K257" s="840">
        <f>'d3'!K257-'d3-П'!K254</f>
        <v>-1296000</v>
      </c>
      <c r="L257" s="840">
        <f>'d3'!L257-'d3-П'!L254</f>
        <v>0</v>
      </c>
      <c r="M257" s="840">
        <f>'d3'!M257-'d3-П'!M254</f>
        <v>0</v>
      </c>
      <c r="N257" s="840">
        <f>'d3'!N257-'d3-П'!N254</f>
        <v>0</v>
      </c>
      <c r="O257" s="840">
        <f>'d3'!O257-'d3-П'!O254</f>
        <v>-1296000</v>
      </c>
      <c r="P257" s="840">
        <f>'d3'!P257-'d3-П'!P254</f>
        <v>-4299154</v>
      </c>
    </row>
    <row r="258" spans="1:16" ht="230.25" thickTop="1" thickBot="1" x14ac:dyDescent="0.25">
      <c r="A258" s="843" t="s">
        <v>649</v>
      </c>
      <c r="B258" s="843" t="s">
        <v>312</v>
      </c>
      <c r="C258" s="843" t="s">
        <v>314</v>
      </c>
      <c r="D258" s="843" t="s">
        <v>313</v>
      </c>
      <c r="E258" s="840">
        <f>'d3'!E258-'d3-П'!E255</f>
        <v>-3003154</v>
      </c>
      <c r="F258" s="840">
        <f>'d3'!F258-'d3-П'!F255</f>
        <v>-3003154</v>
      </c>
      <c r="G258" s="840">
        <f>'d3'!G258-'d3-П'!G255</f>
        <v>0</v>
      </c>
      <c r="H258" s="840">
        <f>'d3'!H258-'d3-П'!H255</f>
        <v>0</v>
      </c>
      <c r="I258" s="840">
        <f>'d3'!I258-'d3-П'!I255</f>
        <v>0</v>
      </c>
      <c r="J258" s="840">
        <f>'d3'!J258-'d3-П'!J255</f>
        <v>-1296000</v>
      </c>
      <c r="K258" s="840">
        <f>'d3'!K258-'d3-П'!K255</f>
        <v>-1296000</v>
      </c>
      <c r="L258" s="840">
        <f>'d3'!L258-'d3-П'!L255</f>
        <v>0</v>
      </c>
      <c r="M258" s="840">
        <f>'d3'!M258-'d3-П'!M255</f>
        <v>0</v>
      </c>
      <c r="N258" s="840">
        <f>'d3'!N258-'d3-П'!N255</f>
        <v>0</v>
      </c>
      <c r="O258" s="840">
        <f>'d3'!O258-'d3-П'!O255</f>
        <v>-1296000</v>
      </c>
      <c r="P258" s="840">
        <f>'d3'!P258-'d3-П'!P255</f>
        <v>-4299154</v>
      </c>
    </row>
    <row r="259" spans="1:16" ht="136.5" thickTop="1" thickBot="1" x14ac:dyDescent="0.25">
      <c r="A259" s="379" t="s">
        <v>966</v>
      </c>
      <c r="B259" s="379" t="s">
        <v>847</v>
      </c>
      <c r="C259" s="379"/>
      <c r="D259" s="379" t="s">
        <v>845</v>
      </c>
      <c r="E259" s="840">
        <f>'d3'!E259-'d3-П'!E256</f>
        <v>0</v>
      </c>
      <c r="F259" s="840">
        <f>'d3'!F259-'d3-П'!F256</f>
        <v>0</v>
      </c>
      <c r="G259" s="840">
        <f>'d3'!G259-'d3-П'!G256</f>
        <v>0</v>
      </c>
      <c r="H259" s="840">
        <f>'d3'!H259-'d3-П'!H256</f>
        <v>0</v>
      </c>
      <c r="I259" s="840">
        <f>'d3'!I259-'d3-П'!I256</f>
        <v>0</v>
      </c>
      <c r="J259" s="840">
        <f>'d3'!J259-'d3-П'!J256</f>
        <v>-4653300</v>
      </c>
      <c r="K259" s="840">
        <f>'d3'!K259-'d3-П'!K256</f>
        <v>-4653300</v>
      </c>
      <c r="L259" s="840">
        <f>'d3'!L259-'d3-П'!L256</f>
        <v>0</v>
      </c>
      <c r="M259" s="840">
        <f>'d3'!M259-'d3-П'!M256</f>
        <v>0</v>
      </c>
      <c r="N259" s="840">
        <f>'d3'!N259-'d3-П'!N256</f>
        <v>0</v>
      </c>
      <c r="O259" s="840">
        <f>'d3'!O259-'d3-П'!O256</f>
        <v>-4653300</v>
      </c>
      <c r="P259" s="840">
        <f>'d3'!P259-'d3-П'!P256</f>
        <v>-4653300</v>
      </c>
    </row>
    <row r="260" spans="1:16" ht="47.25" thickTop="1" thickBot="1" x14ac:dyDescent="0.25">
      <c r="A260" s="843" t="s">
        <v>650</v>
      </c>
      <c r="B260" s="843" t="s">
        <v>230</v>
      </c>
      <c r="C260" s="843" t="s">
        <v>231</v>
      </c>
      <c r="D260" s="843" t="s">
        <v>43</v>
      </c>
      <c r="E260" s="840">
        <f>'d3'!E260-'d3-П'!E257</f>
        <v>0</v>
      </c>
      <c r="F260" s="840">
        <f>'d3'!F260-'d3-П'!F257</f>
        <v>0</v>
      </c>
      <c r="G260" s="840">
        <f>'d3'!G260-'d3-П'!G257</f>
        <v>0</v>
      </c>
      <c r="H260" s="840">
        <f>'d3'!H260-'d3-П'!H257</f>
        <v>0</v>
      </c>
      <c r="I260" s="840">
        <f>'d3'!I260-'d3-П'!I257</f>
        <v>0</v>
      </c>
      <c r="J260" s="840">
        <f>'d3'!J260-'d3-П'!J257</f>
        <v>-1872934</v>
      </c>
      <c r="K260" s="840">
        <f>'d3'!K260-'d3-П'!K257</f>
        <v>-1872934</v>
      </c>
      <c r="L260" s="840">
        <f>'d3'!L260-'d3-П'!L257</f>
        <v>0</v>
      </c>
      <c r="M260" s="840">
        <f>'d3'!M260-'d3-П'!M257</f>
        <v>0</v>
      </c>
      <c r="N260" s="840">
        <f>'d3'!N260-'d3-П'!N257</f>
        <v>0</v>
      </c>
      <c r="O260" s="840">
        <f>'d3'!O260-'d3-П'!O257</f>
        <v>-1872934</v>
      </c>
      <c r="P260" s="840">
        <f>'d3'!P260-'d3-П'!P257</f>
        <v>-1872934</v>
      </c>
    </row>
    <row r="261" spans="1:16" ht="93" thickTop="1" thickBot="1" x14ac:dyDescent="0.25">
      <c r="A261" s="843" t="s">
        <v>651</v>
      </c>
      <c r="B261" s="843" t="s">
        <v>215</v>
      </c>
      <c r="C261" s="843" t="s">
        <v>184</v>
      </c>
      <c r="D261" s="843" t="s">
        <v>36</v>
      </c>
      <c r="E261" s="840">
        <f>'d3'!E261-'d3-П'!E258</f>
        <v>0</v>
      </c>
      <c r="F261" s="840">
        <f>'d3'!F261-'d3-П'!F258</f>
        <v>0</v>
      </c>
      <c r="G261" s="840">
        <f>'d3'!G261-'d3-П'!G258</f>
        <v>0</v>
      </c>
      <c r="H261" s="840">
        <f>'d3'!H261-'d3-П'!H258</f>
        <v>0</v>
      </c>
      <c r="I261" s="840">
        <f>'d3'!I261-'d3-П'!I258</f>
        <v>0</v>
      </c>
      <c r="J261" s="840">
        <f>'d3'!J261-'d3-П'!J258</f>
        <v>-2780366</v>
      </c>
      <c r="K261" s="840">
        <f>'d3'!K261-'d3-П'!K258</f>
        <v>-2780366</v>
      </c>
      <c r="L261" s="840">
        <f>'d3'!L261-'d3-П'!L258</f>
        <v>0</v>
      </c>
      <c r="M261" s="840">
        <f>'d3'!M261-'d3-П'!M258</f>
        <v>0</v>
      </c>
      <c r="N261" s="840">
        <f>'d3'!N261-'d3-П'!N258</f>
        <v>0</v>
      </c>
      <c r="O261" s="840">
        <f>'d3'!O261-'d3-П'!O258</f>
        <v>-2780366</v>
      </c>
      <c r="P261" s="840">
        <f>'d3'!P261-'d3-П'!P258</f>
        <v>-2780366</v>
      </c>
    </row>
    <row r="262" spans="1:16" ht="47.25" thickTop="1" thickBot="1" x14ac:dyDescent="0.25">
      <c r="A262" s="345" t="s">
        <v>967</v>
      </c>
      <c r="B262" s="345" t="s">
        <v>850</v>
      </c>
      <c r="C262" s="345"/>
      <c r="D262" s="345" t="s">
        <v>955</v>
      </c>
      <c r="E262" s="840">
        <f>'d3'!E262-'d3-П'!E259</f>
        <v>0</v>
      </c>
      <c r="F262" s="840">
        <f>'d3'!F262-'d3-П'!F259</f>
        <v>0</v>
      </c>
      <c r="G262" s="840">
        <f>'d3'!G262-'d3-П'!G259</f>
        <v>0</v>
      </c>
      <c r="H262" s="840">
        <f>'d3'!H262-'d3-П'!H259</f>
        <v>0</v>
      </c>
      <c r="I262" s="840">
        <f>'d3'!I262-'d3-П'!I259</f>
        <v>0</v>
      </c>
      <c r="J262" s="840">
        <f>'d3'!J262-'d3-П'!J259</f>
        <v>0</v>
      </c>
      <c r="K262" s="840">
        <f>'d3'!K262-'d3-П'!K259</f>
        <v>0</v>
      </c>
      <c r="L262" s="840">
        <f>'d3'!L262-'d3-П'!L259</f>
        <v>0</v>
      </c>
      <c r="M262" s="840">
        <f>'d3'!M262-'d3-П'!M259</f>
        <v>0</v>
      </c>
      <c r="N262" s="840">
        <f>'d3'!N262-'d3-П'!N259</f>
        <v>0</v>
      </c>
      <c r="O262" s="840">
        <f>'d3'!O262-'d3-П'!O259</f>
        <v>0</v>
      </c>
      <c r="P262" s="840">
        <f>'d3'!P262-'d3-П'!P259</f>
        <v>0</v>
      </c>
    </row>
    <row r="263" spans="1:16" ht="409.6" thickTop="1" thickBot="1" x14ac:dyDescent="0.7">
      <c r="A263" s="983" t="s">
        <v>652</v>
      </c>
      <c r="B263" s="983" t="s">
        <v>363</v>
      </c>
      <c r="C263" s="983" t="s">
        <v>184</v>
      </c>
      <c r="D263" s="315" t="s">
        <v>473</v>
      </c>
      <c r="E263" s="966">
        <f>'d3'!E263-'d3-П'!E260</f>
        <v>0</v>
      </c>
      <c r="F263" s="966">
        <f>'d3'!F263-'d3-П'!F260</f>
        <v>0</v>
      </c>
      <c r="G263" s="966">
        <f>'d3'!G263-'d3-П'!G260</f>
        <v>0</v>
      </c>
      <c r="H263" s="966">
        <f>'d3'!H263-'d3-П'!H260</f>
        <v>0</v>
      </c>
      <c r="I263" s="966">
        <f>'d3'!I263-'d3-П'!I260</f>
        <v>0</v>
      </c>
      <c r="J263" s="966">
        <f>'d3'!J263-'d3-П'!J260</f>
        <v>0</v>
      </c>
      <c r="K263" s="966">
        <f>'d3'!K263-'d3-П'!K260</f>
        <v>0</v>
      </c>
      <c r="L263" s="966">
        <f>'d3'!L263-'d3-П'!L260</f>
        <v>0</v>
      </c>
      <c r="M263" s="966">
        <f>'d3'!M263-'d3-П'!M260</f>
        <v>0</v>
      </c>
      <c r="N263" s="966">
        <f>'d3'!N263-'d3-П'!N260</f>
        <v>0</v>
      </c>
      <c r="O263" s="966">
        <f>'d3'!O263-'d3-П'!O260</f>
        <v>0</v>
      </c>
      <c r="P263" s="966">
        <f>'d3'!P263-'d3-П'!P260</f>
        <v>0</v>
      </c>
    </row>
    <row r="264" spans="1:16" ht="184.5" thickTop="1" thickBot="1" x14ac:dyDescent="0.25">
      <c r="A264" s="983"/>
      <c r="B264" s="983"/>
      <c r="C264" s="983"/>
      <c r="D264" s="317" t="s">
        <v>474</v>
      </c>
      <c r="E264" s="1064"/>
      <c r="F264" s="1064">
        <f>'d3'!F264-'d3-П'!F261</f>
        <v>0</v>
      </c>
      <c r="G264" s="1064">
        <f>'d3'!G264-'d3-П'!G261</f>
        <v>0</v>
      </c>
      <c r="H264" s="1064">
        <f>'d3'!H264-'d3-П'!H261</f>
        <v>0</v>
      </c>
      <c r="I264" s="1064">
        <f>'d3'!I264-'d3-П'!I261</f>
        <v>0</v>
      </c>
      <c r="J264" s="1064">
        <f>'d3'!J264-'d3-П'!J261</f>
        <v>0</v>
      </c>
      <c r="K264" s="1064">
        <f>'d3'!K264-'d3-П'!K261</f>
        <v>0</v>
      </c>
      <c r="L264" s="1064">
        <f>'d3'!L264-'d3-П'!L261</f>
        <v>0</v>
      </c>
      <c r="M264" s="1064">
        <f>'d3'!M264-'d3-П'!M261</f>
        <v>0</v>
      </c>
      <c r="N264" s="1064">
        <f>'d3'!N264-'d3-П'!N261</f>
        <v>0</v>
      </c>
      <c r="O264" s="1064">
        <f>'d3'!O264-'d3-П'!O261</f>
        <v>0</v>
      </c>
      <c r="P264" s="1064">
        <f>'d3'!P264-'d3-П'!P261</f>
        <v>0</v>
      </c>
    </row>
    <row r="265" spans="1:16" ht="47.25" thickTop="1" thickBot="1" x14ac:dyDescent="0.25">
      <c r="A265" s="422" t="s">
        <v>968</v>
      </c>
      <c r="B265" s="422" t="s">
        <v>852</v>
      </c>
      <c r="C265" s="422"/>
      <c r="D265" s="433" t="s">
        <v>853</v>
      </c>
      <c r="E265" s="840">
        <f>'d3'!E265-'d3-П'!E262</f>
        <v>-434907</v>
      </c>
      <c r="F265" s="840">
        <f>'d3'!F265-'d3-П'!F262</f>
        <v>-434907</v>
      </c>
      <c r="G265" s="840">
        <f>'d3'!G265-'d3-П'!G262</f>
        <v>-166226</v>
      </c>
      <c r="H265" s="840">
        <f>'d3'!H265-'d3-П'!H262</f>
        <v>0</v>
      </c>
      <c r="I265" s="840">
        <f>'d3'!I265-'d3-П'!I262</f>
        <v>0</v>
      </c>
      <c r="J265" s="840">
        <f>'d3'!J265-'d3-П'!J262</f>
        <v>36000</v>
      </c>
      <c r="K265" s="840">
        <f>'d3'!K265-'d3-П'!K262</f>
        <v>36000</v>
      </c>
      <c r="L265" s="840">
        <f>'d3'!L265-'d3-П'!L262</f>
        <v>0</v>
      </c>
      <c r="M265" s="840">
        <f>'d3'!M265-'d3-П'!M262</f>
        <v>0</v>
      </c>
      <c r="N265" s="840">
        <f>'d3'!N265-'d3-П'!N262</f>
        <v>0</v>
      </c>
      <c r="O265" s="840">
        <f>'d3'!O265-'d3-П'!O262</f>
        <v>36000</v>
      </c>
      <c r="P265" s="840">
        <f>'d3'!P265-'d3-П'!P262</f>
        <v>-398907</v>
      </c>
    </row>
    <row r="266" spans="1:16" ht="181.5" thickTop="1" thickBot="1" x14ac:dyDescent="0.25">
      <c r="A266" s="379" t="s">
        <v>970</v>
      </c>
      <c r="B266" s="379" t="s">
        <v>971</v>
      </c>
      <c r="C266" s="379"/>
      <c r="D266" s="434" t="s">
        <v>969</v>
      </c>
      <c r="E266" s="840">
        <f>'d3'!E266-'d3-П'!E263</f>
        <v>-434907</v>
      </c>
      <c r="F266" s="840">
        <f>'d3'!F266-'d3-П'!F263</f>
        <v>-434907</v>
      </c>
      <c r="G266" s="840">
        <f>'d3'!G266-'d3-П'!G263</f>
        <v>-166226</v>
      </c>
      <c r="H266" s="840">
        <f>'d3'!H266-'d3-П'!H263</f>
        <v>0</v>
      </c>
      <c r="I266" s="840">
        <f>'d3'!I266-'d3-П'!I263</f>
        <v>0</v>
      </c>
      <c r="J266" s="840">
        <f>'d3'!J266-'d3-П'!J263</f>
        <v>36000</v>
      </c>
      <c r="K266" s="840">
        <f>'d3'!K266-'d3-П'!K263</f>
        <v>36000</v>
      </c>
      <c r="L266" s="840">
        <f>'d3'!L266-'d3-П'!L263</f>
        <v>0</v>
      </c>
      <c r="M266" s="840">
        <f>'d3'!M266-'d3-П'!M263</f>
        <v>0</v>
      </c>
      <c r="N266" s="840">
        <f>'d3'!N266-'d3-П'!N263</f>
        <v>0</v>
      </c>
      <c r="O266" s="840">
        <f>'d3'!O266-'d3-П'!O263</f>
        <v>36000</v>
      </c>
      <c r="P266" s="840">
        <f>'d3'!P266-'d3-П'!P263</f>
        <v>-398907</v>
      </c>
    </row>
    <row r="267" spans="1:16" ht="184.5" thickTop="1" thickBot="1" x14ac:dyDescent="0.25">
      <c r="A267" s="843" t="s">
        <v>653</v>
      </c>
      <c r="B267" s="843" t="s">
        <v>565</v>
      </c>
      <c r="C267" s="843" t="s">
        <v>269</v>
      </c>
      <c r="D267" s="843" t="s">
        <v>566</v>
      </c>
      <c r="E267" s="840">
        <f>'d3'!E267-'d3-П'!E264</f>
        <v>0</v>
      </c>
      <c r="F267" s="840">
        <f>'d3'!F267-'d3-П'!F264</f>
        <v>0</v>
      </c>
      <c r="G267" s="840">
        <f>'d3'!G267-'d3-П'!G264</f>
        <v>0</v>
      </c>
      <c r="H267" s="840">
        <f>'d3'!H267-'d3-П'!H264</f>
        <v>0</v>
      </c>
      <c r="I267" s="840">
        <f>'d3'!I267-'d3-П'!I264</f>
        <v>0</v>
      </c>
      <c r="J267" s="840">
        <f>'d3'!J267-'d3-П'!J264</f>
        <v>0</v>
      </c>
      <c r="K267" s="840">
        <f>'d3'!K267-'d3-П'!K264</f>
        <v>0</v>
      </c>
      <c r="L267" s="840">
        <f>'d3'!L267-'d3-П'!L264</f>
        <v>0</v>
      </c>
      <c r="M267" s="840">
        <f>'d3'!M267-'d3-П'!M264</f>
        <v>0</v>
      </c>
      <c r="N267" s="840">
        <f>'d3'!N267-'d3-П'!N264</f>
        <v>0</v>
      </c>
      <c r="O267" s="840">
        <f>'d3'!O267-'d3-П'!O264</f>
        <v>0</v>
      </c>
      <c r="P267" s="840">
        <f>'d3'!P267-'d3-П'!P264</f>
        <v>0</v>
      </c>
    </row>
    <row r="268" spans="1:16" ht="93" thickTop="1" thickBot="1" x14ac:dyDescent="0.25">
      <c r="A268" s="843" t="s">
        <v>654</v>
      </c>
      <c r="B268" s="843" t="s">
        <v>268</v>
      </c>
      <c r="C268" s="843" t="s">
        <v>269</v>
      </c>
      <c r="D268" s="843" t="s">
        <v>267</v>
      </c>
      <c r="E268" s="840">
        <f>'d3'!E268-'d3-П'!E265</f>
        <v>-434907</v>
      </c>
      <c r="F268" s="840">
        <f>'d3'!F268-'d3-П'!F265</f>
        <v>-434907</v>
      </c>
      <c r="G268" s="840">
        <f>'d3'!G268-'d3-П'!G265</f>
        <v>-166226</v>
      </c>
      <c r="H268" s="840">
        <f>'d3'!H268-'d3-П'!H265</f>
        <v>0</v>
      </c>
      <c r="I268" s="840">
        <f>'d3'!I268-'d3-П'!I265</f>
        <v>0</v>
      </c>
      <c r="J268" s="840">
        <f>'d3'!J268-'d3-П'!J265</f>
        <v>36000</v>
      </c>
      <c r="K268" s="840">
        <f>'d3'!K268-'d3-П'!K265</f>
        <v>36000</v>
      </c>
      <c r="L268" s="840">
        <f>'d3'!L268-'d3-П'!L265</f>
        <v>0</v>
      </c>
      <c r="M268" s="840">
        <f>'d3'!M268-'d3-П'!M265</f>
        <v>0</v>
      </c>
      <c r="N268" s="840">
        <f>'d3'!N268-'d3-П'!N265</f>
        <v>0</v>
      </c>
      <c r="O268" s="840">
        <f>'d3'!O268-'d3-П'!O265</f>
        <v>36000</v>
      </c>
      <c r="P268" s="840">
        <f>'d3'!P268-'d3-П'!P265</f>
        <v>-398907</v>
      </c>
    </row>
    <row r="269" spans="1:16" ht="93" hidden="1" thickTop="1" thickBot="1" x14ac:dyDescent="0.25">
      <c r="A269" s="814" t="s">
        <v>655</v>
      </c>
      <c r="B269" s="814" t="s">
        <v>656</v>
      </c>
      <c r="C269" s="814" t="s">
        <v>269</v>
      </c>
      <c r="D269" s="814" t="s">
        <v>657</v>
      </c>
      <c r="E269" s="824">
        <f t="shared" ref="E269" si="44">F269</f>
        <v>0</v>
      </c>
      <c r="F269" s="815">
        <f>(1219000)-1219000</f>
        <v>0</v>
      </c>
      <c r="G269" s="815">
        <f>(354000+540000)-894000</f>
        <v>0</v>
      </c>
      <c r="H269" s="815">
        <f>(6000+3000)-9000</f>
        <v>0</v>
      </c>
      <c r="I269" s="815"/>
      <c r="J269" s="813">
        <f>L269+O269</f>
        <v>0</v>
      </c>
      <c r="K269" s="818"/>
      <c r="L269" s="815"/>
      <c r="M269" s="815"/>
      <c r="N269" s="815"/>
      <c r="O269" s="816">
        <f>K269</f>
        <v>0</v>
      </c>
      <c r="P269" s="813">
        <f>E269+J269</f>
        <v>0</v>
      </c>
    </row>
    <row r="270" spans="1:16" ht="316.5" thickTop="1" thickBot="1" x14ac:dyDescent="0.25">
      <c r="A270" s="825" t="s">
        <v>25</v>
      </c>
      <c r="B270" s="825"/>
      <c r="C270" s="825"/>
      <c r="D270" s="826" t="s">
        <v>400</v>
      </c>
      <c r="E270" s="827">
        <f>E271</f>
        <v>-78890</v>
      </c>
      <c r="F270" s="828">
        <f t="shared" ref="F270:G270" si="45">F271</f>
        <v>-78890</v>
      </c>
      <c r="G270" s="828">
        <f t="shared" si="45"/>
        <v>-47000</v>
      </c>
      <c r="H270" s="828">
        <f>H271</f>
        <v>-1400</v>
      </c>
      <c r="I270" s="828">
        <f t="shared" ref="I270" si="46">I271</f>
        <v>0</v>
      </c>
      <c r="J270" s="827">
        <f>J271</f>
        <v>58519679</v>
      </c>
      <c r="K270" s="828">
        <f>K271</f>
        <v>58519679</v>
      </c>
      <c r="L270" s="828">
        <f>L271</f>
        <v>0</v>
      </c>
      <c r="M270" s="828">
        <f t="shared" ref="M270" si="47">M271</f>
        <v>0</v>
      </c>
      <c r="N270" s="828">
        <f>N271</f>
        <v>0</v>
      </c>
      <c r="O270" s="827">
        <f>O271</f>
        <v>58519679</v>
      </c>
      <c r="P270" s="828">
        <f t="shared" ref="P270" si="48">P271</f>
        <v>58440789</v>
      </c>
    </row>
    <row r="271" spans="1:16" ht="181.5" thickTop="1" thickBot="1" x14ac:dyDescent="0.25">
      <c r="A271" s="829" t="s">
        <v>26</v>
      </c>
      <c r="B271" s="829"/>
      <c r="C271" s="829"/>
      <c r="D271" s="830" t="s">
        <v>1065</v>
      </c>
      <c r="E271" s="831">
        <f>E272+E276+E279</f>
        <v>-78890</v>
      </c>
      <c r="F271" s="831">
        <f t="shared" ref="F271:I271" si="49">F272+F276+F279</f>
        <v>-78890</v>
      </c>
      <c r="G271" s="831">
        <f t="shared" si="49"/>
        <v>-47000</v>
      </c>
      <c r="H271" s="831">
        <f t="shared" si="49"/>
        <v>-1400</v>
      </c>
      <c r="I271" s="831">
        <f t="shared" si="49"/>
        <v>0</v>
      </c>
      <c r="J271" s="831">
        <f>L271+O271</f>
        <v>58519679</v>
      </c>
      <c r="K271" s="831">
        <f t="shared" ref="K271:O271" si="50">K272+K276+K279</f>
        <v>58519679</v>
      </c>
      <c r="L271" s="831">
        <f t="shared" si="50"/>
        <v>0</v>
      </c>
      <c r="M271" s="831">
        <f t="shared" si="50"/>
        <v>0</v>
      </c>
      <c r="N271" s="831">
        <f t="shared" si="50"/>
        <v>0</v>
      </c>
      <c r="O271" s="831">
        <f t="shared" si="50"/>
        <v>58519679</v>
      </c>
      <c r="P271" s="831">
        <f t="shared" ref="P271" si="51">E271+J271</f>
        <v>58440789</v>
      </c>
    </row>
    <row r="272" spans="1:16" ht="47.25" thickTop="1" thickBot="1" x14ac:dyDescent="0.25">
      <c r="A272" s="422" t="s">
        <v>972</v>
      </c>
      <c r="B272" s="422" t="s">
        <v>840</v>
      </c>
      <c r="C272" s="422"/>
      <c r="D272" s="422" t="s">
        <v>841</v>
      </c>
      <c r="E272" s="840">
        <f>'d3'!E272-'d3-П'!E269</f>
        <v>-78890</v>
      </c>
      <c r="F272" s="840">
        <f>'d3'!F272-'d3-П'!F269</f>
        <v>-78890</v>
      </c>
      <c r="G272" s="840">
        <f>'d3'!G272-'d3-П'!G269</f>
        <v>-47000</v>
      </c>
      <c r="H272" s="840">
        <f>'d3'!H272-'d3-П'!H269</f>
        <v>-1400</v>
      </c>
      <c r="I272" s="840">
        <f>'d3'!I272-'d3-П'!I269</f>
        <v>0</v>
      </c>
      <c r="J272" s="840">
        <f>'d3'!J272-'d3-П'!J269</f>
        <v>0</v>
      </c>
      <c r="K272" s="840">
        <f>'d3'!K272-'d3-П'!K269</f>
        <v>0</v>
      </c>
      <c r="L272" s="840">
        <f>'d3'!L272-'d3-П'!L269</f>
        <v>0</v>
      </c>
      <c r="M272" s="840">
        <f>'d3'!M272-'d3-П'!M269</f>
        <v>0</v>
      </c>
      <c r="N272" s="840">
        <f>'d3'!N272-'d3-П'!N269</f>
        <v>0</v>
      </c>
      <c r="O272" s="840">
        <f>'d3'!O272-'d3-П'!O269</f>
        <v>0</v>
      </c>
      <c r="P272" s="840">
        <f>'d3'!P272-'d3-П'!P269</f>
        <v>-78890</v>
      </c>
    </row>
    <row r="273" spans="1:16" ht="230.25" thickTop="1" thickBot="1" x14ac:dyDescent="0.25">
      <c r="A273" s="843" t="s">
        <v>445</v>
      </c>
      <c r="B273" s="843" t="s">
        <v>254</v>
      </c>
      <c r="C273" s="843" t="s">
        <v>252</v>
      </c>
      <c r="D273" s="843" t="s">
        <v>253</v>
      </c>
      <c r="E273" s="840">
        <f>'d3'!E273-'d3-П'!E270</f>
        <v>-73890</v>
      </c>
      <c r="F273" s="840">
        <f>'d3'!F273-'d3-П'!F270</f>
        <v>-73890</v>
      </c>
      <c r="G273" s="840">
        <f>'d3'!G273-'d3-П'!G270</f>
        <v>-47000</v>
      </c>
      <c r="H273" s="840">
        <f>'d3'!H273-'d3-П'!H270</f>
        <v>-1400</v>
      </c>
      <c r="I273" s="840">
        <f>'d3'!I273-'d3-П'!I270</f>
        <v>0</v>
      </c>
      <c r="J273" s="840">
        <f>'d3'!J273-'d3-П'!J270</f>
        <v>0</v>
      </c>
      <c r="K273" s="840">
        <f>'d3'!K273-'d3-П'!K270</f>
        <v>0</v>
      </c>
      <c r="L273" s="840">
        <f>'d3'!L273-'d3-П'!L270</f>
        <v>0</v>
      </c>
      <c r="M273" s="840">
        <f>'d3'!M273-'d3-П'!M270</f>
        <v>0</v>
      </c>
      <c r="N273" s="840">
        <f>'d3'!N273-'d3-П'!N270</f>
        <v>0</v>
      </c>
      <c r="O273" s="840">
        <f>'d3'!O273-'d3-П'!O270</f>
        <v>0</v>
      </c>
      <c r="P273" s="840">
        <f>'d3'!P273-'d3-П'!P270</f>
        <v>-73890</v>
      </c>
    </row>
    <row r="274" spans="1:16" ht="184.5" thickTop="1" thickBot="1" x14ac:dyDescent="0.25">
      <c r="A274" s="842" t="s">
        <v>785</v>
      </c>
      <c r="B274" s="842" t="s">
        <v>388</v>
      </c>
      <c r="C274" s="842" t="s">
        <v>775</v>
      </c>
      <c r="D274" s="842" t="s">
        <v>776</v>
      </c>
      <c r="E274" s="840">
        <f>'d3'!E274-'d3-П'!E271</f>
        <v>-5000</v>
      </c>
      <c r="F274" s="840">
        <f>'d3'!F274-'d3-П'!F271</f>
        <v>-5000</v>
      </c>
      <c r="G274" s="840">
        <f>'d3'!G274-'d3-П'!G271</f>
        <v>0</v>
      </c>
      <c r="H274" s="840">
        <f>'d3'!H274-'d3-П'!H271</f>
        <v>0</v>
      </c>
      <c r="I274" s="840">
        <f>'d3'!I274-'d3-П'!I271</f>
        <v>0</v>
      </c>
      <c r="J274" s="840">
        <f>'d3'!J274-'d3-П'!J271</f>
        <v>0</v>
      </c>
      <c r="K274" s="840">
        <f>'d3'!K274-'d3-П'!K271</f>
        <v>0</v>
      </c>
      <c r="L274" s="840">
        <f>'d3'!L274-'d3-П'!L271</f>
        <v>0</v>
      </c>
      <c r="M274" s="840">
        <f>'d3'!M274-'d3-П'!M271</f>
        <v>0</v>
      </c>
      <c r="N274" s="840">
        <f>'d3'!N274-'d3-П'!N271</f>
        <v>0</v>
      </c>
      <c r="O274" s="840">
        <f>'d3'!O274-'d3-П'!O271</f>
        <v>0</v>
      </c>
      <c r="P274" s="840">
        <f>'d3'!P274-'d3-П'!P271</f>
        <v>-5000</v>
      </c>
    </row>
    <row r="275" spans="1:16" ht="93" thickTop="1" thickBot="1" x14ac:dyDescent="0.25">
      <c r="A275" s="842" t="s">
        <v>1151</v>
      </c>
      <c r="B275" s="842" t="s">
        <v>45</v>
      </c>
      <c r="C275" s="842" t="s">
        <v>44</v>
      </c>
      <c r="D275" s="842" t="s">
        <v>266</v>
      </c>
      <c r="E275" s="840">
        <f>'d3'!E275-'d3-П'!E272</f>
        <v>0</v>
      </c>
      <c r="F275" s="840">
        <f>'d3'!F275-'d3-П'!F272</f>
        <v>0</v>
      </c>
      <c r="G275" s="840">
        <f>'d3'!G275-'d3-П'!G272</f>
        <v>0</v>
      </c>
      <c r="H275" s="840">
        <f>'d3'!H275-'d3-П'!H272</f>
        <v>0</v>
      </c>
      <c r="I275" s="840">
        <f>'d3'!I275-'d3-П'!I272</f>
        <v>0</v>
      </c>
      <c r="J275" s="840">
        <f>'d3'!J275-'d3-П'!J272</f>
        <v>0</v>
      </c>
      <c r="K275" s="840">
        <f>'d3'!K275-'d3-П'!K272</f>
        <v>0</v>
      </c>
      <c r="L275" s="840">
        <f>'d3'!L275-'d3-П'!L272</f>
        <v>0</v>
      </c>
      <c r="M275" s="840">
        <f>'d3'!M275-'d3-П'!M272</f>
        <v>0</v>
      </c>
      <c r="N275" s="840">
        <f>'d3'!N275-'d3-П'!N272</f>
        <v>0</v>
      </c>
      <c r="O275" s="840">
        <f>'d3'!O275-'d3-П'!O272</f>
        <v>0</v>
      </c>
      <c r="P275" s="840">
        <f>'d3'!P275-'d3-П'!P272</f>
        <v>0</v>
      </c>
    </row>
    <row r="276" spans="1:16" ht="47.25" thickTop="1" thickBot="1" x14ac:dyDescent="0.25">
      <c r="A276" s="422" t="s">
        <v>973</v>
      </c>
      <c r="B276" s="422" t="s">
        <v>928</v>
      </c>
      <c r="C276" s="843"/>
      <c r="D276" s="422" t="s">
        <v>929</v>
      </c>
      <c r="E276" s="840">
        <f>'d3'!E276-'d3-П'!E273</f>
        <v>0</v>
      </c>
      <c r="F276" s="840">
        <f>'d3'!F276-'d3-П'!F273</f>
        <v>0</v>
      </c>
      <c r="G276" s="840">
        <f>'d3'!G276-'d3-П'!G273</f>
        <v>0</v>
      </c>
      <c r="H276" s="840">
        <f>'d3'!H276-'d3-П'!H273</f>
        <v>0</v>
      </c>
      <c r="I276" s="840">
        <f>'d3'!I276-'d3-П'!I273</f>
        <v>0</v>
      </c>
      <c r="J276" s="840">
        <f>'d3'!J276-'d3-П'!J273</f>
        <v>52955840</v>
      </c>
      <c r="K276" s="840">
        <f>'d3'!K276-'d3-П'!K273</f>
        <v>52955840</v>
      </c>
      <c r="L276" s="840">
        <f>'d3'!L276-'d3-П'!L273</f>
        <v>0</v>
      </c>
      <c r="M276" s="840">
        <f>'d3'!M276-'d3-П'!M273</f>
        <v>0</v>
      </c>
      <c r="N276" s="840">
        <f>'d3'!N276-'d3-П'!N273</f>
        <v>0</v>
      </c>
      <c r="O276" s="840">
        <f>'d3'!O276-'d3-П'!O273</f>
        <v>52955840</v>
      </c>
      <c r="P276" s="840">
        <f>'d3'!P276-'d3-П'!P273</f>
        <v>52955840</v>
      </c>
    </row>
    <row r="277" spans="1:16" ht="93" thickTop="1" thickBot="1" x14ac:dyDescent="0.25">
      <c r="A277" s="345" t="s">
        <v>974</v>
      </c>
      <c r="B277" s="345" t="s">
        <v>975</v>
      </c>
      <c r="C277" s="345"/>
      <c r="D277" s="345" t="s">
        <v>976</v>
      </c>
      <c r="E277" s="840">
        <f>'d3'!E277-'d3-П'!E274</f>
        <v>0</v>
      </c>
      <c r="F277" s="840">
        <f>'d3'!F277-'d3-П'!F274</f>
        <v>0</v>
      </c>
      <c r="G277" s="840">
        <f>'d3'!G277-'d3-П'!G274</f>
        <v>0</v>
      </c>
      <c r="H277" s="840">
        <f>'d3'!H277-'d3-П'!H274</f>
        <v>0</v>
      </c>
      <c r="I277" s="840">
        <f>'d3'!I277-'d3-П'!I274</f>
        <v>0</v>
      </c>
      <c r="J277" s="840">
        <f>'d3'!J277-'d3-П'!J274</f>
        <v>52955840</v>
      </c>
      <c r="K277" s="840">
        <f>'d3'!K277-'d3-П'!K274</f>
        <v>52955840</v>
      </c>
      <c r="L277" s="840">
        <f>'d3'!L277-'d3-П'!L274</f>
        <v>0</v>
      </c>
      <c r="M277" s="840">
        <f>'d3'!M277-'d3-П'!M274</f>
        <v>0</v>
      </c>
      <c r="N277" s="840">
        <f>'d3'!N277-'d3-П'!N274</f>
        <v>0</v>
      </c>
      <c r="O277" s="840">
        <f>'d3'!O277-'d3-П'!O274</f>
        <v>52955840</v>
      </c>
      <c r="P277" s="840">
        <f>'d3'!P277-'d3-П'!P274</f>
        <v>52955840</v>
      </c>
    </row>
    <row r="278" spans="1:16" ht="321.75" thickTop="1" thickBot="1" x14ac:dyDescent="0.25">
      <c r="A278" s="843" t="s">
        <v>463</v>
      </c>
      <c r="B278" s="843" t="s">
        <v>465</v>
      </c>
      <c r="C278" s="843" t="s">
        <v>213</v>
      </c>
      <c r="D278" s="843" t="s">
        <v>464</v>
      </c>
      <c r="E278" s="840">
        <f>'d3'!E278-'d3-П'!E275</f>
        <v>0</v>
      </c>
      <c r="F278" s="840">
        <f>'d3'!F278-'d3-П'!F275</f>
        <v>0</v>
      </c>
      <c r="G278" s="840">
        <f>'d3'!G278-'d3-П'!G275</f>
        <v>0</v>
      </c>
      <c r="H278" s="840">
        <f>'d3'!H278-'d3-П'!H275</f>
        <v>0</v>
      </c>
      <c r="I278" s="840">
        <f>'d3'!I278-'d3-П'!I275</f>
        <v>0</v>
      </c>
      <c r="J278" s="840">
        <f>'d3'!J278-'d3-П'!J275</f>
        <v>52955840</v>
      </c>
      <c r="K278" s="840">
        <f>'d3'!K278-'d3-П'!K275</f>
        <v>52955840</v>
      </c>
      <c r="L278" s="840">
        <f>'d3'!L278-'d3-П'!L275</f>
        <v>0</v>
      </c>
      <c r="M278" s="840">
        <f>'d3'!M278-'d3-П'!M275</f>
        <v>0</v>
      </c>
      <c r="N278" s="840">
        <f>'d3'!N278-'d3-П'!N275</f>
        <v>0</v>
      </c>
      <c r="O278" s="840">
        <f>'d3'!O278-'d3-П'!O275</f>
        <v>52955840</v>
      </c>
      <c r="P278" s="840">
        <f>'d3'!P278-'d3-П'!P275</f>
        <v>52955840</v>
      </c>
    </row>
    <row r="279" spans="1:16" ht="47.25" thickTop="1" thickBot="1" x14ac:dyDescent="0.25">
      <c r="A279" s="422" t="s">
        <v>977</v>
      </c>
      <c r="B279" s="422" t="s">
        <v>905</v>
      </c>
      <c r="C279" s="843"/>
      <c r="D279" s="422" t="s">
        <v>952</v>
      </c>
      <c r="E279" s="840">
        <f>'d3'!E279-'d3-П'!E276</f>
        <v>0</v>
      </c>
      <c r="F279" s="840">
        <f>'d3'!F279-'d3-П'!F276</f>
        <v>0</v>
      </c>
      <c r="G279" s="840">
        <f>'d3'!G279-'d3-П'!G276</f>
        <v>0</v>
      </c>
      <c r="H279" s="840">
        <f>'d3'!H279-'d3-П'!H276</f>
        <v>0</v>
      </c>
      <c r="I279" s="840">
        <f>'d3'!I279-'d3-П'!I276</f>
        <v>0</v>
      </c>
      <c r="J279" s="840">
        <f>'d3'!J279-'d3-П'!J276</f>
        <v>5563839</v>
      </c>
      <c r="K279" s="840">
        <f>'d3'!K279-'d3-П'!K276</f>
        <v>5563839</v>
      </c>
      <c r="L279" s="840">
        <f>'d3'!L279-'d3-П'!L276</f>
        <v>0</v>
      </c>
      <c r="M279" s="840">
        <f>'d3'!M279-'d3-П'!M276</f>
        <v>0</v>
      </c>
      <c r="N279" s="840">
        <f>'d3'!N279-'d3-П'!N276</f>
        <v>0</v>
      </c>
      <c r="O279" s="840">
        <f>'d3'!O279-'d3-П'!O276</f>
        <v>5563839</v>
      </c>
      <c r="P279" s="840">
        <f>'d3'!P279-'d3-П'!P276</f>
        <v>5563839</v>
      </c>
    </row>
    <row r="280" spans="1:16" ht="91.5" thickTop="1" thickBot="1" x14ac:dyDescent="0.25">
      <c r="A280" s="379" t="s">
        <v>978</v>
      </c>
      <c r="B280" s="379" t="s">
        <v>961</v>
      </c>
      <c r="C280" s="379"/>
      <c r="D280" s="379" t="s">
        <v>962</v>
      </c>
      <c r="E280" s="840">
        <f>'d3'!E280-'d3-П'!E277</f>
        <v>0</v>
      </c>
      <c r="F280" s="840">
        <f>'d3'!F280-'d3-П'!F277</f>
        <v>0</v>
      </c>
      <c r="G280" s="840">
        <f>'d3'!G280-'d3-П'!G277</f>
        <v>0</v>
      </c>
      <c r="H280" s="840">
        <f>'d3'!H280-'d3-П'!H277</f>
        <v>0</v>
      </c>
      <c r="I280" s="840">
        <f>'d3'!I280-'d3-П'!I277</f>
        <v>0</v>
      </c>
      <c r="J280" s="840">
        <f>'d3'!J280-'d3-П'!J277</f>
        <v>5563839</v>
      </c>
      <c r="K280" s="840">
        <f>'d3'!K280-'d3-П'!K277</f>
        <v>5563839</v>
      </c>
      <c r="L280" s="840">
        <f>'d3'!L280-'d3-П'!L277</f>
        <v>0</v>
      </c>
      <c r="M280" s="840">
        <f>'d3'!M280-'d3-П'!M277</f>
        <v>0</v>
      </c>
      <c r="N280" s="840">
        <f>'d3'!N280-'d3-П'!N277</f>
        <v>0</v>
      </c>
      <c r="O280" s="840">
        <f>'d3'!O280-'d3-П'!O277</f>
        <v>5563839</v>
      </c>
      <c r="P280" s="840">
        <f>'d3'!P280-'d3-П'!P277</f>
        <v>5563839</v>
      </c>
    </row>
    <row r="281" spans="1:16" ht="99.75" thickTop="1" thickBot="1" x14ac:dyDescent="0.25">
      <c r="A281" s="843" t="s">
        <v>1150</v>
      </c>
      <c r="B281" s="843" t="s">
        <v>324</v>
      </c>
      <c r="C281" s="843" t="s">
        <v>323</v>
      </c>
      <c r="D281" s="843" t="s">
        <v>777</v>
      </c>
      <c r="E281" s="840">
        <f>'d3'!E281-'d3-П'!E278</f>
        <v>0</v>
      </c>
      <c r="F281" s="840">
        <f>'d3'!F281-'d3-П'!F278</f>
        <v>0</v>
      </c>
      <c r="G281" s="840">
        <f>'d3'!G281-'d3-П'!G278</f>
        <v>0</v>
      </c>
      <c r="H281" s="840">
        <f>'d3'!H281-'d3-П'!H278</f>
        <v>0</v>
      </c>
      <c r="I281" s="840">
        <f>'d3'!I281-'d3-П'!I278</f>
        <v>0</v>
      </c>
      <c r="J281" s="840">
        <f>'d3'!J281-'d3-П'!J278</f>
        <v>0</v>
      </c>
      <c r="K281" s="840">
        <f>'d3'!K281-'d3-П'!K278</f>
        <v>0</v>
      </c>
      <c r="L281" s="840">
        <f>'d3'!L281-'d3-П'!L278</f>
        <v>0</v>
      </c>
      <c r="M281" s="840">
        <f>'d3'!M281-'d3-П'!M278</f>
        <v>0</v>
      </c>
      <c r="N281" s="840">
        <f>'d3'!N281-'d3-П'!N278</f>
        <v>0</v>
      </c>
      <c r="O281" s="840">
        <f>'d3'!O281-'d3-П'!O278</f>
        <v>0</v>
      </c>
      <c r="P281" s="840">
        <f>'d3'!P281-'d3-П'!P278</f>
        <v>0</v>
      </c>
    </row>
    <row r="282" spans="1:16" ht="146.25" thickTop="1" thickBot="1" x14ac:dyDescent="0.25">
      <c r="A282" s="345" t="s">
        <v>979</v>
      </c>
      <c r="B282" s="345" t="s">
        <v>980</v>
      </c>
      <c r="C282" s="345"/>
      <c r="D282" s="345" t="s">
        <v>981</v>
      </c>
      <c r="E282" s="840">
        <f>'d3'!E282-'d3-П'!E279</f>
        <v>0</v>
      </c>
      <c r="F282" s="840">
        <f>'d3'!F282-'d3-П'!F279</f>
        <v>0</v>
      </c>
      <c r="G282" s="840">
        <f>'d3'!G282-'d3-П'!G279</f>
        <v>0</v>
      </c>
      <c r="H282" s="840">
        <f>'d3'!H282-'d3-П'!H279</f>
        <v>0</v>
      </c>
      <c r="I282" s="840">
        <f>'d3'!I282-'d3-П'!I279</f>
        <v>0</v>
      </c>
      <c r="J282" s="840">
        <f>'d3'!J282-'d3-П'!J279</f>
        <v>2785781</v>
      </c>
      <c r="K282" s="840">
        <f>'d3'!K282-'d3-П'!K279</f>
        <v>2785781</v>
      </c>
      <c r="L282" s="840">
        <f>'d3'!L282-'d3-П'!L279</f>
        <v>0</v>
      </c>
      <c r="M282" s="840">
        <f>'d3'!M282-'d3-П'!M279</f>
        <v>0</v>
      </c>
      <c r="N282" s="840">
        <f>'d3'!N282-'d3-П'!N279</f>
        <v>0</v>
      </c>
      <c r="O282" s="840">
        <f>'d3'!O282-'d3-П'!O279</f>
        <v>2785781</v>
      </c>
      <c r="P282" s="840">
        <f>'d3'!P282-'d3-П'!P279</f>
        <v>2785781</v>
      </c>
    </row>
    <row r="283" spans="1:16" ht="99.75" thickTop="1" thickBot="1" x14ac:dyDescent="0.25">
      <c r="A283" s="843" t="s">
        <v>333</v>
      </c>
      <c r="B283" s="843" t="s">
        <v>334</v>
      </c>
      <c r="C283" s="843" t="s">
        <v>323</v>
      </c>
      <c r="D283" s="843" t="s">
        <v>778</v>
      </c>
      <c r="E283" s="840">
        <f>'d3'!E283-'d3-П'!E280</f>
        <v>0</v>
      </c>
      <c r="F283" s="840">
        <f>'d3'!F283-'d3-П'!F280</f>
        <v>0</v>
      </c>
      <c r="G283" s="840">
        <f>'d3'!G283-'d3-П'!G280</f>
        <v>0</v>
      </c>
      <c r="H283" s="840">
        <f>'d3'!H283-'d3-П'!H280</f>
        <v>0</v>
      </c>
      <c r="I283" s="840">
        <f>'d3'!I283-'d3-П'!I280</f>
        <v>0</v>
      </c>
      <c r="J283" s="840">
        <f>'d3'!J283-'d3-П'!J280</f>
        <v>2785781</v>
      </c>
      <c r="K283" s="840">
        <f>'d3'!K283-'d3-П'!K280</f>
        <v>2785781</v>
      </c>
      <c r="L283" s="840">
        <f>'d3'!L283-'d3-П'!L280</f>
        <v>0</v>
      </c>
      <c r="M283" s="840">
        <f>'d3'!M283-'d3-П'!M280</f>
        <v>0</v>
      </c>
      <c r="N283" s="840">
        <f>'d3'!N283-'d3-П'!N280</f>
        <v>0</v>
      </c>
      <c r="O283" s="840">
        <f>'d3'!O283-'d3-П'!O280</f>
        <v>2785781</v>
      </c>
      <c r="P283" s="840">
        <f>'d3'!P283-'d3-П'!P280</f>
        <v>2785781</v>
      </c>
    </row>
    <row r="284" spans="1:16" ht="99.75" thickTop="1" thickBot="1" x14ac:dyDescent="0.25">
      <c r="A284" s="843" t="s">
        <v>563</v>
      </c>
      <c r="B284" s="843" t="s">
        <v>564</v>
      </c>
      <c r="C284" s="843" t="s">
        <v>323</v>
      </c>
      <c r="D284" s="843" t="s">
        <v>779</v>
      </c>
      <c r="E284" s="840">
        <f>'d3'!E284-'d3-П'!E281</f>
        <v>0</v>
      </c>
      <c r="F284" s="840">
        <f>'d3'!F284-'d3-П'!F281</f>
        <v>0</v>
      </c>
      <c r="G284" s="840">
        <f>'d3'!G284-'d3-П'!G281</f>
        <v>0</v>
      </c>
      <c r="H284" s="840">
        <f>'d3'!H284-'d3-П'!H281</f>
        <v>0</v>
      </c>
      <c r="I284" s="840">
        <f>'d3'!I284-'d3-П'!I281</f>
        <v>0</v>
      </c>
      <c r="J284" s="840">
        <f>'d3'!J284-'d3-П'!J281</f>
        <v>0</v>
      </c>
      <c r="K284" s="840">
        <f>'d3'!K284-'d3-П'!K281</f>
        <v>0</v>
      </c>
      <c r="L284" s="840">
        <f>'d3'!L284-'d3-П'!L281</f>
        <v>0</v>
      </c>
      <c r="M284" s="840">
        <f>'d3'!M284-'d3-П'!M281</f>
        <v>0</v>
      </c>
      <c r="N284" s="840">
        <f>'d3'!N284-'d3-П'!N281</f>
        <v>0</v>
      </c>
      <c r="O284" s="840">
        <f>'d3'!O284-'d3-П'!O281</f>
        <v>0</v>
      </c>
      <c r="P284" s="840">
        <f>'d3'!P284-'d3-П'!P281</f>
        <v>0</v>
      </c>
    </row>
    <row r="285" spans="1:16" ht="145.5" hidden="1" thickTop="1" thickBot="1" x14ac:dyDescent="0.25">
      <c r="A285" s="843" t="s">
        <v>335</v>
      </c>
      <c r="B285" s="843" t="s">
        <v>336</v>
      </c>
      <c r="C285" s="843" t="s">
        <v>323</v>
      </c>
      <c r="D285" s="843" t="s">
        <v>780</v>
      </c>
      <c r="E285" s="840">
        <f>'d3'!E285-'d3-П'!E282</f>
        <v>0</v>
      </c>
      <c r="F285" s="840">
        <f>'d3'!F285-'d3-П'!F282</f>
        <v>0</v>
      </c>
      <c r="G285" s="840">
        <f>'d3'!G285-'d3-П'!G282</f>
        <v>0</v>
      </c>
      <c r="H285" s="840">
        <f>'d3'!H285-'d3-П'!H282</f>
        <v>0</v>
      </c>
      <c r="I285" s="840">
        <f>'d3'!I285-'d3-П'!I282</f>
        <v>0</v>
      </c>
      <c r="J285" s="840">
        <f>'d3'!J285-'d3-П'!J282</f>
        <v>0</v>
      </c>
      <c r="K285" s="840">
        <f>'d3'!K285-'d3-П'!K282</f>
        <v>0</v>
      </c>
      <c r="L285" s="840">
        <f>'d3'!L285-'d3-П'!L282</f>
        <v>0</v>
      </c>
      <c r="M285" s="840">
        <f>'d3'!M285-'d3-П'!M282</f>
        <v>0</v>
      </c>
      <c r="N285" s="840">
        <f>'d3'!N285-'d3-П'!N282</f>
        <v>0</v>
      </c>
      <c r="O285" s="840">
        <f>'d3'!O285-'d3-П'!O282</f>
        <v>0</v>
      </c>
      <c r="P285" s="840">
        <f>'d3'!P285-'d3-П'!P282</f>
        <v>0</v>
      </c>
    </row>
    <row r="286" spans="1:16" ht="99.75" thickTop="1" thickBot="1" x14ac:dyDescent="0.25">
      <c r="A286" s="843" t="s">
        <v>337</v>
      </c>
      <c r="B286" s="843" t="s">
        <v>338</v>
      </c>
      <c r="C286" s="843" t="s">
        <v>323</v>
      </c>
      <c r="D286" s="843" t="s">
        <v>781</v>
      </c>
      <c r="E286" s="840">
        <f>'d3'!E286-'d3-П'!E283</f>
        <v>0</v>
      </c>
      <c r="F286" s="840">
        <f>'d3'!F286-'d3-П'!F283</f>
        <v>0</v>
      </c>
      <c r="G286" s="840">
        <f>'d3'!G286-'d3-П'!G283</f>
        <v>0</v>
      </c>
      <c r="H286" s="840">
        <f>'d3'!H286-'d3-П'!H283</f>
        <v>0</v>
      </c>
      <c r="I286" s="840">
        <f>'d3'!I286-'d3-П'!I283</f>
        <v>0</v>
      </c>
      <c r="J286" s="840">
        <f>'d3'!J286-'d3-П'!J283</f>
        <v>2778058</v>
      </c>
      <c r="K286" s="840">
        <f>'d3'!K286-'d3-П'!K283</f>
        <v>2778058</v>
      </c>
      <c r="L286" s="840">
        <f>'d3'!L286-'d3-П'!L283</f>
        <v>0</v>
      </c>
      <c r="M286" s="840">
        <f>'d3'!M286-'d3-П'!M283</f>
        <v>0</v>
      </c>
      <c r="N286" s="840">
        <f>'d3'!N286-'d3-П'!N283</f>
        <v>0</v>
      </c>
      <c r="O286" s="840">
        <f>'d3'!O286-'d3-П'!O283</f>
        <v>2778058</v>
      </c>
      <c r="P286" s="840">
        <f>'d3'!P286-'d3-П'!P283</f>
        <v>2778058</v>
      </c>
    </row>
    <row r="287" spans="1:16" ht="138.75" thickTop="1" thickBot="1" x14ac:dyDescent="0.25">
      <c r="A287" s="843" t="s">
        <v>469</v>
      </c>
      <c r="B287" s="843" t="s">
        <v>376</v>
      </c>
      <c r="C287" s="843" t="s">
        <v>184</v>
      </c>
      <c r="D287" s="843" t="s">
        <v>280</v>
      </c>
      <c r="E287" s="840">
        <f>'d3'!E287-'d3-П'!E284</f>
        <v>0</v>
      </c>
      <c r="F287" s="840">
        <f>'d3'!F287-'d3-П'!F284</f>
        <v>0</v>
      </c>
      <c r="G287" s="840">
        <f>'d3'!G287-'d3-П'!G284</f>
        <v>0</v>
      </c>
      <c r="H287" s="840">
        <f>'d3'!H287-'d3-П'!H284</f>
        <v>0</v>
      </c>
      <c r="I287" s="840">
        <f>'d3'!I287-'d3-П'!I284</f>
        <v>0</v>
      </c>
      <c r="J287" s="840">
        <f>'d3'!J287-'d3-П'!J284</f>
        <v>0</v>
      </c>
      <c r="K287" s="840">
        <f>'d3'!K287-'d3-П'!K284</f>
        <v>0</v>
      </c>
      <c r="L287" s="840">
        <f>'d3'!L287-'d3-П'!L284</f>
        <v>0</v>
      </c>
      <c r="M287" s="840">
        <f>'d3'!M287-'d3-П'!M284</f>
        <v>0</v>
      </c>
      <c r="N287" s="840">
        <f>'d3'!N287-'d3-П'!N284</f>
        <v>0</v>
      </c>
      <c r="O287" s="840">
        <f>'d3'!O287-'d3-П'!O284</f>
        <v>0</v>
      </c>
      <c r="P287" s="840">
        <f>'d3'!P287-'d3-П'!P284</f>
        <v>0</v>
      </c>
    </row>
    <row r="288" spans="1:16" ht="136.5" thickTop="1" thickBot="1" x14ac:dyDescent="0.25">
      <c r="A288" s="379" t="s">
        <v>1289</v>
      </c>
      <c r="B288" s="379" t="s">
        <v>847</v>
      </c>
      <c r="C288" s="379"/>
      <c r="D288" s="379" t="s">
        <v>845</v>
      </c>
      <c r="E288" s="840">
        <f>'d3'!E288-'d3-П'!E285</f>
        <v>0</v>
      </c>
      <c r="F288" s="840">
        <f>'d3'!F288-'d3-П'!F285</f>
        <v>0</v>
      </c>
      <c r="G288" s="840">
        <f>'d3'!G288-'d3-П'!G285</f>
        <v>0</v>
      </c>
      <c r="H288" s="840">
        <f>'d3'!H288-'d3-П'!H285</f>
        <v>0</v>
      </c>
      <c r="I288" s="840">
        <f>'d3'!I288-'d3-П'!I285</f>
        <v>0</v>
      </c>
      <c r="J288" s="840">
        <f>'d3'!J288-'d3-П'!J285</f>
        <v>0</v>
      </c>
      <c r="K288" s="840">
        <f>'d3'!K288-'d3-П'!K285</f>
        <v>0</v>
      </c>
      <c r="L288" s="840">
        <f>'d3'!L288-'d3-П'!L285</f>
        <v>0</v>
      </c>
      <c r="M288" s="840">
        <f>'d3'!M288-'d3-П'!M285</f>
        <v>0</v>
      </c>
      <c r="N288" s="840">
        <f>'d3'!N288-'d3-П'!N285</f>
        <v>0</v>
      </c>
      <c r="O288" s="840">
        <f>'d3'!O288-'d3-П'!O285</f>
        <v>0</v>
      </c>
      <c r="P288" s="840">
        <f>'d3'!P288-'d3-П'!P285</f>
        <v>0</v>
      </c>
    </row>
    <row r="289" spans="1:16" ht="47.25" thickTop="1" thickBot="1" x14ac:dyDescent="0.25">
      <c r="A289" s="345" t="s">
        <v>1290</v>
      </c>
      <c r="B289" s="345" t="s">
        <v>850</v>
      </c>
      <c r="C289" s="345"/>
      <c r="D289" s="345" t="s">
        <v>955</v>
      </c>
      <c r="E289" s="840">
        <f>'d3'!E289-'d3-П'!E286</f>
        <v>0</v>
      </c>
      <c r="F289" s="840">
        <f>'d3'!F289-'d3-П'!F286</f>
        <v>0</v>
      </c>
      <c r="G289" s="840">
        <f>'d3'!G289-'d3-П'!G286</f>
        <v>0</v>
      </c>
      <c r="H289" s="840">
        <f>'d3'!H289-'d3-П'!H286</f>
        <v>0</v>
      </c>
      <c r="I289" s="840">
        <f>'d3'!I289-'d3-П'!I286</f>
        <v>0</v>
      </c>
      <c r="J289" s="840">
        <f>'d3'!J289-'d3-П'!J286</f>
        <v>0</v>
      </c>
      <c r="K289" s="840">
        <f>'d3'!K289-'d3-П'!K286</f>
        <v>0</v>
      </c>
      <c r="L289" s="840">
        <f>'d3'!L289-'d3-П'!L286</f>
        <v>0</v>
      </c>
      <c r="M289" s="840">
        <f>'d3'!M289-'d3-П'!M286</f>
        <v>0</v>
      </c>
      <c r="N289" s="840">
        <f>'d3'!N289-'d3-П'!N286</f>
        <v>0</v>
      </c>
      <c r="O289" s="840">
        <f>'d3'!O289-'d3-П'!O286</f>
        <v>0</v>
      </c>
      <c r="P289" s="840">
        <f>'d3'!P289-'d3-П'!P286</f>
        <v>0</v>
      </c>
    </row>
    <row r="290" spans="1:16" ht="409.6" thickTop="1" thickBot="1" x14ac:dyDescent="0.7">
      <c r="A290" s="983" t="s">
        <v>1291</v>
      </c>
      <c r="B290" s="983" t="s">
        <v>363</v>
      </c>
      <c r="C290" s="983" t="s">
        <v>184</v>
      </c>
      <c r="D290" s="315" t="s">
        <v>473</v>
      </c>
      <c r="E290" s="966">
        <f>'d3'!E290-'d3-П'!E287</f>
        <v>0</v>
      </c>
      <c r="F290" s="966">
        <f>'d3'!F290-'d3-П'!F287</f>
        <v>0</v>
      </c>
      <c r="G290" s="966">
        <f>'d3'!G290-'d3-П'!G287</f>
        <v>0</v>
      </c>
      <c r="H290" s="966">
        <f>'d3'!H290-'d3-П'!H287</f>
        <v>0</v>
      </c>
      <c r="I290" s="966">
        <f>'d3'!I290-'d3-П'!I287</f>
        <v>0</v>
      </c>
      <c r="J290" s="966">
        <f>'d3'!J290-'d3-П'!J287</f>
        <v>0</v>
      </c>
      <c r="K290" s="966">
        <f>'d3'!K290-'d3-П'!K287</f>
        <v>0</v>
      </c>
      <c r="L290" s="966">
        <f>'d3'!L290-'d3-П'!L287</f>
        <v>0</v>
      </c>
      <c r="M290" s="966">
        <f>'d3'!M290-'d3-П'!M287</f>
        <v>0</v>
      </c>
      <c r="N290" s="966">
        <f>'d3'!N290-'d3-П'!N287</f>
        <v>0</v>
      </c>
      <c r="O290" s="966">
        <f>'d3'!O290-'d3-П'!O287</f>
        <v>0</v>
      </c>
      <c r="P290" s="966">
        <f>'d3'!P290-'d3-П'!P287</f>
        <v>0</v>
      </c>
    </row>
    <row r="291" spans="1:16" ht="184.5" thickTop="1" thickBot="1" x14ac:dyDescent="0.25">
      <c r="A291" s="983"/>
      <c r="B291" s="983"/>
      <c r="C291" s="983"/>
      <c r="D291" s="317" t="s">
        <v>474</v>
      </c>
      <c r="E291" s="1064"/>
      <c r="F291" s="1064"/>
      <c r="G291" s="1064"/>
      <c r="H291" s="1064"/>
      <c r="I291" s="1064"/>
      <c r="J291" s="1064"/>
      <c r="K291" s="1064"/>
      <c r="L291" s="1064"/>
      <c r="M291" s="1064"/>
      <c r="N291" s="1064"/>
      <c r="O291" s="1064"/>
      <c r="P291" s="1064"/>
    </row>
    <row r="292" spans="1:16" ht="181.5" thickTop="1" thickBot="1" x14ac:dyDescent="0.25">
      <c r="A292" s="825" t="s">
        <v>174</v>
      </c>
      <c r="B292" s="825"/>
      <c r="C292" s="825"/>
      <c r="D292" s="826" t="s">
        <v>1066</v>
      </c>
      <c r="E292" s="827">
        <f>E293</f>
        <v>-53000</v>
      </c>
      <c r="F292" s="828">
        <f t="shared" ref="F292:G292" si="52">F293</f>
        <v>-53000</v>
      </c>
      <c r="G292" s="828">
        <f t="shared" si="52"/>
        <v>-43000</v>
      </c>
      <c r="H292" s="828">
        <f>H293</f>
        <v>0</v>
      </c>
      <c r="I292" s="828">
        <f t="shared" ref="I292" si="53">I293</f>
        <v>0</v>
      </c>
      <c r="J292" s="827">
        <f>J293</f>
        <v>0</v>
      </c>
      <c r="K292" s="828">
        <f>K293</f>
        <v>0</v>
      </c>
      <c r="L292" s="828">
        <f>L293</f>
        <v>0</v>
      </c>
      <c r="M292" s="828">
        <f t="shared" ref="M292" si="54">M293</f>
        <v>0</v>
      </c>
      <c r="N292" s="828">
        <f>N293</f>
        <v>0</v>
      </c>
      <c r="O292" s="827">
        <f>O293</f>
        <v>0</v>
      </c>
      <c r="P292" s="828">
        <f t="shared" ref="P292" si="55">P293</f>
        <v>-53000</v>
      </c>
    </row>
    <row r="293" spans="1:16" ht="181.5" thickTop="1" thickBot="1" x14ac:dyDescent="0.25">
      <c r="A293" s="829" t="s">
        <v>175</v>
      </c>
      <c r="B293" s="829"/>
      <c r="C293" s="829"/>
      <c r="D293" s="830" t="s">
        <v>1067</v>
      </c>
      <c r="E293" s="831">
        <f>E294+E297</f>
        <v>-53000</v>
      </c>
      <c r="F293" s="831">
        <f>F294+F297</f>
        <v>-53000</v>
      </c>
      <c r="G293" s="831">
        <f>G294+G297</f>
        <v>-43000</v>
      </c>
      <c r="H293" s="831">
        <f>H294+H297</f>
        <v>0</v>
      </c>
      <c r="I293" s="831">
        <f>I294+I297</f>
        <v>0</v>
      </c>
      <c r="J293" s="831">
        <f>L293+O293</f>
        <v>0</v>
      </c>
      <c r="K293" s="831">
        <f>K294+K297</f>
        <v>0</v>
      </c>
      <c r="L293" s="831">
        <f>L294+L297</f>
        <v>0</v>
      </c>
      <c r="M293" s="831">
        <f>M294+M297</f>
        <v>0</v>
      </c>
      <c r="N293" s="831">
        <f>N294+N297</f>
        <v>0</v>
      </c>
      <c r="O293" s="831">
        <f>O294+O297</f>
        <v>0</v>
      </c>
      <c r="P293" s="831">
        <f>E293+J293</f>
        <v>-53000</v>
      </c>
    </row>
    <row r="294" spans="1:16" ht="47.25" thickTop="1" thickBot="1" x14ac:dyDescent="0.25">
      <c r="A294" s="422" t="s">
        <v>982</v>
      </c>
      <c r="B294" s="422" t="s">
        <v>840</v>
      </c>
      <c r="C294" s="422"/>
      <c r="D294" s="422" t="s">
        <v>841</v>
      </c>
      <c r="E294" s="840">
        <f>'d3'!E294-'d3-П'!E291</f>
        <v>-53000</v>
      </c>
      <c r="F294" s="840">
        <f>'d3'!F294-'d3-П'!F291</f>
        <v>-53000</v>
      </c>
      <c r="G294" s="840">
        <f>'d3'!G294-'d3-П'!G291</f>
        <v>-43000</v>
      </c>
      <c r="H294" s="840">
        <f>'d3'!H294-'d3-П'!H291</f>
        <v>0</v>
      </c>
      <c r="I294" s="840">
        <f>'d3'!I294-'d3-П'!I291</f>
        <v>0</v>
      </c>
      <c r="J294" s="840">
        <f>'d3'!J294-'d3-П'!J291</f>
        <v>0</v>
      </c>
      <c r="K294" s="840">
        <f>'d3'!K294-'d3-П'!K291</f>
        <v>0</v>
      </c>
      <c r="L294" s="840">
        <f>'d3'!L294-'d3-П'!L291</f>
        <v>0</v>
      </c>
      <c r="M294" s="840">
        <f>'d3'!M294-'d3-П'!M291</f>
        <v>0</v>
      </c>
      <c r="N294" s="840">
        <f>'d3'!N294-'d3-П'!N291</f>
        <v>0</v>
      </c>
      <c r="O294" s="840">
        <f>'d3'!O294-'d3-П'!O291</f>
        <v>0</v>
      </c>
      <c r="P294" s="840">
        <f>'d3'!P294-'d3-П'!P291</f>
        <v>-53000</v>
      </c>
    </row>
    <row r="295" spans="1:16" ht="230.25" thickTop="1" thickBot="1" x14ac:dyDescent="0.25">
      <c r="A295" s="843" t="s">
        <v>447</v>
      </c>
      <c r="B295" s="843" t="s">
        <v>254</v>
      </c>
      <c r="C295" s="843" t="s">
        <v>252</v>
      </c>
      <c r="D295" s="843" t="s">
        <v>253</v>
      </c>
      <c r="E295" s="840">
        <f>'d3'!E295-'d3-П'!E292</f>
        <v>-53000</v>
      </c>
      <c r="F295" s="840">
        <f>'d3'!F295-'d3-П'!F292</f>
        <v>-53000</v>
      </c>
      <c r="G295" s="840">
        <f>'d3'!G295-'d3-П'!G292</f>
        <v>-43000</v>
      </c>
      <c r="H295" s="840">
        <f>'d3'!H295-'d3-П'!H292</f>
        <v>0</v>
      </c>
      <c r="I295" s="840">
        <f>'d3'!I295-'d3-П'!I292</f>
        <v>0</v>
      </c>
      <c r="J295" s="840">
        <f>'d3'!J295-'d3-П'!J292</f>
        <v>0</v>
      </c>
      <c r="K295" s="840">
        <f>'d3'!K295-'d3-П'!K292</f>
        <v>0</v>
      </c>
      <c r="L295" s="840">
        <f>'d3'!L295-'d3-П'!L292</f>
        <v>0</v>
      </c>
      <c r="M295" s="840">
        <f>'d3'!M295-'d3-П'!M292</f>
        <v>0</v>
      </c>
      <c r="N295" s="840">
        <f>'d3'!N295-'d3-П'!N292</f>
        <v>0</v>
      </c>
      <c r="O295" s="840">
        <f>'d3'!O295-'d3-П'!O292</f>
        <v>0</v>
      </c>
      <c r="P295" s="840">
        <f>'d3'!P295-'d3-П'!P292</f>
        <v>-53000</v>
      </c>
    </row>
    <row r="296" spans="1:16" ht="184.5" thickTop="1" thickBot="1" x14ac:dyDescent="0.25">
      <c r="A296" s="843" t="s">
        <v>786</v>
      </c>
      <c r="B296" s="843" t="s">
        <v>388</v>
      </c>
      <c r="C296" s="843" t="s">
        <v>775</v>
      </c>
      <c r="D296" s="843" t="s">
        <v>776</v>
      </c>
      <c r="E296" s="840">
        <f>'d3'!E296-'d3-П'!E293</f>
        <v>0</v>
      </c>
      <c r="F296" s="840">
        <f>'d3'!F296-'d3-П'!F293</f>
        <v>0</v>
      </c>
      <c r="G296" s="840">
        <f>'d3'!G296-'d3-П'!G293</f>
        <v>0</v>
      </c>
      <c r="H296" s="840">
        <f>'d3'!H296-'d3-П'!H293</f>
        <v>0</v>
      </c>
      <c r="I296" s="840">
        <f>'d3'!I296-'d3-П'!I293</f>
        <v>0</v>
      </c>
      <c r="J296" s="840">
        <f>'d3'!J296-'d3-П'!J293</f>
        <v>0</v>
      </c>
      <c r="K296" s="840">
        <f>'d3'!K296-'d3-П'!K293</f>
        <v>0</v>
      </c>
      <c r="L296" s="840">
        <f>'d3'!L296-'d3-П'!L293</f>
        <v>0</v>
      </c>
      <c r="M296" s="840">
        <f>'d3'!M296-'d3-П'!M293</f>
        <v>0</v>
      </c>
      <c r="N296" s="840">
        <f>'d3'!N296-'d3-П'!N293</f>
        <v>0</v>
      </c>
      <c r="O296" s="840">
        <f>'d3'!O296-'d3-П'!O293</f>
        <v>0</v>
      </c>
      <c r="P296" s="840">
        <f>'d3'!P296-'d3-П'!P293</f>
        <v>0</v>
      </c>
    </row>
    <row r="297" spans="1:16" ht="47.25" thickTop="1" thickBot="1" x14ac:dyDescent="0.25">
      <c r="A297" s="422" t="s">
        <v>1112</v>
      </c>
      <c r="B297" s="422" t="s">
        <v>905</v>
      </c>
      <c r="C297" s="843"/>
      <c r="D297" s="422" t="s">
        <v>952</v>
      </c>
      <c r="E297" s="840">
        <f>'d3'!E297-'d3-П'!E294</f>
        <v>0</v>
      </c>
      <c r="F297" s="840">
        <f>'d3'!F297-'d3-П'!F294</f>
        <v>0</v>
      </c>
      <c r="G297" s="840">
        <f>'d3'!G297-'d3-П'!G294</f>
        <v>0</v>
      </c>
      <c r="H297" s="840">
        <f>'d3'!H297-'d3-П'!H294</f>
        <v>0</v>
      </c>
      <c r="I297" s="840">
        <f>'d3'!I297-'d3-П'!I294</f>
        <v>0</v>
      </c>
      <c r="J297" s="840">
        <f>'d3'!J297-'d3-П'!J294</f>
        <v>0</v>
      </c>
      <c r="K297" s="840">
        <f>'d3'!K297-'d3-П'!K294</f>
        <v>0</v>
      </c>
      <c r="L297" s="840">
        <f>'d3'!L297-'d3-П'!L294</f>
        <v>0</v>
      </c>
      <c r="M297" s="840">
        <f>'d3'!M297-'d3-П'!M294</f>
        <v>0</v>
      </c>
      <c r="N297" s="840">
        <f>'d3'!N297-'d3-П'!N294</f>
        <v>0</v>
      </c>
      <c r="O297" s="840">
        <f>'d3'!O297-'d3-П'!O294</f>
        <v>0</v>
      </c>
      <c r="P297" s="840">
        <f>'d3'!P297-'d3-П'!P294</f>
        <v>0</v>
      </c>
    </row>
    <row r="298" spans="1:16" ht="91.5" thickTop="1" thickBot="1" x14ac:dyDescent="0.25">
      <c r="A298" s="379" t="s">
        <v>1113</v>
      </c>
      <c r="B298" s="379" t="s">
        <v>961</v>
      </c>
      <c r="C298" s="379"/>
      <c r="D298" s="379" t="s">
        <v>962</v>
      </c>
      <c r="E298" s="840">
        <f>'d3'!E298-'d3-П'!E295</f>
        <v>0</v>
      </c>
      <c r="F298" s="840">
        <f>'d3'!F298-'d3-П'!F295</f>
        <v>0</v>
      </c>
      <c r="G298" s="840">
        <f>'d3'!G298-'d3-П'!G295</f>
        <v>0</v>
      </c>
      <c r="H298" s="840">
        <f>'d3'!H298-'d3-П'!H295</f>
        <v>0</v>
      </c>
      <c r="I298" s="840">
        <f>'d3'!I298-'d3-П'!I295</f>
        <v>0</v>
      </c>
      <c r="J298" s="840">
        <f>'d3'!J298-'d3-П'!J295</f>
        <v>0</v>
      </c>
      <c r="K298" s="840">
        <f>'d3'!K298-'d3-П'!K295</f>
        <v>0</v>
      </c>
      <c r="L298" s="840">
        <f>'d3'!L298-'d3-П'!L295</f>
        <v>0</v>
      </c>
      <c r="M298" s="840">
        <f>'d3'!M298-'d3-П'!M295</f>
        <v>0</v>
      </c>
      <c r="N298" s="840">
        <f>'d3'!N298-'d3-П'!N295</f>
        <v>0</v>
      </c>
      <c r="O298" s="840">
        <f>'d3'!O298-'d3-П'!O295</f>
        <v>0</v>
      </c>
      <c r="P298" s="840">
        <f>'d3'!P298-'d3-П'!P295</f>
        <v>0</v>
      </c>
    </row>
    <row r="299" spans="1:16" ht="138.75" thickTop="1" thickBot="1" x14ac:dyDescent="0.25">
      <c r="A299" s="843" t="s">
        <v>1114</v>
      </c>
      <c r="B299" s="843" t="s">
        <v>1115</v>
      </c>
      <c r="C299" s="843" t="s">
        <v>323</v>
      </c>
      <c r="D299" s="843" t="s">
        <v>1116</v>
      </c>
      <c r="E299" s="840">
        <f>'d3'!E299-'d3-П'!E296</f>
        <v>0</v>
      </c>
      <c r="F299" s="840">
        <f>'d3'!F299-'d3-П'!F296</f>
        <v>0</v>
      </c>
      <c r="G299" s="840">
        <f>'d3'!G299-'d3-П'!G296</f>
        <v>0</v>
      </c>
      <c r="H299" s="840">
        <f>'d3'!H299-'d3-П'!H296</f>
        <v>0</v>
      </c>
      <c r="I299" s="840">
        <f>'d3'!I299-'d3-П'!I296</f>
        <v>0</v>
      </c>
      <c r="J299" s="840">
        <f>'d3'!J299-'d3-П'!J296</f>
        <v>0</v>
      </c>
      <c r="K299" s="840">
        <f>'d3'!K299-'d3-П'!K296</f>
        <v>0</v>
      </c>
      <c r="L299" s="840">
        <f>'d3'!L299-'d3-П'!L296</f>
        <v>0</v>
      </c>
      <c r="M299" s="840">
        <f>'d3'!M299-'d3-П'!M296</f>
        <v>0</v>
      </c>
      <c r="N299" s="840">
        <f>'d3'!N299-'d3-П'!N296</f>
        <v>0</v>
      </c>
      <c r="O299" s="840">
        <f>'d3'!O299-'d3-П'!O296</f>
        <v>0</v>
      </c>
      <c r="P299" s="840">
        <f>'d3'!P299-'d3-П'!P296</f>
        <v>0</v>
      </c>
    </row>
    <row r="300" spans="1:16" ht="136.5" thickTop="1" thickBot="1" x14ac:dyDescent="0.25">
      <c r="A300" s="825" t="s">
        <v>477</v>
      </c>
      <c r="B300" s="825"/>
      <c r="C300" s="825"/>
      <c r="D300" s="826" t="s">
        <v>479</v>
      </c>
      <c r="E300" s="827">
        <f>E301</f>
        <v>-3626008</v>
      </c>
      <c r="F300" s="828">
        <f t="shared" ref="F300:G300" si="56">F301</f>
        <v>-3626008</v>
      </c>
      <c r="G300" s="828">
        <f t="shared" si="56"/>
        <v>-16000</v>
      </c>
      <c r="H300" s="828">
        <f>H301</f>
        <v>0</v>
      </c>
      <c r="I300" s="828">
        <f t="shared" ref="I300" si="57">I301</f>
        <v>0</v>
      </c>
      <c r="J300" s="827">
        <f>J301</f>
        <v>0</v>
      </c>
      <c r="K300" s="828">
        <f>K301</f>
        <v>0</v>
      </c>
      <c r="L300" s="828">
        <f>L301</f>
        <v>0</v>
      </c>
      <c r="M300" s="828">
        <f t="shared" ref="M300" si="58">M301</f>
        <v>0</v>
      </c>
      <c r="N300" s="828">
        <f>N301</f>
        <v>0</v>
      </c>
      <c r="O300" s="827">
        <f>O301</f>
        <v>0</v>
      </c>
      <c r="P300" s="828">
        <f t="shared" ref="P300" si="59">P301</f>
        <v>-3626008</v>
      </c>
    </row>
    <row r="301" spans="1:16" ht="181.5" thickTop="1" thickBot="1" x14ac:dyDescent="0.25">
      <c r="A301" s="829" t="s">
        <v>478</v>
      </c>
      <c r="B301" s="829"/>
      <c r="C301" s="829"/>
      <c r="D301" s="830" t="s">
        <v>480</v>
      </c>
      <c r="E301" s="831">
        <f>E302+E306</f>
        <v>-3626008</v>
      </c>
      <c r="F301" s="831">
        <f t="shared" ref="F301:I301" si="60">F302+F306</f>
        <v>-3626008</v>
      </c>
      <c r="G301" s="831">
        <f t="shared" si="60"/>
        <v>-16000</v>
      </c>
      <c r="H301" s="831">
        <f t="shared" si="60"/>
        <v>0</v>
      </c>
      <c r="I301" s="831">
        <f t="shared" si="60"/>
        <v>0</v>
      </c>
      <c r="J301" s="831">
        <f>L301+O301</f>
        <v>0</v>
      </c>
      <c r="K301" s="831">
        <f t="shared" ref="K301:O301" si="61">K302+K306</f>
        <v>0</v>
      </c>
      <c r="L301" s="831">
        <f t="shared" si="61"/>
        <v>0</v>
      </c>
      <c r="M301" s="831">
        <f t="shared" si="61"/>
        <v>0</v>
      </c>
      <c r="N301" s="831">
        <f t="shared" si="61"/>
        <v>0</v>
      </c>
      <c r="O301" s="831">
        <f t="shared" si="61"/>
        <v>0</v>
      </c>
      <c r="P301" s="831">
        <f>E301+J301</f>
        <v>-3626008</v>
      </c>
    </row>
    <row r="302" spans="1:16" ht="47.25" thickTop="1" thickBot="1" x14ac:dyDescent="0.25">
      <c r="A302" s="422" t="s">
        <v>983</v>
      </c>
      <c r="B302" s="422" t="s">
        <v>840</v>
      </c>
      <c r="C302" s="422"/>
      <c r="D302" s="422" t="s">
        <v>841</v>
      </c>
      <c r="E302" s="840">
        <f>'d3'!E302-'d3-П'!E299</f>
        <v>-33000</v>
      </c>
      <c r="F302" s="840">
        <f>'d3'!F302-'d3-П'!F299</f>
        <v>-33000</v>
      </c>
      <c r="G302" s="840">
        <f>'d3'!G302-'d3-П'!G299</f>
        <v>-16000</v>
      </c>
      <c r="H302" s="840">
        <f>'d3'!H302-'d3-П'!H299</f>
        <v>0</v>
      </c>
      <c r="I302" s="840">
        <f>'d3'!I302-'d3-П'!I299</f>
        <v>0</v>
      </c>
      <c r="J302" s="840">
        <f>'d3'!J302-'d3-П'!J299</f>
        <v>0</v>
      </c>
      <c r="K302" s="840">
        <f>'d3'!K302-'d3-П'!K299</f>
        <v>0</v>
      </c>
      <c r="L302" s="840">
        <f>'d3'!L302-'d3-П'!L299</f>
        <v>0</v>
      </c>
      <c r="M302" s="840">
        <f>'d3'!M302-'d3-П'!M299</f>
        <v>0</v>
      </c>
      <c r="N302" s="840">
        <f>'d3'!N302-'d3-П'!N299</f>
        <v>0</v>
      </c>
      <c r="O302" s="840">
        <f>'d3'!O302-'d3-П'!O299</f>
        <v>0</v>
      </c>
      <c r="P302" s="840">
        <f>'d3'!P302-'d3-П'!P299</f>
        <v>-33000</v>
      </c>
    </row>
    <row r="303" spans="1:16" ht="230.25" thickTop="1" thickBot="1" x14ac:dyDescent="0.25">
      <c r="A303" s="843" t="s">
        <v>481</v>
      </c>
      <c r="B303" s="843" t="s">
        <v>254</v>
      </c>
      <c r="C303" s="843" t="s">
        <v>252</v>
      </c>
      <c r="D303" s="843" t="s">
        <v>253</v>
      </c>
      <c r="E303" s="840">
        <f>'d3'!E303-'d3-П'!E300</f>
        <v>-33000</v>
      </c>
      <c r="F303" s="840">
        <f>'d3'!F303-'d3-П'!F300</f>
        <v>-33000</v>
      </c>
      <c r="G303" s="840">
        <f>'d3'!G303-'d3-П'!G300</f>
        <v>-16000</v>
      </c>
      <c r="H303" s="840">
        <f>'d3'!H303-'d3-П'!H300</f>
        <v>0</v>
      </c>
      <c r="I303" s="840">
        <f>'d3'!I303-'d3-П'!I300</f>
        <v>0</v>
      </c>
      <c r="J303" s="840">
        <f>'d3'!J303-'d3-П'!J300</f>
        <v>0</v>
      </c>
      <c r="K303" s="840">
        <f>'d3'!K303-'d3-П'!K300</f>
        <v>0</v>
      </c>
      <c r="L303" s="840">
        <f>'d3'!L303-'d3-П'!L300</f>
        <v>0</v>
      </c>
      <c r="M303" s="840">
        <f>'d3'!M303-'d3-П'!M300</f>
        <v>0</v>
      </c>
      <c r="N303" s="840">
        <f>'d3'!N303-'d3-П'!N300</f>
        <v>0</v>
      </c>
      <c r="O303" s="840">
        <f>'d3'!O303-'d3-П'!O300</f>
        <v>0</v>
      </c>
      <c r="P303" s="840">
        <f>'d3'!P303-'d3-П'!P300</f>
        <v>-33000</v>
      </c>
    </row>
    <row r="304" spans="1:16" ht="184.5" thickTop="1" thickBot="1" x14ac:dyDescent="0.25">
      <c r="A304" s="843" t="s">
        <v>787</v>
      </c>
      <c r="B304" s="843" t="s">
        <v>388</v>
      </c>
      <c r="C304" s="843" t="s">
        <v>775</v>
      </c>
      <c r="D304" s="843" t="s">
        <v>776</v>
      </c>
      <c r="E304" s="840">
        <f>'d3'!E304-'d3-П'!E301</f>
        <v>0</v>
      </c>
      <c r="F304" s="840">
        <f>'d3'!F304-'d3-П'!F301</f>
        <v>0</v>
      </c>
      <c r="G304" s="840">
        <f>'d3'!G304-'d3-П'!G301</f>
        <v>0</v>
      </c>
      <c r="H304" s="840">
        <f>'d3'!H304-'d3-П'!H301</f>
        <v>0</v>
      </c>
      <c r="I304" s="840">
        <f>'d3'!I304-'d3-П'!I301</f>
        <v>0</v>
      </c>
      <c r="J304" s="840">
        <f>'d3'!J304-'d3-П'!J301</f>
        <v>0</v>
      </c>
      <c r="K304" s="840">
        <f>'d3'!K304-'d3-П'!K301</f>
        <v>0</v>
      </c>
      <c r="L304" s="840">
        <f>'d3'!L304-'d3-П'!L301</f>
        <v>0</v>
      </c>
      <c r="M304" s="840">
        <f>'d3'!M304-'d3-П'!M301</f>
        <v>0</v>
      </c>
      <c r="N304" s="840">
        <f>'d3'!N304-'d3-П'!N301</f>
        <v>0</v>
      </c>
      <c r="O304" s="840">
        <f>'d3'!O304-'d3-П'!O301</f>
        <v>0</v>
      </c>
      <c r="P304" s="840">
        <f>'d3'!P304-'d3-П'!P301</f>
        <v>0</v>
      </c>
    </row>
    <row r="305" spans="1:16" ht="93" hidden="1" thickTop="1" thickBot="1" x14ac:dyDescent="0.25">
      <c r="A305" s="835" t="s">
        <v>504</v>
      </c>
      <c r="B305" s="835" t="s">
        <v>440</v>
      </c>
      <c r="C305" s="835" t="s">
        <v>441</v>
      </c>
      <c r="D305" s="835" t="s">
        <v>442</v>
      </c>
      <c r="E305" s="840">
        <f>'d3'!E305-'d3-П'!E302</f>
        <v>0</v>
      </c>
      <c r="F305" s="840">
        <f>'d3'!F305-'d3-П'!F302</f>
        <v>0</v>
      </c>
      <c r="G305" s="840">
        <f>'d3'!G305-'d3-П'!G302</f>
        <v>0</v>
      </c>
      <c r="H305" s="840">
        <f>'d3'!H305-'d3-П'!H302</f>
        <v>0</v>
      </c>
      <c r="I305" s="840">
        <f>'d3'!I305-'d3-П'!I302</f>
        <v>0</v>
      </c>
      <c r="J305" s="840">
        <f>'d3'!J305-'d3-П'!J302</f>
        <v>0</v>
      </c>
      <c r="K305" s="840">
        <f>'d3'!K305-'d3-П'!K302</f>
        <v>0</v>
      </c>
      <c r="L305" s="840">
        <f>'d3'!L305-'d3-П'!L302</f>
        <v>0</v>
      </c>
      <c r="M305" s="840">
        <f>'d3'!M305-'d3-П'!M302</f>
        <v>0</v>
      </c>
      <c r="N305" s="840">
        <f>'d3'!N305-'d3-П'!N302</f>
        <v>0</v>
      </c>
      <c r="O305" s="840">
        <f>'d3'!O305-'d3-П'!O302</f>
        <v>0</v>
      </c>
      <c r="P305" s="840">
        <f>'d3'!P305-'d3-П'!P302</f>
        <v>0</v>
      </c>
    </row>
    <row r="306" spans="1:16" ht="47.25" thickTop="1" thickBot="1" x14ac:dyDescent="0.25">
      <c r="A306" s="422" t="s">
        <v>984</v>
      </c>
      <c r="B306" s="422" t="s">
        <v>905</v>
      </c>
      <c r="C306" s="843"/>
      <c r="D306" s="422" t="s">
        <v>952</v>
      </c>
      <c r="E306" s="840">
        <f>'d3'!E306-'d3-П'!E303</f>
        <v>-3593008</v>
      </c>
      <c r="F306" s="840">
        <f>'d3'!F306-'d3-П'!F303</f>
        <v>-3593008</v>
      </c>
      <c r="G306" s="840">
        <f>'d3'!G306-'d3-П'!G303</f>
        <v>0</v>
      </c>
      <c r="H306" s="840">
        <f>'d3'!H306-'d3-П'!H303</f>
        <v>0</v>
      </c>
      <c r="I306" s="840">
        <f>'d3'!I306-'d3-П'!I303</f>
        <v>0</v>
      </c>
      <c r="J306" s="840">
        <f>'d3'!J306-'d3-П'!J303</f>
        <v>0</v>
      </c>
      <c r="K306" s="840">
        <f>'d3'!K306-'d3-П'!K303</f>
        <v>0</v>
      </c>
      <c r="L306" s="840">
        <f>'d3'!L306-'d3-П'!L303</f>
        <v>0</v>
      </c>
      <c r="M306" s="840">
        <f>'d3'!M306-'d3-П'!M303</f>
        <v>0</v>
      </c>
      <c r="N306" s="840">
        <f>'d3'!N306-'d3-П'!N303</f>
        <v>0</v>
      </c>
      <c r="O306" s="840">
        <f>'d3'!O306-'d3-П'!O303</f>
        <v>0</v>
      </c>
      <c r="P306" s="840">
        <f>'d3'!P306-'d3-П'!P303</f>
        <v>-3593008</v>
      </c>
    </row>
    <row r="307" spans="1:16" ht="136.5" thickTop="1" thickBot="1" x14ac:dyDescent="0.25">
      <c r="A307" s="379" t="s">
        <v>985</v>
      </c>
      <c r="B307" s="379" t="s">
        <v>964</v>
      </c>
      <c r="C307" s="379"/>
      <c r="D307" s="379" t="s">
        <v>965</v>
      </c>
      <c r="E307" s="840">
        <f>'d3'!E307-'d3-П'!E304</f>
        <v>-3593008</v>
      </c>
      <c r="F307" s="840">
        <f>'d3'!F307-'d3-П'!F304</f>
        <v>-3593008</v>
      </c>
      <c r="G307" s="840">
        <f>'d3'!G307-'d3-П'!G304</f>
        <v>0</v>
      </c>
      <c r="H307" s="840">
        <f>'d3'!H307-'d3-П'!H304</f>
        <v>0</v>
      </c>
      <c r="I307" s="840">
        <f>'d3'!I307-'d3-П'!I304</f>
        <v>0</v>
      </c>
      <c r="J307" s="840">
        <f>'d3'!J307-'d3-П'!J304</f>
        <v>0</v>
      </c>
      <c r="K307" s="840">
        <f>'d3'!K307-'d3-П'!K304</f>
        <v>0</v>
      </c>
      <c r="L307" s="840">
        <f>'d3'!L307-'d3-П'!L304</f>
        <v>0</v>
      </c>
      <c r="M307" s="840">
        <f>'d3'!M307-'d3-П'!M304</f>
        <v>0</v>
      </c>
      <c r="N307" s="840">
        <f>'d3'!N307-'d3-П'!N304</f>
        <v>0</v>
      </c>
      <c r="O307" s="840">
        <f>'d3'!O307-'d3-П'!O304</f>
        <v>0</v>
      </c>
      <c r="P307" s="840">
        <f>'d3'!P307-'d3-П'!P304</f>
        <v>-3593008</v>
      </c>
    </row>
    <row r="308" spans="1:16" ht="138.75" hidden="1" thickTop="1" thickBot="1" x14ac:dyDescent="0.25">
      <c r="A308" s="345" t="s">
        <v>1334</v>
      </c>
      <c r="B308" s="345" t="s">
        <v>1335</v>
      </c>
      <c r="C308" s="345"/>
      <c r="D308" s="345" t="s">
        <v>1333</v>
      </c>
      <c r="E308" s="347"/>
      <c r="F308" s="347"/>
      <c r="G308" s="347"/>
      <c r="H308" s="347"/>
      <c r="I308" s="347"/>
      <c r="J308" s="347"/>
      <c r="K308" s="347"/>
      <c r="L308" s="347"/>
      <c r="M308" s="347"/>
      <c r="N308" s="347"/>
      <c r="O308" s="347"/>
      <c r="P308" s="347"/>
    </row>
    <row r="309" spans="1:16" ht="93" thickTop="1" thickBot="1" x14ac:dyDescent="0.25">
      <c r="A309" s="843" t="s">
        <v>504</v>
      </c>
      <c r="B309" s="843" t="s">
        <v>440</v>
      </c>
      <c r="C309" s="843" t="s">
        <v>441</v>
      </c>
      <c r="D309" s="843" t="s">
        <v>442</v>
      </c>
      <c r="E309" s="859">
        <f>'d3'!E309-'d3-П'!E306</f>
        <v>-2093008</v>
      </c>
      <c r="F309" s="859">
        <f>'d3'!F309-'d3-П'!F306</f>
        <v>-2093008</v>
      </c>
      <c r="G309" s="859">
        <f>'d3'!G309-'d3-П'!G306</f>
        <v>0</v>
      </c>
      <c r="H309" s="859">
        <f>'d3'!H309-'d3-П'!H306</f>
        <v>0</v>
      </c>
      <c r="I309" s="859">
        <f>'d3'!I309-'d3-П'!I306</f>
        <v>0</v>
      </c>
      <c r="J309" s="859">
        <f>'d3'!J309-'d3-П'!J306</f>
        <v>0</v>
      </c>
      <c r="K309" s="859">
        <f>'d3'!K309-'d3-П'!K306</f>
        <v>0</v>
      </c>
      <c r="L309" s="859">
        <f>'d3'!L309-'d3-П'!L306</f>
        <v>0</v>
      </c>
      <c r="M309" s="859">
        <f>'d3'!M309-'d3-П'!M306</f>
        <v>0</v>
      </c>
      <c r="N309" s="859">
        <f>'d3'!N309-'d3-П'!N306</f>
        <v>0</v>
      </c>
      <c r="O309" s="859">
        <f>'d3'!O309-'d3-П'!O306</f>
        <v>0</v>
      </c>
      <c r="P309" s="859">
        <f>'d3'!P309-'d3-П'!P306</f>
        <v>-2093008</v>
      </c>
    </row>
    <row r="310" spans="1:16" ht="138.75" thickTop="1" thickBot="1" x14ac:dyDescent="0.25">
      <c r="A310" s="345" t="s">
        <v>986</v>
      </c>
      <c r="B310" s="345" t="s">
        <v>987</v>
      </c>
      <c r="C310" s="345"/>
      <c r="D310" s="345" t="s">
        <v>988</v>
      </c>
      <c r="E310" s="840">
        <f>'d3'!E310-'d3-П'!E307</f>
        <v>-1500000</v>
      </c>
      <c r="F310" s="840">
        <f>'d3'!F310-'d3-П'!F307</f>
        <v>-1500000</v>
      </c>
      <c r="G310" s="840">
        <f>'d3'!G310-'d3-П'!G307</f>
        <v>0</v>
      </c>
      <c r="H310" s="840">
        <f>'d3'!H310-'d3-П'!H307</f>
        <v>0</v>
      </c>
      <c r="I310" s="840">
        <f>'d3'!I310-'d3-П'!I307</f>
        <v>0</v>
      </c>
      <c r="J310" s="840">
        <f>'d3'!J310-'d3-П'!J307</f>
        <v>0</v>
      </c>
      <c r="K310" s="840">
        <f>'d3'!K310-'d3-П'!K307</f>
        <v>0</v>
      </c>
      <c r="L310" s="840">
        <f>'d3'!L310-'d3-П'!L307</f>
        <v>0</v>
      </c>
      <c r="M310" s="840">
        <f>'d3'!M310-'d3-П'!M307</f>
        <v>0</v>
      </c>
      <c r="N310" s="840">
        <f>'d3'!N310-'d3-П'!N307</f>
        <v>0</v>
      </c>
      <c r="O310" s="840">
        <f>'d3'!O310-'d3-П'!O307</f>
        <v>0</v>
      </c>
      <c r="P310" s="840">
        <f>'d3'!P310-'d3-П'!P307</f>
        <v>-1500000</v>
      </c>
    </row>
    <row r="311" spans="1:16" ht="93" thickTop="1" thickBot="1" x14ac:dyDescent="0.25">
      <c r="A311" s="843" t="s">
        <v>505</v>
      </c>
      <c r="B311" s="843" t="s">
        <v>309</v>
      </c>
      <c r="C311" s="843" t="s">
        <v>311</v>
      </c>
      <c r="D311" s="843" t="s">
        <v>310</v>
      </c>
      <c r="E311" s="840">
        <f>'d3'!E311-'d3-П'!E308</f>
        <v>-1500000</v>
      </c>
      <c r="F311" s="840">
        <f>'d3'!F311-'d3-П'!F308</f>
        <v>-1500000</v>
      </c>
      <c r="G311" s="840">
        <f>'d3'!G311-'d3-П'!G308</f>
        <v>0</v>
      </c>
      <c r="H311" s="840">
        <f>'d3'!H311-'d3-П'!H308</f>
        <v>0</v>
      </c>
      <c r="I311" s="840">
        <f>'d3'!I311-'d3-П'!I308</f>
        <v>0</v>
      </c>
      <c r="J311" s="840">
        <f>'d3'!J311-'d3-П'!J308</f>
        <v>0</v>
      </c>
      <c r="K311" s="840">
        <f>'d3'!K311-'d3-П'!K308</f>
        <v>0</v>
      </c>
      <c r="L311" s="840">
        <f>'d3'!L311-'d3-П'!L308</f>
        <v>0</v>
      </c>
      <c r="M311" s="840">
        <f>'d3'!M311-'d3-П'!M308</f>
        <v>0</v>
      </c>
      <c r="N311" s="840">
        <f>'d3'!N311-'d3-П'!N308</f>
        <v>0</v>
      </c>
      <c r="O311" s="840">
        <f>'d3'!O311-'d3-П'!O308</f>
        <v>0</v>
      </c>
      <c r="P311" s="840">
        <f>'d3'!P311-'d3-П'!P308</f>
        <v>-1500000</v>
      </c>
    </row>
    <row r="312" spans="1:16" ht="93" thickTop="1" thickBot="1" x14ac:dyDescent="0.25">
      <c r="A312" s="843" t="s">
        <v>1462</v>
      </c>
      <c r="B312" s="843" t="s">
        <v>1463</v>
      </c>
      <c r="C312" s="843" t="s">
        <v>314</v>
      </c>
      <c r="D312" s="843" t="s">
        <v>1461</v>
      </c>
      <c r="E312" s="840">
        <f>'d3'!E312-'d3-П'!E309</f>
        <v>0</v>
      </c>
      <c r="F312" s="840">
        <f>'d3'!F312-'d3-П'!F309</f>
        <v>0</v>
      </c>
      <c r="G312" s="840">
        <f>'d3'!G312-'d3-П'!G309</f>
        <v>0</v>
      </c>
      <c r="H312" s="840">
        <f>'d3'!H312-'d3-П'!H309</f>
        <v>0</v>
      </c>
      <c r="I312" s="840">
        <f>'d3'!I312-'d3-П'!I309</f>
        <v>0</v>
      </c>
      <c r="J312" s="840">
        <f>'d3'!J312-'d3-П'!J309</f>
        <v>0</v>
      </c>
      <c r="K312" s="840">
        <f>'d3'!K312-'d3-П'!K309</f>
        <v>0</v>
      </c>
      <c r="L312" s="840">
        <f>'d3'!L312-'d3-П'!L309</f>
        <v>0</v>
      </c>
      <c r="M312" s="840">
        <f>'d3'!M312-'d3-П'!M309</f>
        <v>0</v>
      </c>
      <c r="N312" s="840">
        <f>'d3'!N312-'d3-П'!N309</f>
        <v>0</v>
      </c>
      <c r="O312" s="840">
        <f>'d3'!O312-'d3-П'!O309</f>
        <v>0</v>
      </c>
      <c r="P312" s="840">
        <f>'d3'!P312-'d3-П'!P309</f>
        <v>0</v>
      </c>
    </row>
    <row r="313" spans="1:16" ht="136.5" thickTop="1" thickBot="1" x14ac:dyDescent="0.25">
      <c r="A313" s="825" t="s">
        <v>180</v>
      </c>
      <c r="B313" s="825"/>
      <c r="C313" s="825"/>
      <c r="D313" s="826" t="s">
        <v>380</v>
      </c>
      <c r="E313" s="827">
        <f>E314</f>
        <v>-795643</v>
      </c>
      <c r="F313" s="828">
        <f t="shared" ref="F313:G313" si="62">F314</f>
        <v>-795643</v>
      </c>
      <c r="G313" s="828">
        <f t="shared" si="62"/>
        <v>0</v>
      </c>
      <c r="H313" s="828">
        <f>H314</f>
        <v>0</v>
      </c>
      <c r="I313" s="828">
        <f t="shared" ref="I313" si="63">I314</f>
        <v>0</v>
      </c>
      <c r="J313" s="827">
        <f>J314</f>
        <v>0</v>
      </c>
      <c r="K313" s="828">
        <f>K314</f>
        <v>0</v>
      </c>
      <c r="L313" s="828">
        <f>L314</f>
        <v>0</v>
      </c>
      <c r="M313" s="828">
        <f t="shared" ref="M313" si="64">M314</f>
        <v>0</v>
      </c>
      <c r="N313" s="828">
        <f>N314</f>
        <v>0</v>
      </c>
      <c r="O313" s="827">
        <f>O314</f>
        <v>0</v>
      </c>
      <c r="P313" s="828">
        <f t="shared" ref="P313" si="65">P314</f>
        <v>-795643</v>
      </c>
    </row>
    <row r="314" spans="1:16" ht="136.5" thickTop="1" thickBot="1" x14ac:dyDescent="0.25">
      <c r="A314" s="829" t="s">
        <v>181</v>
      </c>
      <c r="B314" s="829"/>
      <c r="C314" s="829"/>
      <c r="D314" s="830" t="s">
        <v>381</v>
      </c>
      <c r="E314" s="831">
        <f>E315+E323</f>
        <v>-795643</v>
      </c>
      <c r="F314" s="831">
        <f>F315+F323</f>
        <v>-795643</v>
      </c>
      <c r="G314" s="831">
        <f t="shared" ref="G314:O314" si="66">G315+G323</f>
        <v>0</v>
      </c>
      <c r="H314" s="831">
        <f t="shared" si="66"/>
        <v>0</v>
      </c>
      <c r="I314" s="831">
        <f t="shared" si="66"/>
        <v>0</v>
      </c>
      <c r="J314" s="831">
        <f t="shared" ref="J314" si="67">L314+O314</f>
        <v>0</v>
      </c>
      <c r="K314" s="831">
        <f t="shared" si="66"/>
        <v>0</v>
      </c>
      <c r="L314" s="831">
        <f t="shared" si="66"/>
        <v>0</v>
      </c>
      <c r="M314" s="831">
        <f t="shared" si="66"/>
        <v>0</v>
      </c>
      <c r="N314" s="831">
        <f t="shared" si="66"/>
        <v>0</v>
      </c>
      <c r="O314" s="831">
        <f t="shared" si="66"/>
        <v>0</v>
      </c>
      <c r="P314" s="831">
        <f t="shared" ref="P314" si="68">E314+J314</f>
        <v>-795643</v>
      </c>
    </row>
    <row r="315" spans="1:16" ht="47.25" thickTop="1" thickBot="1" x14ac:dyDescent="0.25">
      <c r="A315" s="422" t="s">
        <v>989</v>
      </c>
      <c r="B315" s="422" t="s">
        <v>905</v>
      </c>
      <c r="C315" s="843"/>
      <c r="D315" s="422" t="s">
        <v>952</v>
      </c>
      <c r="E315" s="840">
        <f>'d3'!E315-'d3-П'!E312</f>
        <v>-795643</v>
      </c>
      <c r="F315" s="840">
        <f>'d3'!F315-'d3-П'!F312</f>
        <v>-795643</v>
      </c>
      <c r="G315" s="840">
        <f>'d3'!G315-'d3-П'!G312</f>
        <v>0</v>
      </c>
      <c r="H315" s="840">
        <f>'d3'!H315-'d3-П'!H312</f>
        <v>0</v>
      </c>
      <c r="I315" s="840">
        <f>'d3'!I315-'d3-П'!I312</f>
        <v>0</v>
      </c>
      <c r="J315" s="840">
        <f>'d3'!J315-'d3-П'!J312</f>
        <v>0</v>
      </c>
      <c r="K315" s="840">
        <f>'d3'!K315-'d3-П'!K312</f>
        <v>0</v>
      </c>
      <c r="L315" s="840">
        <f>'d3'!L315-'d3-П'!L312</f>
        <v>0</v>
      </c>
      <c r="M315" s="840">
        <f>'d3'!M315-'d3-П'!M312</f>
        <v>0</v>
      </c>
      <c r="N315" s="840">
        <f>'d3'!N315-'d3-П'!N312</f>
        <v>0</v>
      </c>
      <c r="O315" s="840">
        <f>'d3'!O315-'d3-П'!O312</f>
        <v>0</v>
      </c>
      <c r="P315" s="840">
        <f>'d3'!P315-'d3-П'!P312</f>
        <v>-795643</v>
      </c>
    </row>
    <row r="316" spans="1:16" ht="91.5" thickTop="1" thickBot="1" x14ac:dyDescent="0.25">
      <c r="A316" s="379" t="s">
        <v>1331</v>
      </c>
      <c r="B316" s="379" t="s">
        <v>961</v>
      </c>
      <c r="C316" s="379"/>
      <c r="D316" s="379" t="s">
        <v>962</v>
      </c>
      <c r="E316" s="840">
        <f>'d3'!E316-'d3-П'!E313</f>
        <v>-45643</v>
      </c>
      <c r="F316" s="840">
        <f>'d3'!F316-'d3-П'!F313</f>
        <v>-45643</v>
      </c>
      <c r="G316" s="840">
        <f>'d3'!G316-'d3-П'!G313</f>
        <v>0</v>
      </c>
      <c r="H316" s="840">
        <f>'d3'!H316-'d3-П'!H313</f>
        <v>0</v>
      </c>
      <c r="I316" s="840">
        <f>'d3'!I316-'d3-П'!I313</f>
        <v>0</v>
      </c>
      <c r="J316" s="840">
        <f>'d3'!J316-'d3-П'!J313</f>
        <v>0</v>
      </c>
      <c r="K316" s="840">
        <f>'d3'!K316-'d3-П'!K313</f>
        <v>0</v>
      </c>
      <c r="L316" s="840">
        <f>'d3'!L316-'d3-П'!L313</f>
        <v>0</v>
      </c>
      <c r="M316" s="840">
        <f>'d3'!M316-'d3-П'!M313</f>
        <v>0</v>
      </c>
      <c r="N316" s="840">
        <f>'d3'!N316-'d3-П'!N313</f>
        <v>0</v>
      </c>
      <c r="O316" s="840">
        <f>'d3'!O316-'d3-П'!O313</f>
        <v>0</v>
      </c>
      <c r="P316" s="840">
        <f>'d3'!P316-'d3-П'!P313</f>
        <v>-45643</v>
      </c>
    </row>
    <row r="317" spans="1:16" ht="138.75" thickTop="1" thickBot="1" x14ac:dyDescent="0.25">
      <c r="A317" s="843" t="s">
        <v>1332</v>
      </c>
      <c r="B317" s="843" t="s">
        <v>376</v>
      </c>
      <c r="C317" s="843" t="s">
        <v>184</v>
      </c>
      <c r="D317" s="843" t="s">
        <v>280</v>
      </c>
      <c r="E317" s="840">
        <f>'d3'!E317-'d3-П'!E314</f>
        <v>-45643</v>
      </c>
      <c r="F317" s="840">
        <f>'d3'!F317-'d3-П'!F314</f>
        <v>-45643</v>
      </c>
      <c r="G317" s="840">
        <f>'d3'!G317-'d3-П'!G314</f>
        <v>0</v>
      </c>
      <c r="H317" s="840">
        <f>'d3'!H317-'d3-П'!H314</f>
        <v>0</v>
      </c>
      <c r="I317" s="840">
        <f>'d3'!I317-'d3-П'!I314</f>
        <v>0</v>
      </c>
      <c r="J317" s="840">
        <f>'d3'!J317-'d3-П'!J314</f>
        <v>0</v>
      </c>
      <c r="K317" s="840">
        <f>'d3'!K317-'d3-П'!K314</f>
        <v>0</v>
      </c>
      <c r="L317" s="840">
        <f>'d3'!L317-'d3-П'!L314</f>
        <v>0</v>
      </c>
      <c r="M317" s="840">
        <f>'d3'!M317-'d3-П'!M314</f>
        <v>0</v>
      </c>
      <c r="N317" s="840">
        <f>'d3'!N317-'d3-П'!N314</f>
        <v>0</v>
      </c>
      <c r="O317" s="840">
        <f>'d3'!O317-'d3-П'!O314</f>
        <v>0</v>
      </c>
      <c r="P317" s="840">
        <f>'d3'!P317-'d3-П'!P314</f>
        <v>-45643</v>
      </c>
    </row>
    <row r="318" spans="1:16" ht="136.5" thickTop="1" thickBot="1" x14ac:dyDescent="0.25">
      <c r="A318" s="379" t="s">
        <v>990</v>
      </c>
      <c r="B318" s="379" t="s">
        <v>847</v>
      </c>
      <c r="C318" s="379"/>
      <c r="D318" s="379" t="s">
        <v>845</v>
      </c>
      <c r="E318" s="840">
        <f>'d3'!E318-'d3-П'!E315</f>
        <v>-750000</v>
      </c>
      <c r="F318" s="840">
        <f>'d3'!F318-'d3-П'!F315</f>
        <v>-750000</v>
      </c>
      <c r="G318" s="840">
        <f>'d3'!G318-'d3-П'!G315</f>
        <v>0</v>
      </c>
      <c r="H318" s="840">
        <f>'d3'!H318-'d3-П'!H315</f>
        <v>0</v>
      </c>
      <c r="I318" s="840">
        <f>'d3'!I318-'d3-П'!I315</f>
        <v>0</v>
      </c>
      <c r="J318" s="840">
        <f>'d3'!J318-'d3-П'!J315</f>
        <v>0</v>
      </c>
      <c r="K318" s="840">
        <f>'d3'!K318-'d3-П'!K315</f>
        <v>0</v>
      </c>
      <c r="L318" s="840">
        <f>'d3'!L318-'d3-П'!L315</f>
        <v>0</v>
      </c>
      <c r="M318" s="840">
        <f>'d3'!M318-'d3-П'!M315</f>
        <v>0</v>
      </c>
      <c r="N318" s="840">
        <f>'d3'!N318-'d3-П'!N315</f>
        <v>0</v>
      </c>
      <c r="O318" s="840">
        <f>'d3'!O318-'d3-П'!O315</f>
        <v>0</v>
      </c>
      <c r="P318" s="840">
        <f>'d3'!P318-'d3-П'!P315</f>
        <v>-750000</v>
      </c>
    </row>
    <row r="319" spans="1:16" ht="93" thickTop="1" thickBot="1" x14ac:dyDescent="0.25">
      <c r="A319" s="843" t="s">
        <v>278</v>
      </c>
      <c r="B319" s="843" t="s">
        <v>279</v>
      </c>
      <c r="C319" s="843" t="s">
        <v>277</v>
      </c>
      <c r="D319" s="843" t="s">
        <v>276</v>
      </c>
      <c r="E319" s="840">
        <f>'d3'!E319-'d3-П'!E316</f>
        <v>-750000</v>
      </c>
      <c r="F319" s="840">
        <f>'d3'!F319-'d3-П'!F316</f>
        <v>-750000</v>
      </c>
      <c r="G319" s="840">
        <f>'d3'!G319-'d3-П'!G316</f>
        <v>0</v>
      </c>
      <c r="H319" s="840">
        <f>'d3'!H319-'d3-П'!H316</f>
        <v>0</v>
      </c>
      <c r="I319" s="840">
        <f>'d3'!I319-'d3-П'!I316</f>
        <v>0</v>
      </c>
      <c r="J319" s="840">
        <f>'d3'!J319-'d3-П'!J316</f>
        <v>0</v>
      </c>
      <c r="K319" s="840">
        <f>'d3'!K319-'d3-П'!K316</f>
        <v>0</v>
      </c>
      <c r="L319" s="840">
        <f>'d3'!L319-'d3-П'!L316</f>
        <v>0</v>
      </c>
      <c r="M319" s="840">
        <f>'d3'!M319-'d3-П'!M316</f>
        <v>0</v>
      </c>
      <c r="N319" s="840">
        <f>'d3'!N319-'d3-П'!N316</f>
        <v>0</v>
      </c>
      <c r="O319" s="840">
        <f>'d3'!O319-'d3-П'!O316</f>
        <v>0</v>
      </c>
      <c r="P319" s="840">
        <f>'d3'!P319-'d3-П'!P316</f>
        <v>-750000</v>
      </c>
    </row>
    <row r="320" spans="1:16" ht="138.75" thickTop="1" thickBot="1" x14ac:dyDescent="0.25">
      <c r="A320" s="843" t="s">
        <v>270</v>
      </c>
      <c r="B320" s="843" t="s">
        <v>272</v>
      </c>
      <c r="C320" s="843" t="s">
        <v>231</v>
      </c>
      <c r="D320" s="843" t="s">
        <v>271</v>
      </c>
      <c r="E320" s="840">
        <f>'d3'!E320-'d3-П'!E317</f>
        <v>0</v>
      </c>
      <c r="F320" s="840">
        <f>'d3'!F320-'d3-П'!F317</f>
        <v>0</v>
      </c>
      <c r="G320" s="840">
        <f>'d3'!G320-'d3-П'!G317</f>
        <v>0</v>
      </c>
      <c r="H320" s="840">
        <f>'d3'!H320-'d3-П'!H317</f>
        <v>0</v>
      </c>
      <c r="I320" s="840">
        <f>'d3'!I320-'d3-П'!I317</f>
        <v>0</v>
      </c>
      <c r="J320" s="840">
        <f>'d3'!J320-'d3-П'!J317</f>
        <v>0</v>
      </c>
      <c r="K320" s="840">
        <f>'d3'!K320-'d3-П'!K317</f>
        <v>0</v>
      </c>
      <c r="L320" s="840">
        <f>'d3'!L320-'d3-П'!L317</f>
        <v>0</v>
      </c>
      <c r="M320" s="840">
        <f>'d3'!M320-'d3-П'!M317</f>
        <v>0</v>
      </c>
      <c r="N320" s="840">
        <f>'d3'!N320-'d3-П'!N317</f>
        <v>0</v>
      </c>
      <c r="O320" s="840">
        <f>'d3'!O320-'d3-П'!O317</f>
        <v>0</v>
      </c>
      <c r="P320" s="840">
        <f>'d3'!P320-'d3-П'!P317</f>
        <v>0</v>
      </c>
    </row>
    <row r="321" spans="1:16" ht="47.25" thickTop="1" thickBot="1" x14ac:dyDescent="0.25">
      <c r="A321" s="345" t="s">
        <v>991</v>
      </c>
      <c r="B321" s="345" t="s">
        <v>850</v>
      </c>
      <c r="C321" s="345"/>
      <c r="D321" s="345" t="s">
        <v>848</v>
      </c>
      <c r="E321" s="840">
        <f>'d3'!E321-'d3-П'!E318</f>
        <v>0</v>
      </c>
      <c r="F321" s="840">
        <f>'d3'!F321-'d3-П'!F318</f>
        <v>0</v>
      </c>
      <c r="G321" s="840">
        <f>'d3'!G321-'d3-П'!G318</f>
        <v>0</v>
      </c>
      <c r="H321" s="840">
        <f>'d3'!H321-'d3-П'!H318</f>
        <v>0</v>
      </c>
      <c r="I321" s="840">
        <f>'d3'!I321-'d3-П'!I318</f>
        <v>0</v>
      </c>
      <c r="J321" s="840">
        <f>'d3'!J321-'d3-П'!J318</f>
        <v>0</v>
      </c>
      <c r="K321" s="840">
        <f>'d3'!K321-'d3-П'!K318</f>
        <v>0</v>
      </c>
      <c r="L321" s="840">
        <f>'d3'!L321-'d3-П'!L318</f>
        <v>0</v>
      </c>
      <c r="M321" s="840">
        <f>'d3'!M321-'d3-П'!M318</f>
        <v>0</v>
      </c>
      <c r="N321" s="840">
        <f>'d3'!N321-'d3-П'!N318</f>
        <v>0</v>
      </c>
      <c r="O321" s="840">
        <f>'d3'!O321-'d3-П'!O318</f>
        <v>0</v>
      </c>
      <c r="P321" s="840">
        <f>'d3'!P321-'d3-П'!P318</f>
        <v>0</v>
      </c>
    </row>
    <row r="322" spans="1:16" ht="93" thickTop="1" thickBot="1" x14ac:dyDescent="0.25">
      <c r="A322" s="843" t="s">
        <v>274</v>
      </c>
      <c r="B322" s="843" t="s">
        <v>275</v>
      </c>
      <c r="C322" s="843" t="s">
        <v>184</v>
      </c>
      <c r="D322" s="843" t="s">
        <v>273</v>
      </c>
      <c r="E322" s="840">
        <f>'d3'!E322-'d3-П'!E319</f>
        <v>0</v>
      </c>
      <c r="F322" s="840">
        <f>'d3'!F322-'d3-П'!F319</f>
        <v>0</v>
      </c>
      <c r="G322" s="840">
        <f>'d3'!G322-'d3-П'!G319</f>
        <v>0</v>
      </c>
      <c r="H322" s="840">
        <f>'d3'!H322-'d3-П'!H319</f>
        <v>0</v>
      </c>
      <c r="I322" s="840">
        <f>'d3'!I322-'d3-П'!I319</f>
        <v>0</v>
      </c>
      <c r="J322" s="840">
        <f>'d3'!J322-'d3-П'!J319</f>
        <v>0</v>
      </c>
      <c r="K322" s="840">
        <f>'d3'!K322-'d3-П'!K319</f>
        <v>0</v>
      </c>
      <c r="L322" s="840">
        <f>'d3'!L322-'d3-П'!L319</f>
        <v>0</v>
      </c>
      <c r="M322" s="840">
        <f>'d3'!M322-'d3-П'!M319</f>
        <v>0</v>
      </c>
      <c r="N322" s="840">
        <f>'d3'!N322-'d3-П'!N319</f>
        <v>0</v>
      </c>
      <c r="O322" s="840">
        <f>'d3'!O322-'d3-П'!O319</f>
        <v>0</v>
      </c>
      <c r="P322" s="840">
        <f>'d3'!P322-'d3-П'!P319</f>
        <v>0</v>
      </c>
    </row>
    <row r="323" spans="1:16" ht="47.25" thickTop="1" thickBot="1" x14ac:dyDescent="0.25">
      <c r="A323" s="422" t="s">
        <v>1099</v>
      </c>
      <c r="B323" s="422" t="s">
        <v>858</v>
      </c>
      <c r="C323" s="422"/>
      <c r="D323" s="422" t="s">
        <v>859</v>
      </c>
      <c r="E323" s="840">
        <f>'d3'!E323-'d3-П'!E320</f>
        <v>0</v>
      </c>
      <c r="F323" s="840">
        <f>'d3'!F323-'d3-П'!F320</f>
        <v>0</v>
      </c>
      <c r="G323" s="840">
        <f>'d3'!G323-'d3-П'!G320</f>
        <v>0</v>
      </c>
      <c r="H323" s="840">
        <f>'d3'!H323-'d3-П'!H320</f>
        <v>0</v>
      </c>
      <c r="I323" s="840">
        <f>'d3'!I323-'d3-П'!I320</f>
        <v>0</v>
      </c>
      <c r="J323" s="840">
        <f>'d3'!J323-'d3-П'!J320</f>
        <v>0</v>
      </c>
      <c r="K323" s="840">
        <f>'d3'!K323-'d3-П'!K320</f>
        <v>0</v>
      </c>
      <c r="L323" s="840">
        <f>'d3'!L323-'d3-П'!L320</f>
        <v>0</v>
      </c>
      <c r="M323" s="840">
        <f>'d3'!M323-'d3-П'!M320</f>
        <v>0</v>
      </c>
      <c r="N323" s="840">
        <f>'d3'!N323-'d3-П'!N320</f>
        <v>0</v>
      </c>
      <c r="O323" s="840">
        <f>'d3'!O323-'d3-П'!O320</f>
        <v>0</v>
      </c>
      <c r="P323" s="840">
        <f>'d3'!P323-'d3-П'!P320</f>
        <v>0</v>
      </c>
    </row>
    <row r="324" spans="1:16" ht="271.5" thickTop="1" thickBot="1" x14ac:dyDescent="0.25">
      <c r="A324" s="379" t="s">
        <v>1100</v>
      </c>
      <c r="B324" s="379" t="s">
        <v>861</v>
      </c>
      <c r="C324" s="379"/>
      <c r="D324" s="379" t="s">
        <v>862</v>
      </c>
      <c r="E324" s="840">
        <f>'d3'!E324-'d3-П'!E321</f>
        <v>0</v>
      </c>
      <c r="F324" s="840">
        <f>'d3'!F324-'d3-П'!F321</f>
        <v>0</v>
      </c>
      <c r="G324" s="840">
        <f>'d3'!G324-'d3-П'!G321</f>
        <v>0</v>
      </c>
      <c r="H324" s="840">
        <f>'d3'!H324-'d3-П'!H321</f>
        <v>0</v>
      </c>
      <c r="I324" s="840">
        <f>'d3'!I324-'d3-П'!I321</f>
        <v>0</v>
      </c>
      <c r="J324" s="840">
        <f>'d3'!J324-'d3-П'!J321</f>
        <v>0</v>
      </c>
      <c r="K324" s="840">
        <f>'d3'!K324-'d3-П'!K321</f>
        <v>0</v>
      </c>
      <c r="L324" s="840">
        <f>'d3'!L324-'d3-П'!L321</f>
        <v>0</v>
      </c>
      <c r="M324" s="840">
        <f>'d3'!M324-'d3-П'!M321</f>
        <v>0</v>
      </c>
      <c r="N324" s="840">
        <f>'d3'!N324-'d3-П'!N321</f>
        <v>0</v>
      </c>
      <c r="O324" s="840">
        <f>'d3'!O324-'d3-П'!O321</f>
        <v>0</v>
      </c>
      <c r="P324" s="840">
        <f>'d3'!P324-'d3-П'!P321</f>
        <v>0</v>
      </c>
    </row>
    <row r="325" spans="1:16" ht="93" thickTop="1" thickBot="1" x14ac:dyDescent="0.25">
      <c r="A325" s="843" t="s">
        <v>1101</v>
      </c>
      <c r="B325" s="843" t="s">
        <v>389</v>
      </c>
      <c r="C325" s="843" t="s">
        <v>45</v>
      </c>
      <c r="D325" s="843" t="s">
        <v>390</v>
      </c>
      <c r="E325" s="840">
        <f>'d3'!E325-'d3-П'!E322</f>
        <v>0</v>
      </c>
      <c r="F325" s="840">
        <f>'d3'!F325-'d3-П'!F322</f>
        <v>0</v>
      </c>
      <c r="G325" s="840">
        <f>'d3'!G325-'d3-П'!G322</f>
        <v>0</v>
      </c>
      <c r="H325" s="840">
        <f>'d3'!H325-'d3-П'!H322</f>
        <v>0</v>
      </c>
      <c r="I325" s="840">
        <f>'d3'!I325-'d3-П'!I322</f>
        <v>0</v>
      </c>
      <c r="J325" s="840">
        <f>'d3'!J325-'d3-П'!J322</f>
        <v>0</v>
      </c>
      <c r="K325" s="840">
        <f>'d3'!K325-'d3-П'!K322</f>
        <v>0</v>
      </c>
      <c r="L325" s="840">
        <f>'d3'!L325-'d3-П'!L322</f>
        <v>0</v>
      </c>
      <c r="M325" s="840">
        <f>'d3'!M325-'d3-П'!M322</f>
        <v>0</v>
      </c>
      <c r="N325" s="840">
        <f>'d3'!N325-'d3-П'!N322</f>
        <v>0</v>
      </c>
      <c r="O325" s="840">
        <f>'d3'!O325-'d3-П'!O322</f>
        <v>0</v>
      </c>
      <c r="P325" s="840">
        <f>'d3'!P325-'d3-П'!P322</f>
        <v>0</v>
      </c>
    </row>
    <row r="326" spans="1:16" ht="226.5" thickTop="1" thickBot="1" x14ac:dyDescent="0.25">
      <c r="A326" s="825" t="s">
        <v>178</v>
      </c>
      <c r="B326" s="825"/>
      <c r="C326" s="825"/>
      <c r="D326" s="826" t="s">
        <v>1058</v>
      </c>
      <c r="E326" s="827">
        <f>E327</f>
        <v>67000</v>
      </c>
      <c r="F326" s="828">
        <f t="shared" ref="F326:G326" si="69">F327</f>
        <v>67000</v>
      </c>
      <c r="G326" s="828">
        <f t="shared" si="69"/>
        <v>67000</v>
      </c>
      <c r="H326" s="828">
        <f>H327</f>
        <v>0</v>
      </c>
      <c r="I326" s="828">
        <f t="shared" ref="I326" si="70">I327</f>
        <v>0</v>
      </c>
      <c r="J326" s="827">
        <f>J327</f>
        <v>0</v>
      </c>
      <c r="K326" s="828">
        <f>K327</f>
        <v>0</v>
      </c>
      <c r="L326" s="828">
        <f>L327</f>
        <v>0</v>
      </c>
      <c r="M326" s="828">
        <f t="shared" ref="M326" si="71">M327</f>
        <v>0</v>
      </c>
      <c r="N326" s="828">
        <f>N327</f>
        <v>0</v>
      </c>
      <c r="O326" s="827">
        <f>O327</f>
        <v>0</v>
      </c>
      <c r="P326" s="828">
        <f t="shared" ref="P326" si="72">P327</f>
        <v>67000</v>
      </c>
    </row>
    <row r="327" spans="1:16" ht="226.5" thickTop="1" thickBot="1" x14ac:dyDescent="0.25">
      <c r="A327" s="829" t="s">
        <v>179</v>
      </c>
      <c r="B327" s="829"/>
      <c r="C327" s="829"/>
      <c r="D327" s="830" t="s">
        <v>1057</v>
      </c>
      <c r="E327" s="831">
        <f>E328+E331</f>
        <v>67000</v>
      </c>
      <c r="F327" s="831">
        <f t="shared" ref="F327:I327" si="73">F328+F331</f>
        <v>67000</v>
      </c>
      <c r="G327" s="831">
        <f t="shared" si="73"/>
        <v>67000</v>
      </c>
      <c r="H327" s="831">
        <f t="shared" si="73"/>
        <v>0</v>
      </c>
      <c r="I327" s="831">
        <f t="shared" si="73"/>
        <v>0</v>
      </c>
      <c r="J327" s="831">
        <f>L327+O327</f>
        <v>0</v>
      </c>
      <c r="K327" s="831">
        <f t="shared" ref="K327:O327" si="74">K328+K331</f>
        <v>0</v>
      </c>
      <c r="L327" s="831">
        <f t="shared" si="74"/>
        <v>0</v>
      </c>
      <c r="M327" s="831">
        <f t="shared" si="74"/>
        <v>0</v>
      </c>
      <c r="N327" s="831">
        <f t="shared" si="74"/>
        <v>0</v>
      </c>
      <c r="O327" s="831">
        <f t="shared" si="74"/>
        <v>0</v>
      </c>
      <c r="P327" s="831">
        <f t="shared" ref="P327" si="75">E327+J327</f>
        <v>67000</v>
      </c>
    </row>
    <row r="328" spans="1:16" ht="47.25" thickTop="1" thickBot="1" x14ac:dyDescent="0.25">
      <c r="A328" s="422" t="s">
        <v>992</v>
      </c>
      <c r="B328" s="422" t="s">
        <v>840</v>
      </c>
      <c r="C328" s="422"/>
      <c r="D328" s="422" t="s">
        <v>841</v>
      </c>
      <c r="E328" s="840">
        <f>'d3'!E328-'d3-П'!E325</f>
        <v>67000</v>
      </c>
      <c r="F328" s="840">
        <f>'d3'!F328-'d3-П'!F325</f>
        <v>67000</v>
      </c>
      <c r="G328" s="840">
        <f>'d3'!G328-'d3-П'!G325</f>
        <v>67000</v>
      </c>
      <c r="H328" s="840">
        <f>'d3'!H328-'d3-П'!H325</f>
        <v>0</v>
      </c>
      <c r="I328" s="840">
        <f>'d3'!I328-'d3-П'!I325</f>
        <v>0</v>
      </c>
      <c r="J328" s="840">
        <f>'d3'!J328-'d3-П'!J325</f>
        <v>0</v>
      </c>
      <c r="K328" s="840">
        <f>'d3'!K328-'d3-П'!K325</f>
        <v>0</v>
      </c>
      <c r="L328" s="840">
        <f>'d3'!L328-'d3-П'!L325</f>
        <v>0</v>
      </c>
      <c r="M328" s="840">
        <f>'d3'!M328-'d3-П'!M325</f>
        <v>0</v>
      </c>
      <c r="N328" s="840">
        <f>'d3'!N328-'d3-П'!N325</f>
        <v>0</v>
      </c>
      <c r="O328" s="840">
        <f>'d3'!O328-'d3-П'!O325</f>
        <v>0</v>
      </c>
      <c r="P328" s="840">
        <f>'d3'!P328-'d3-П'!P325</f>
        <v>67000</v>
      </c>
    </row>
    <row r="329" spans="1:16" s="99" customFormat="1" ht="230.25" thickTop="1" thickBot="1" x14ac:dyDescent="0.25">
      <c r="A329" s="843" t="s">
        <v>450</v>
      </c>
      <c r="B329" s="843" t="s">
        <v>254</v>
      </c>
      <c r="C329" s="843" t="s">
        <v>252</v>
      </c>
      <c r="D329" s="843" t="s">
        <v>253</v>
      </c>
      <c r="E329" s="840">
        <f>'d3'!E329-'d3-П'!E326</f>
        <v>67000</v>
      </c>
      <c r="F329" s="840">
        <f>'d3'!F329-'d3-П'!F326</f>
        <v>67000</v>
      </c>
      <c r="G329" s="840">
        <f>'d3'!G329-'d3-П'!G326</f>
        <v>67000</v>
      </c>
      <c r="H329" s="840">
        <f>'d3'!H329-'d3-П'!H326</f>
        <v>0</v>
      </c>
      <c r="I329" s="840">
        <f>'d3'!I329-'d3-П'!I326</f>
        <v>0</v>
      </c>
      <c r="J329" s="840">
        <f>'d3'!J329-'d3-П'!J326</f>
        <v>0</v>
      </c>
      <c r="K329" s="840">
        <f>'d3'!K329-'d3-П'!K326</f>
        <v>0</v>
      </c>
      <c r="L329" s="840">
        <f>'d3'!L329-'d3-П'!L326</f>
        <v>0</v>
      </c>
      <c r="M329" s="840">
        <f>'d3'!M329-'d3-П'!M326</f>
        <v>0</v>
      </c>
      <c r="N329" s="840">
        <f>'d3'!N329-'d3-П'!N326</f>
        <v>0</v>
      </c>
      <c r="O329" s="840">
        <f>'d3'!O329-'d3-П'!O326</f>
        <v>0</v>
      </c>
      <c r="P329" s="840">
        <f>'d3'!P329-'d3-П'!P326</f>
        <v>67000</v>
      </c>
    </row>
    <row r="330" spans="1:16" s="99" customFormat="1" ht="184.5" thickTop="1" thickBot="1" x14ac:dyDescent="0.25">
      <c r="A330" s="843" t="s">
        <v>788</v>
      </c>
      <c r="B330" s="843" t="s">
        <v>388</v>
      </c>
      <c r="C330" s="843" t="s">
        <v>775</v>
      </c>
      <c r="D330" s="843" t="s">
        <v>776</v>
      </c>
      <c r="E330" s="840">
        <f>'d3'!E330-'d3-П'!E327</f>
        <v>0</v>
      </c>
      <c r="F330" s="840">
        <f>'d3'!F330-'d3-П'!F327</f>
        <v>0</v>
      </c>
      <c r="G330" s="840">
        <f>'d3'!G330-'d3-П'!G327</f>
        <v>0</v>
      </c>
      <c r="H330" s="840">
        <f>'d3'!H330-'d3-П'!H327</f>
        <v>0</v>
      </c>
      <c r="I330" s="840">
        <f>'d3'!I330-'d3-П'!I327</f>
        <v>0</v>
      </c>
      <c r="J330" s="840">
        <f>'d3'!J330-'d3-П'!J327</f>
        <v>0</v>
      </c>
      <c r="K330" s="840">
        <f>'d3'!K330-'d3-П'!K327</f>
        <v>0</v>
      </c>
      <c r="L330" s="840">
        <f>'d3'!L330-'d3-П'!L327</f>
        <v>0</v>
      </c>
      <c r="M330" s="840">
        <f>'d3'!M330-'d3-П'!M327</f>
        <v>0</v>
      </c>
      <c r="N330" s="840">
        <f>'d3'!N330-'d3-П'!N327</f>
        <v>0</v>
      </c>
      <c r="O330" s="840">
        <f>'d3'!O330-'d3-П'!O327</f>
        <v>0</v>
      </c>
      <c r="P330" s="840">
        <f>'d3'!P330-'d3-П'!P327</f>
        <v>0</v>
      </c>
    </row>
    <row r="331" spans="1:16" s="99" customFormat="1" ht="47.25" thickTop="1" thickBot="1" x14ac:dyDescent="0.25">
      <c r="A331" s="422" t="s">
        <v>993</v>
      </c>
      <c r="B331" s="422" t="s">
        <v>852</v>
      </c>
      <c r="C331" s="422"/>
      <c r="D331" s="422" t="s">
        <v>853</v>
      </c>
      <c r="E331" s="840">
        <f>'d3'!E331-'d3-П'!E328</f>
        <v>0</v>
      </c>
      <c r="F331" s="840">
        <f>'d3'!F331-'d3-П'!F328</f>
        <v>0</v>
      </c>
      <c r="G331" s="840">
        <f>'d3'!G331-'d3-П'!G328</f>
        <v>0</v>
      </c>
      <c r="H331" s="840">
        <f>'d3'!H331-'d3-П'!H328</f>
        <v>0</v>
      </c>
      <c r="I331" s="840">
        <f>'d3'!I331-'d3-П'!I328</f>
        <v>0</v>
      </c>
      <c r="J331" s="840">
        <f>'d3'!J331-'d3-П'!J328</f>
        <v>0</v>
      </c>
      <c r="K331" s="840">
        <f>'d3'!K331-'d3-П'!K328</f>
        <v>0</v>
      </c>
      <c r="L331" s="840">
        <f>'d3'!L331-'d3-П'!L328</f>
        <v>0</v>
      </c>
      <c r="M331" s="840">
        <f>'d3'!M331-'d3-П'!M328</f>
        <v>0</v>
      </c>
      <c r="N331" s="840">
        <f>'d3'!N331-'d3-П'!N328</f>
        <v>0</v>
      </c>
      <c r="O331" s="840">
        <f>'d3'!O331-'d3-П'!O328</f>
        <v>0</v>
      </c>
      <c r="P331" s="840">
        <f>'d3'!P331-'d3-П'!P328</f>
        <v>0</v>
      </c>
    </row>
    <row r="332" spans="1:16" s="99" customFormat="1" ht="91.5" thickTop="1" thickBot="1" x14ac:dyDescent="0.25">
      <c r="A332" s="379" t="s">
        <v>994</v>
      </c>
      <c r="B332" s="379" t="s">
        <v>995</v>
      </c>
      <c r="C332" s="379"/>
      <c r="D332" s="379" t="s">
        <v>996</v>
      </c>
      <c r="E332" s="840">
        <f>'d3'!E332-'d3-П'!E329</f>
        <v>0</v>
      </c>
      <c r="F332" s="840">
        <f>'d3'!F332-'d3-П'!F329</f>
        <v>0</v>
      </c>
      <c r="G332" s="840">
        <f>'d3'!G332-'d3-П'!G329</f>
        <v>0</v>
      </c>
      <c r="H332" s="840">
        <f>'d3'!H332-'d3-П'!H329</f>
        <v>0</v>
      </c>
      <c r="I332" s="840">
        <f>'d3'!I332-'d3-П'!I329</f>
        <v>0</v>
      </c>
      <c r="J332" s="840">
        <f>'d3'!J332-'d3-П'!J329</f>
        <v>0</v>
      </c>
      <c r="K332" s="840">
        <f>'d3'!K332-'d3-П'!K329</f>
        <v>0</v>
      </c>
      <c r="L332" s="840">
        <f>'d3'!L332-'d3-П'!L329</f>
        <v>0</v>
      </c>
      <c r="M332" s="840">
        <f>'d3'!M332-'d3-П'!M329</f>
        <v>0</v>
      </c>
      <c r="N332" s="840">
        <f>'d3'!N332-'d3-П'!N329</f>
        <v>0</v>
      </c>
      <c r="O332" s="840">
        <f>'d3'!O332-'d3-П'!O329</f>
        <v>0</v>
      </c>
      <c r="P332" s="840">
        <f>'d3'!P332-'d3-П'!P329</f>
        <v>0</v>
      </c>
    </row>
    <row r="333" spans="1:16" s="99" customFormat="1" ht="138.75" thickTop="1" thickBot="1" x14ac:dyDescent="0.25">
      <c r="A333" s="345" t="s">
        <v>997</v>
      </c>
      <c r="B333" s="345" t="s">
        <v>998</v>
      </c>
      <c r="C333" s="345"/>
      <c r="D333" s="345" t="s">
        <v>999</v>
      </c>
      <c r="E333" s="840">
        <f>'d3'!E333-'d3-П'!E330</f>
        <v>0</v>
      </c>
      <c r="F333" s="840">
        <f>'d3'!F333-'d3-П'!F330</f>
        <v>0</v>
      </c>
      <c r="G333" s="840">
        <f>'d3'!G333-'d3-П'!G330</f>
        <v>0</v>
      </c>
      <c r="H333" s="840">
        <f>'d3'!H333-'d3-П'!H330</f>
        <v>0</v>
      </c>
      <c r="I333" s="840">
        <f>'d3'!I333-'d3-П'!I330</f>
        <v>0</v>
      </c>
      <c r="J333" s="840">
        <f>'d3'!J333-'d3-П'!J330</f>
        <v>0</v>
      </c>
      <c r="K333" s="840">
        <f>'d3'!K333-'d3-П'!K330</f>
        <v>0</v>
      </c>
      <c r="L333" s="840">
        <f>'d3'!L333-'d3-П'!L330</f>
        <v>0</v>
      </c>
      <c r="M333" s="840">
        <f>'d3'!M333-'d3-П'!M330</f>
        <v>0</v>
      </c>
      <c r="N333" s="840">
        <f>'d3'!N333-'d3-П'!N330</f>
        <v>0</v>
      </c>
      <c r="O333" s="840">
        <f>'d3'!O333-'d3-П'!O330</f>
        <v>0</v>
      </c>
      <c r="P333" s="840">
        <f>'d3'!P333-'d3-П'!P330</f>
        <v>0</v>
      </c>
    </row>
    <row r="334" spans="1:16" s="99" customFormat="1" ht="138.75" thickTop="1" thickBot="1" x14ac:dyDescent="0.25">
      <c r="A334" s="843" t="s">
        <v>328</v>
      </c>
      <c r="B334" s="843" t="s">
        <v>329</v>
      </c>
      <c r="C334" s="843" t="s">
        <v>54</v>
      </c>
      <c r="D334" s="843" t="s">
        <v>55</v>
      </c>
      <c r="E334" s="840">
        <f>'d3'!E334-'d3-П'!E331</f>
        <v>0</v>
      </c>
      <c r="F334" s="840">
        <f>'d3'!F334-'d3-П'!F331</f>
        <v>0</v>
      </c>
      <c r="G334" s="840">
        <f>'d3'!G334-'d3-П'!G331</f>
        <v>0</v>
      </c>
      <c r="H334" s="840">
        <f>'d3'!H334-'d3-П'!H331</f>
        <v>0</v>
      </c>
      <c r="I334" s="840">
        <f>'d3'!I334-'d3-П'!I331</f>
        <v>0</v>
      </c>
      <c r="J334" s="840">
        <f>'d3'!J334-'d3-П'!J331</f>
        <v>0</v>
      </c>
      <c r="K334" s="840">
        <f>'d3'!K334-'d3-П'!K331</f>
        <v>0</v>
      </c>
      <c r="L334" s="840">
        <f>'d3'!L334-'d3-П'!L331</f>
        <v>0</v>
      </c>
      <c r="M334" s="840">
        <f>'d3'!M334-'d3-П'!M331</f>
        <v>0</v>
      </c>
      <c r="N334" s="840">
        <f>'d3'!N334-'d3-П'!N331</f>
        <v>0</v>
      </c>
      <c r="O334" s="840">
        <f>'d3'!O334-'d3-П'!O331</f>
        <v>0</v>
      </c>
      <c r="P334" s="840">
        <f>'d3'!P334-'d3-П'!P331</f>
        <v>0</v>
      </c>
    </row>
    <row r="335" spans="1:16" s="99" customFormat="1" ht="47.25" thickTop="1" thickBot="1" x14ac:dyDescent="0.25">
      <c r="A335" s="843" t="s">
        <v>508</v>
      </c>
      <c r="B335" s="843" t="s">
        <v>509</v>
      </c>
      <c r="C335" s="843" t="s">
        <v>507</v>
      </c>
      <c r="D335" s="843" t="s">
        <v>510</v>
      </c>
      <c r="E335" s="840">
        <f>'d3'!E335-'d3-П'!E332</f>
        <v>0</v>
      </c>
      <c r="F335" s="840">
        <f>'d3'!F335-'d3-П'!F332</f>
        <v>0</v>
      </c>
      <c r="G335" s="840">
        <f>'d3'!G335-'d3-П'!G332</f>
        <v>0</v>
      </c>
      <c r="H335" s="840">
        <f>'d3'!H335-'d3-П'!H332</f>
        <v>0</v>
      </c>
      <c r="I335" s="840">
        <f>'d3'!I335-'d3-П'!I332</f>
        <v>0</v>
      </c>
      <c r="J335" s="840">
        <f>'d3'!J335-'d3-П'!J332</f>
        <v>0</v>
      </c>
      <c r="K335" s="840">
        <f>'d3'!K335-'d3-П'!K332</f>
        <v>0</v>
      </c>
      <c r="L335" s="840">
        <f>'d3'!L335-'d3-П'!L332</f>
        <v>0</v>
      </c>
      <c r="M335" s="840">
        <f>'d3'!M335-'d3-П'!M332</f>
        <v>0</v>
      </c>
      <c r="N335" s="840">
        <f>'d3'!N335-'d3-П'!N332</f>
        <v>0</v>
      </c>
      <c r="O335" s="840">
        <f>'d3'!O335-'d3-П'!O332</f>
        <v>0</v>
      </c>
      <c r="P335" s="840">
        <f>'d3'!P335-'d3-П'!P332</f>
        <v>0</v>
      </c>
    </row>
    <row r="336" spans="1:16" s="99" customFormat="1" ht="93" thickTop="1" thickBot="1" x14ac:dyDescent="0.25">
      <c r="A336" s="843" t="s">
        <v>569</v>
      </c>
      <c r="B336" s="843" t="s">
        <v>567</v>
      </c>
      <c r="C336" s="843" t="s">
        <v>570</v>
      </c>
      <c r="D336" s="843" t="s">
        <v>568</v>
      </c>
      <c r="E336" s="840">
        <f>'d3'!E336-'d3-П'!E333</f>
        <v>0</v>
      </c>
      <c r="F336" s="840">
        <f>'d3'!F336-'d3-П'!F333</f>
        <v>0</v>
      </c>
      <c r="G336" s="840">
        <f>'d3'!G336-'d3-П'!G333</f>
        <v>0</v>
      </c>
      <c r="H336" s="840">
        <f>'d3'!H336-'d3-П'!H333</f>
        <v>0</v>
      </c>
      <c r="I336" s="840">
        <f>'d3'!I336-'d3-П'!I333</f>
        <v>0</v>
      </c>
      <c r="J336" s="840">
        <f>'d3'!J336-'d3-П'!J333</f>
        <v>0</v>
      </c>
      <c r="K336" s="840">
        <f>'d3'!K336-'d3-П'!K333</f>
        <v>0</v>
      </c>
      <c r="L336" s="840">
        <f>'d3'!L336-'d3-П'!L333</f>
        <v>0</v>
      </c>
      <c r="M336" s="840">
        <f>'d3'!M336-'d3-П'!M333</f>
        <v>0</v>
      </c>
      <c r="N336" s="840">
        <f>'d3'!N336-'d3-П'!N333</f>
        <v>0</v>
      </c>
      <c r="O336" s="840">
        <f>'d3'!O336-'d3-П'!O333</f>
        <v>0</v>
      </c>
      <c r="P336" s="840">
        <f>'d3'!P336-'d3-П'!P333</f>
        <v>0</v>
      </c>
    </row>
    <row r="337" spans="1:16" s="99" customFormat="1" ht="138.75" thickTop="1" thickBot="1" x14ac:dyDescent="0.25">
      <c r="A337" s="843" t="s">
        <v>330</v>
      </c>
      <c r="B337" s="843" t="s">
        <v>331</v>
      </c>
      <c r="C337" s="843" t="s">
        <v>56</v>
      </c>
      <c r="D337" s="843" t="s">
        <v>511</v>
      </c>
      <c r="E337" s="840">
        <f>'d3'!E337-'d3-П'!E334</f>
        <v>0</v>
      </c>
      <c r="F337" s="840">
        <f>'d3'!F337-'d3-П'!F334</f>
        <v>0</v>
      </c>
      <c r="G337" s="840">
        <f>'d3'!G337-'d3-П'!G334</f>
        <v>0</v>
      </c>
      <c r="H337" s="840">
        <f>'d3'!H337-'d3-П'!H334</f>
        <v>0</v>
      </c>
      <c r="I337" s="840">
        <f>'d3'!I337-'d3-П'!I334</f>
        <v>0</v>
      </c>
      <c r="J337" s="840">
        <f>'d3'!J337-'d3-П'!J334</f>
        <v>0</v>
      </c>
      <c r="K337" s="840">
        <f>'d3'!K337-'d3-П'!K334</f>
        <v>0</v>
      </c>
      <c r="L337" s="840">
        <f>'d3'!L337-'d3-П'!L334</f>
        <v>0</v>
      </c>
      <c r="M337" s="840">
        <f>'d3'!M337-'d3-П'!M334</f>
        <v>0</v>
      </c>
      <c r="N337" s="840">
        <f>'d3'!N337-'d3-П'!N334</f>
        <v>0</v>
      </c>
      <c r="O337" s="840">
        <f>'d3'!O337-'d3-П'!O334</f>
        <v>0</v>
      </c>
      <c r="P337" s="840">
        <f>'d3'!P337-'d3-П'!P334</f>
        <v>0</v>
      </c>
    </row>
    <row r="338" spans="1:16" ht="181.5" thickTop="1" thickBot="1" x14ac:dyDescent="0.25">
      <c r="A338" s="825" t="s">
        <v>176</v>
      </c>
      <c r="B338" s="825"/>
      <c r="C338" s="825"/>
      <c r="D338" s="826" t="s">
        <v>1070</v>
      </c>
      <c r="E338" s="827">
        <f>E339</f>
        <v>-129000</v>
      </c>
      <c r="F338" s="828">
        <f t="shared" ref="F338:G338" si="76">F339</f>
        <v>-129000</v>
      </c>
      <c r="G338" s="828">
        <f t="shared" si="76"/>
        <v>-215000</v>
      </c>
      <c r="H338" s="828">
        <f>H339</f>
        <v>34000</v>
      </c>
      <c r="I338" s="828">
        <f t="shared" ref="I338" si="77">I339</f>
        <v>0</v>
      </c>
      <c r="J338" s="827">
        <f>J339</f>
        <v>0</v>
      </c>
      <c r="K338" s="828">
        <f>K339</f>
        <v>0</v>
      </c>
      <c r="L338" s="828">
        <f>L339</f>
        <v>0</v>
      </c>
      <c r="M338" s="828">
        <f t="shared" ref="M338" si="78">M339</f>
        <v>0</v>
      </c>
      <c r="N338" s="828">
        <f>N339</f>
        <v>0</v>
      </c>
      <c r="O338" s="827">
        <f>O339</f>
        <v>0</v>
      </c>
      <c r="P338" s="828">
        <f t="shared" ref="P338" si="79">P339</f>
        <v>-129000</v>
      </c>
    </row>
    <row r="339" spans="1:16" ht="181.5" thickTop="1" thickBot="1" x14ac:dyDescent="0.25">
      <c r="A339" s="829" t="s">
        <v>177</v>
      </c>
      <c r="B339" s="829"/>
      <c r="C339" s="829"/>
      <c r="D339" s="830" t="s">
        <v>1069</v>
      </c>
      <c r="E339" s="831">
        <f>E340+E342</f>
        <v>-129000</v>
      </c>
      <c r="F339" s="831">
        <f t="shared" ref="F339:I339" si="80">F340+F342</f>
        <v>-129000</v>
      </c>
      <c r="G339" s="831">
        <f t="shared" si="80"/>
        <v>-215000</v>
      </c>
      <c r="H339" s="831">
        <f t="shared" si="80"/>
        <v>34000</v>
      </c>
      <c r="I339" s="831">
        <f t="shared" si="80"/>
        <v>0</v>
      </c>
      <c r="J339" s="831">
        <f>L339+O339</f>
        <v>0</v>
      </c>
      <c r="K339" s="831">
        <f t="shared" ref="K339:O339" si="81">K340+K342</f>
        <v>0</v>
      </c>
      <c r="L339" s="831">
        <f t="shared" si="81"/>
        <v>0</v>
      </c>
      <c r="M339" s="831">
        <f t="shared" si="81"/>
        <v>0</v>
      </c>
      <c r="N339" s="831">
        <f t="shared" si="81"/>
        <v>0</v>
      </c>
      <c r="O339" s="831">
        <f t="shared" si="81"/>
        <v>0</v>
      </c>
      <c r="P339" s="831">
        <f>E339+J339</f>
        <v>-129000</v>
      </c>
    </row>
    <row r="340" spans="1:16" ht="47.25" thickTop="1" thickBot="1" x14ac:dyDescent="0.25">
      <c r="A340" s="422" t="s">
        <v>1000</v>
      </c>
      <c r="B340" s="422" t="s">
        <v>840</v>
      </c>
      <c r="C340" s="422"/>
      <c r="D340" s="422" t="s">
        <v>841</v>
      </c>
      <c r="E340" s="840">
        <f>'d3'!E340-'d3-П'!E337</f>
        <v>-129000</v>
      </c>
      <c r="F340" s="840">
        <f>'d3'!F340-'d3-П'!F337</f>
        <v>-129000</v>
      </c>
      <c r="G340" s="840">
        <f>'d3'!G340-'d3-П'!G337</f>
        <v>-215000</v>
      </c>
      <c r="H340" s="840">
        <f>'d3'!H340-'d3-П'!H337</f>
        <v>34000</v>
      </c>
      <c r="I340" s="840">
        <f>'d3'!I340-'d3-П'!I337</f>
        <v>0</v>
      </c>
      <c r="J340" s="840">
        <f>'d3'!J340-'d3-П'!J337</f>
        <v>0</v>
      </c>
      <c r="K340" s="840">
        <f>'d3'!K340-'d3-П'!K337</f>
        <v>0</v>
      </c>
      <c r="L340" s="840">
        <f>'d3'!L340-'d3-П'!L337</f>
        <v>0</v>
      </c>
      <c r="M340" s="840">
        <f>'d3'!M340-'d3-П'!M337</f>
        <v>0</v>
      </c>
      <c r="N340" s="840">
        <f>'d3'!N340-'d3-П'!N337</f>
        <v>0</v>
      </c>
      <c r="O340" s="840">
        <f>'d3'!O340-'d3-П'!O337</f>
        <v>0</v>
      </c>
      <c r="P340" s="840">
        <f>'d3'!P340-'d3-П'!P337</f>
        <v>-129000</v>
      </c>
    </row>
    <row r="341" spans="1:16" ht="230.25" thickTop="1" thickBot="1" x14ac:dyDescent="0.25">
      <c r="A341" s="843" t="s">
        <v>446</v>
      </c>
      <c r="B341" s="843" t="s">
        <v>254</v>
      </c>
      <c r="C341" s="843" t="s">
        <v>252</v>
      </c>
      <c r="D341" s="843" t="s">
        <v>253</v>
      </c>
      <c r="E341" s="840">
        <f>'d3'!E341-'d3-П'!E338</f>
        <v>-129000</v>
      </c>
      <c r="F341" s="840">
        <f>'d3'!F341-'d3-П'!F338</f>
        <v>-129000</v>
      </c>
      <c r="G341" s="840">
        <f>'d3'!G341-'d3-П'!G338</f>
        <v>-215000</v>
      </c>
      <c r="H341" s="840">
        <f>'d3'!H341-'d3-П'!H338</f>
        <v>34000</v>
      </c>
      <c r="I341" s="840">
        <f>'d3'!I341-'d3-П'!I338</f>
        <v>0</v>
      </c>
      <c r="J341" s="840">
        <f>'d3'!J341-'d3-П'!J338</f>
        <v>0</v>
      </c>
      <c r="K341" s="840">
        <f>'d3'!K341-'d3-П'!K338</f>
        <v>0</v>
      </c>
      <c r="L341" s="840">
        <f>'d3'!L341-'d3-П'!L338</f>
        <v>0</v>
      </c>
      <c r="M341" s="840">
        <f>'d3'!M341-'d3-П'!M338</f>
        <v>0</v>
      </c>
      <c r="N341" s="840">
        <f>'d3'!N341-'d3-П'!N338</f>
        <v>0</v>
      </c>
      <c r="O341" s="840">
        <f>'d3'!O341-'d3-П'!O338</f>
        <v>0</v>
      </c>
      <c r="P341" s="840">
        <f>'d3'!P341-'d3-П'!P338</f>
        <v>-129000</v>
      </c>
    </row>
    <row r="342" spans="1:16" ht="47.25" thickTop="1" thickBot="1" x14ac:dyDescent="0.25">
      <c r="A342" s="422" t="s">
        <v>1001</v>
      </c>
      <c r="B342" s="422" t="s">
        <v>905</v>
      </c>
      <c r="C342" s="843"/>
      <c r="D342" s="422" t="s">
        <v>952</v>
      </c>
      <c r="E342" s="840">
        <f>'d3'!E342-'d3-П'!E339</f>
        <v>0</v>
      </c>
      <c r="F342" s="840">
        <f>'d3'!F342-'d3-П'!F339</f>
        <v>0</v>
      </c>
      <c r="G342" s="840">
        <f>'d3'!G342-'d3-П'!G339</f>
        <v>0</v>
      </c>
      <c r="H342" s="840">
        <f>'d3'!H342-'d3-П'!H339</f>
        <v>0</v>
      </c>
      <c r="I342" s="840">
        <f>'d3'!I342-'d3-П'!I339</f>
        <v>0</v>
      </c>
      <c r="J342" s="840">
        <f>'d3'!J342-'d3-П'!J339</f>
        <v>0</v>
      </c>
      <c r="K342" s="840">
        <f>'d3'!K342-'d3-П'!K339</f>
        <v>0</v>
      </c>
      <c r="L342" s="840">
        <f>'d3'!L342-'d3-П'!L339</f>
        <v>0</v>
      </c>
      <c r="M342" s="840">
        <f>'d3'!M342-'d3-П'!M339</f>
        <v>0</v>
      </c>
      <c r="N342" s="840">
        <f>'d3'!N342-'d3-П'!N339</f>
        <v>0</v>
      </c>
      <c r="O342" s="840">
        <f>'d3'!O342-'d3-П'!O339</f>
        <v>0</v>
      </c>
      <c r="P342" s="840">
        <f>'d3'!P342-'d3-П'!P339</f>
        <v>0</v>
      </c>
    </row>
    <row r="343" spans="1:16" ht="91.5" thickTop="1" thickBot="1" x14ac:dyDescent="0.25">
      <c r="A343" s="379" t="s">
        <v>1002</v>
      </c>
      <c r="B343" s="379" t="s">
        <v>1003</v>
      </c>
      <c r="C343" s="379"/>
      <c r="D343" s="379" t="s">
        <v>1004</v>
      </c>
      <c r="E343" s="840">
        <f>'d3'!E343-'d3-П'!E340</f>
        <v>0</v>
      </c>
      <c r="F343" s="840">
        <f>'d3'!F343-'d3-П'!F340</f>
        <v>0</v>
      </c>
      <c r="G343" s="840">
        <f>'d3'!G343-'d3-П'!G340</f>
        <v>0</v>
      </c>
      <c r="H343" s="840">
        <f>'d3'!H343-'d3-П'!H340</f>
        <v>0</v>
      </c>
      <c r="I343" s="840">
        <f>'d3'!I343-'d3-П'!I340</f>
        <v>0</v>
      </c>
      <c r="J343" s="840">
        <f>'d3'!J343-'d3-П'!J340</f>
        <v>0</v>
      </c>
      <c r="K343" s="840">
        <f>'d3'!K343-'d3-П'!K340</f>
        <v>0</v>
      </c>
      <c r="L343" s="840">
        <f>'d3'!L343-'d3-П'!L340</f>
        <v>0</v>
      </c>
      <c r="M343" s="840">
        <f>'d3'!M343-'d3-П'!M340</f>
        <v>0</v>
      </c>
      <c r="N343" s="840">
        <f>'d3'!N343-'d3-П'!N340</f>
        <v>0</v>
      </c>
      <c r="O343" s="840">
        <f>'d3'!O343-'d3-П'!O340</f>
        <v>0</v>
      </c>
      <c r="P343" s="840">
        <f>'d3'!P343-'d3-П'!P340</f>
        <v>0</v>
      </c>
    </row>
    <row r="344" spans="1:16" ht="93" thickTop="1" thickBot="1" x14ac:dyDescent="0.25">
      <c r="A344" s="843" t="s">
        <v>325</v>
      </c>
      <c r="B344" s="843" t="s">
        <v>326</v>
      </c>
      <c r="C344" s="843" t="s">
        <v>327</v>
      </c>
      <c r="D344" s="843" t="s">
        <v>497</v>
      </c>
      <c r="E344" s="840">
        <f>'d3'!E344-'d3-П'!E341</f>
        <v>0</v>
      </c>
      <c r="F344" s="840">
        <f>'d3'!F344-'d3-П'!F341</f>
        <v>0</v>
      </c>
      <c r="G344" s="840">
        <f>'d3'!G344-'d3-П'!G341</f>
        <v>0</v>
      </c>
      <c r="H344" s="840">
        <f>'d3'!H344-'d3-П'!H341</f>
        <v>0</v>
      </c>
      <c r="I344" s="840">
        <f>'d3'!I344-'d3-П'!I341</f>
        <v>0</v>
      </c>
      <c r="J344" s="840">
        <f>'d3'!J344-'d3-П'!J341</f>
        <v>0</v>
      </c>
      <c r="K344" s="840">
        <f>'d3'!K344-'d3-П'!K341</f>
        <v>0</v>
      </c>
      <c r="L344" s="840">
        <f>'d3'!L344-'d3-П'!L341</f>
        <v>0</v>
      </c>
      <c r="M344" s="840">
        <f>'d3'!M344-'d3-П'!M341</f>
        <v>0</v>
      </c>
      <c r="N344" s="840">
        <f>'d3'!N344-'d3-П'!N341</f>
        <v>0</v>
      </c>
      <c r="O344" s="840">
        <f>'d3'!O344-'d3-П'!O341</f>
        <v>0</v>
      </c>
      <c r="P344" s="840">
        <f>'d3'!P344-'d3-П'!P341</f>
        <v>0</v>
      </c>
    </row>
    <row r="345" spans="1:16" ht="136.5" thickTop="1" thickBot="1" x14ac:dyDescent="0.25">
      <c r="A345" s="379" t="s">
        <v>1005</v>
      </c>
      <c r="B345" s="379" t="s">
        <v>847</v>
      </c>
      <c r="C345" s="843"/>
      <c r="D345" s="379" t="s">
        <v>1006</v>
      </c>
      <c r="E345" s="840">
        <f>'d3'!E345-'d3-П'!E342</f>
        <v>0</v>
      </c>
      <c r="F345" s="840">
        <f>'d3'!F345-'d3-П'!F342</f>
        <v>0</v>
      </c>
      <c r="G345" s="840">
        <f>'d3'!G345-'d3-П'!G342</f>
        <v>0</v>
      </c>
      <c r="H345" s="840">
        <f>'d3'!H345-'d3-П'!H342</f>
        <v>0</v>
      </c>
      <c r="I345" s="840">
        <f>'d3'!I345-'d3-П'!I342</f>
        <v>0</v>
      </c>
      <c r="J345" s="840">
        <f>'d3'!J345-'d3-П'!J342</f>
        <v>0</v>
      </c>
      <c r="K345" s="840">
        <f>'d3'!K345-'d3-П'!K342</f>
        <v>0</v>
      </c>
      <c r="L345" s="840">
        <f>'d3'!L345-'d3-П'!L342</f>
        <v>0</v>
      </c>
      <c r="M345" s="840">
        <f>'d3'!M345-'d3-П'!M342</f>
        <v>0</v>
      </c>
      <c r="N345" s="840">
        <f>'d3'!N345-'d3-П'!N342</f>
        <v>0</v>
      </c>
      <c r="O345" s="840">
        <f>'d3'!O345-'d3-П'!O342</f>
        <v>0</v>
      </c>
      <c r="P345" s="840">
        <f>'d3'!P345-'d3-П'!P342</f>
        <v>0</v>
      </c>
    </row>
    <row r="346" spans="1:16" ht="138.75" thickTop="1" thickBot="1" x14ac:dyDescent="0.25">
      <c r="A346" s="843" t="s">
        <v>394</v>
      </c>
      <c r="B346" s="843" t="s">
        <v>395</v>
      </c>
      <c r="C346" s="843" t="s">
        <v>184</v>
      </c>
      <c r="D346" s="843" t="s">
        <v>396</v>
      </c>
      <c r="E346" s="840">
        <f>'d3'!E346-'d3-П'!E343</f>
        <v>0</v>
      </c>
      <c r="F346" s="840">
        <f>'d3'!F346-'d3-П'!F343</f>
        <v>0</v>
      </c>
      <c r="G346" s="840">
        <f>'d3'!G346-'d3-П'!G343</f>
        <v>0</v>
      </c>
      <c r="H346" s="840">
        <f>'d3'!H346-'d3-П'!H343</f>
        <v>0</v>
      </c>
      <c r="I346" s="840">
        <f>'d3'!I346-'d3-П'!I343</f>
        <v>0</v>
      </c>
      <c r="J346" s="840">
        <f>'d3'!J346-'d3-П'!J343</f>
        <v>0</v>
      </c>
      <c r="K346" s="840">
        <f>'d3'!K346-'d3-П'!K343</f>
        <v>0</v>
      </c>
      <c r="L346" s="840">
        <f>'d3'!L346-'d3-П'!L343</f>
        <v>0</v>
      </c>
      <c r="M346" s="840">
        <f>'d3'!M346-'d3-П'!M343</f>
        <v>0</v>
      </c>
      <c r="N346" s="840">
        <f>'d3'!N346-'d3-П'!N343</f>
        <v>0</v>
      </c>
      <c r="O346" s="840">
        <f>'d3'!O346-'d3-П'!O343</f>
        <v>0</v>
      </c>
      <c r="P346" s="840">
        <f>'d3'!P346-'d3-П'!P343</f>
        <v>0</v>
      </c>
    </row>
    <row r="347" spans="1:16" ht="136.5" thickTop="1" thickBot="1" x14ac:dyDescent="0.25">
      <c r="A347" s="825" t="s">
        <v>182</v>
      </c>
      <c r="B347" s="825"/>
      <c r="C347" s="825"/>
      <c r="D347" s="826" t="s">
        <v>27</v>
      </c>
      <c r="E347" s="827">
        <f>E348</f>
        <v>-25000</v>
      </c>
      <c r="F347" s="828">
        <f t="shared" ref="F347:G347" si="82">F348</f>
        <v>-25000</v>
      </c>
      <c r="G347" s="828">
        <f t="shared" si="82"/>
        <v>-25000</v>
      </c>
      <c r="H347" s="828">
        <f>H348</f>
        <v>0</v>
      </c>
      <c r="I347" s="828">
        <f t="shared" ref="I347" si="83">I348</f>
        <v>0</v>
      </c>
      <c r="J347" s="827">
        <f>J348</f>
        <v>25000</v>
      </c>
      <c r="K347" s="828">
        <f>K348</f>
        <v>25000</v>
      </c>
      <c r="L347" s="828">
        <f>L348</f>
        <v>0</v>
      </c>
      <c r="M347" s="828">
        <f t="shared" ref="M347" si="84">M348</f>
        <v>0</v>
      </c>
      <c r="N347" s="828">
        <f>N348</f>
        <v>0</v>
      </c>
      <c r="O347" s="827">
        <f>O348</f>
        <v>25000</v>
      </c>
      <c r="P347" s="828">
        <f t="shared" ref="P347" si="85">P348</f>
        <v>0</v>
      </c>
    </row>
    <row r="348" spans="1:16" ht="136.5" thickTop="1" thickBot="1" x14ac:dyDescent="0.25">
      <c r="A348" s="829" t="s">
        <v>183</v>
      </c>
      <c r="B348" s="829"/>
      <c r="C348" s="829"/>
      <c r="D348" s="830" t="s">
        <v>42</v>
      </c>
      <c r="E348" s="831">
        <f>E349+E352+E356</f>
        <v>-25000</v>
      </c>
      <c r="F348" s="831">
        <f t="shared" ref="F348:I348" si="86">F349+F352+F356</f>
        <v>-25000</v>
      </c>
      <c r="G348" s="831">
        <f t="shared" si="86"/>
        <v>-25000</v>
      </c>
      <c r="H348" s="831">
        <f t="shared" si="86"/>
        <v>0</v>
      </c>
      <c r="I348" s="831">
        <f t="shared" si="86"/>
        <v>0</v>
      </c>
      <c r="J348" s="831">
        <f>L348+O348</f>
        <v>25000</v>
      </c>
      <c r="K348" s="831">
        <f t="shared" ref="K348:O348" si="87">K349+K352+K356</f>
        <v>25000</v>
      </c>
      <c r="L348" s="831">
        <f t="shared" si="87"/>
        <v>0</v>
      </c>
      <c r="M348" s="831">
        <f t="shared" si="87"/>
        <v>0</v>
      </c>
      <c r="N348" s="831">
        <f t="shared" si="87"/>
        <v>0</v>
      </c>
      <c r="O348" s="831">
        <f t="shared" si="87"/>
        <v>25000</v>
      </c>
      <c r="P348" s="831">
        <f>E348+J348</f>
        <v>0</v>
      </c>
    </row>
    <row r="349" spans="1:16" ht="47.25" thickTop="1" thickBot="1" x14ac:dyDescent="0.25">
      <c r="A349" s="422" t="s">
        <v>1007</v>
      </c>
      <c r="B349" s="422" t="s">
        <v>840</v>
      </c>
      <c r="C349" s="422"/>
      <c r="D349" s="422" t="s">
        <v>841</v>
      </c>
      <c r="E349" s="840">
        <f>'d3'!E349-'d3-П'!E346</f>
        <v>-25000</v>
      </c>
      <c r="F349" s="840">
        <f>'d3'!F349-'d3-П'!F346</f>
        <v>-25000</v>
      </c>
      <c r="G349" s="840">
        <f>'d3'!G349-'d3-П'!G346</f>
        <v>-25000</v>
      </c>
      <c r="H349" s="840">
        <f>'d3'!H349-'d3-П'!H346</f>
        <v>0</v>
      </c>
      <c r="I349" s="840">
        <f>'d3'!I349-'d3-П'!I346</f>
        <v>0</v>
      </c>
      <c r="J349" s="840">
        <f>'d3'!J349-'d3-П'!J346</f>
        <v>25000</v>
      </c>
      <c r="K349" s="840">
        <f>'d3'!K349-'d3-П'!K346</f>
        <v>25000</v>
      </c>
      <c r="L349" s="840">
        <f>'d3'!L349-'d3-П'!L346</f>
        <v>0</v>
      </c>
      <c r="M349" s="840">
        <f>'d3'!M349-'d3-П'!M346</f>
        <v>0</v>
      </c>
      <c r="N349" s="840">
        <f>'d3'!N349-'d3-П'!N346</f>
        <v>0</v>
      </c>
      <c r="O349" s="840">
        <f>'d3'!O349-'d3-П'!O346</f>
        <v>25000</v>
      </c>
      <c r="P349" s="840">
        <f>'d3'!P349-'d3-П'!P346</f>
        <v>0</v>
      </c>
    </row>
    <row r="350" spans="1:16" ht="230.25" thickTop="1" thickBot="1" x14ac:dyDescent="0.25">
      <c r="A350" s="843" t="s">
        <v>448</v>
      </c>
      <c r="B350" s="843" t="s">
        <v>254</v>
      </c>
      <c r="C350" s="843" t="s">
        <v>252</v>
      </c>
      <c r="D350" s="843" t="s">
        <v>253</v>
      </c>
      <c r="E350" s="840">
        <f>'d3'!E350-'d3-П'!E347</f>
        <v>-25000</v>
      </c>
      <c r="F350" s="840">
        <f>'d3'!F350-'d3-П'!F347</f>
        <v>-25000</v>
      </c>
      <c r="G350" s="840">
        <f>'d3'!G350-'d3-П'!G347</f>
        <v>-25000</v>
      </c>
      <c r="H350" s="840">
        <f>'d3'!H350-'d3-П'!H347</f>
        <v>0</v>
      </c>
      <c r="I350" s="840">
        <f>'d3'!I350-'d3-П'!I347</f>
        <v>0</v>
      </c>
      <c r="J350" s="840">
        <f>'d3'!J350-'d3-П'!J347</f>
        <v>25000</v>
      </c>
      <c r="K350" s="840">
        <f>'d3'!K350-'d3-П'!K347</f>
        <v>25000</v>
      </c>
      <c r="L350" s="840">
        <f>'d3'!L350-'d3-П'!L347</f>
        <v>0</v>
      </c>
      <c r="M350" s="840">
        <f>'d3'!M350-'d3-П'!M347</f>
        <v>0</v>
      </c>
      <c r="N350" s="840">
        <f>'d3'!N350-'d3-П'!N347</f>
        <v>0</v>
      </c>
      <c r="O350" s="840">
        <f>'d3'!O350-'d3-П'!O347</f>
        <v>25000</v>
      </c>
      <c r="P350" s="840">
        <f>'d3'!P350-'d3-П'!P347</f>
        <v>0</v>
      </c>
    </row>
    <row r="351" spans="1:16" ht="184.5" thickTop="1" thickBot="1" x14ac:dyDescent="0.25">
      <c r="A351" s="843" t="s">
        <v>789</v>
      </c>
      <c r="B351" s="843" t="s">
        <v>388</v>
      </c>
      <c r="C351" s="843" t="s">
        <v>775</v>
      </c>
      <c r="D351" s="843" t="s">
        <v>776</v>
      </c>
      <c r="E351" s="840">
        <f>'d3'!E351-'d3-П'!E348</f>
        <v>0</v>
      </c>
      <c r="F351" s="840">
        <f>'d3'!F351-'d3-П'!F348</f>
        <v>0</v>
      </c>
      <c r="G351" s="840">
        <f>'d3'!G351-'d3-П'!G348</f>
        <v>0</v>
      </c>
      <c r="H351" s="840">
        <f>'d3'!H351-'d3-П'!H348</f>
        <v>0</v>
      </c>
      <c r="I351" s="840">
        <f>'d3'!I351-'d3-П'!I348</f>
        <v>0</v>
      </c>
      <c r="J351" s="840">
        <f>'d3'!J351-'d3-П'!J348</f>
        <v>0</v>
      </c>
      <c r="K351" s="840">
        <f>'d3'!K351-'d3-П'!K348</f>
        <v>0</v>
      </c>
      <c r="L351" s="840">
        <f>'d3'!L351-'d3-П'!L348</f>
        <v>0</v>
      </c>
      <c r="M351" s="840">
        <f>'d3'!M351-'d3-П'!M348</f>
        <v>0</v>
      </c>
      <c r="N351" s="840">
        <f>'d3'!N351-'d3-П'!N348</f>
        <v>0</v>
      </c>
      <c r="O351" s="840">
        <f>'d3'!O351-'d3-П'!O348</f>
        <v>0</v>
      </c>
      <c r="P351" s="840">
        <f>'d3'!P351-'d3-П'!P348</f>
        <v>0</v>
      </c>
    </row>
    <row r="352" spans="1:16" ht="47.25" thickTop="1" thickBot="1" x14ac:dyDescent="0.25">
      <c r="A352" s="422" t="s">
        <v>1008</v>
      </c>
      <c r="B352" s="422" t="s">
        <v>852</v>
      </c>
      <c r="C352" s="422"/>
      <c r="D352" s="422" t="s">
        <v>853</v>
      </c>
      <c r="E352" s="840">
        <f>'d3'!E352-'d3-П'!E349</f>
        <v>0</v>
      </c>
      <c r="F352" s="840">
        <f>'d3'!F352-'d3-П'!F349</f>
        <v>0</v>
      </c>
      <c r="G352" s="840">
        <f>'d3'!G352-'d3-П'!G349</f>
        <v>0</v>
      </c>
      <c r="H352" s="840">
        <f>'d3'!H352-'d3-П'!H349</f>
        <v>0</v>
      </c>
      <c r="I352" s="840">
        <f>'d3'!I352-'d3-П'!I349</f>
        <v>0</v>
      </c>
      <c r="J352" s="840">
        <f>'d3'!J352-'d3-П'!J349</f>
        <v>0</v>
      </c>
      <c r="K352" s="840">
        <f>'d3'!K352-'d3-П'!K349</f>
        <v>0</v>
      </c>
      <c r="L352" s="840">
        <f>'d3'!L352-'d3-П'!L349</f>
        <v>0</v>
      </c>
      <c r="M352" s="840">
        <f>'d3'!M352-'d3-П'!M349</f>
        <v>0</v>
      </c>
      <c r="N352" s="840">
        <f>'d3'!N352-'d3-П'!N349</f>
        <v>0</v>
      </c>
      <c r="O352" s="840">
        <f>'d3'!O352-'d3-П'!O349</f>
        <v>0</v>
      </c>
      <c r="P352" s="840">
        <f>'d3'!P352-'d3-П'!P349</f>
        <v>0</v>
      </c>
    </row>
    <row r="353" spans="1:16" ht="91.5" thickTop="1" thickBot="1" x14ac:dyDescent="0.25">
      <c r="A353" s="437">
        <v>3718600</v>
      </c>
      <c r="B353" s="437">
        <v>8600</v>
      </c>
      <c r="C353" s="379" t="s">
        <v>388</v>
      </c>
      <c r="D353" s="437" t="s">
        <v>488</v>
      </c>
      <c r="E353" s="840">
        <f>'d3'!E353-'d3-П'!E350</f>
        <v>0</v>
      </c>
      <c r="F353" s="840">
        <f>'d3'!F353-'d3-П'!F350</f>
        <v>0</v>
      </c>
      <c r="G353" s="840">
        <f>'d3'!G353-'d3-П'!G350</f>
        <v>0</v>
      </c>
      <c r="H353" s="840">
        <f>'d3'!H353-'d3-П'!H350</f>
        <v>0</v>
      </c>
      <c r="I353" s="840">
        <f>'d3'!I353-'d3-П'!I350</f>
        <v>0</v>
      </c>
      <c r="J353" s="840">
        <f>'d3'!J353-'d3-П'!J350</f>
        <v>0</v>
      </c>
      <c r="K353" s="840">
        <f>'d3'!K353-'d3-П'!K350</f>
        <v>0</v>
      </c>
      <c r="L353" s="840">
        <f>'d3'!L353-'d3-П'!L350</f>
        <v>0</v>
      </c>
      <c r="M353" s="840">
        <f>'d3'!M353-'d3-П'!M350</f>
        <v>0</v>
      </c>
      <c r="N353" s="840">
        <f>'d3'!N353-'d3-П'!N350</f>
        <v>0</v>
      </c>
      <c r="O353" s="840">
        <f>'d3'!O353-'d3-П'!O350</f>
        <v>0</v>
      </c>
      <c r="P353" s="840">
        <f>'d3'!P353-'d3-П'!P350</f>
        <v>0</v>
      </c>
    </row>
    <row r="354" spans="1:16" ht="47.25" thickTop="1" thickBot="1" x14ac:dyDescent="0.25">
      <c r="A354" s="437">
        <v>3718700</v>
      </c>
      <c r="B354" s="437">
        <v>8700</v>
      </c>
      <c r="C354" s="379"/>
      <c r="D354" s="437" t="s">
        <v>1009</v>
      </c>
      <c r="E354" s="840">
        <f>'d3'!E354-'d3-П'!E351</f>
        <v>0</v>
      </c>
      <c r="F354" s="840">
        <f>'d3'!F354-'d3-П'!F351</f>
        <v>0</v>
      </c>
      <c r="G354" s="840">
        <f>'d3'!G354-'d3-П'!G351</f>
        <v>0</v>
      </c>
      <c r="H354" s="840">
        <f>'d3'!H354-'d3-П'!H351</f>
        <v>0</v>
      </c>
      <c r="I354" s="840">
        <f>'d3'!I354-'d3-П'!I351</f>
        <v>0</v>
      </c>
      <c r="J354" s="840">
        <f>'d3'!J354-'d3-П'!J351</f>
        <v>0</v>
      </c>
      <c r="K354" s="840">
        <f>'d3'!K354-'d3-П'!K351</f>
        <v>0</v>
      </c>
      <c r="L354" s="840">
        <f>'d3'!L354-'d3-П'!L351</f>
        <v>0</v>
      </c>
      <c r="M354" s="840">
        <f>'d3'!M354-'d3-П'!M351</f>
        <v>0</v>
      </c>
      <c r="N354" s="840">
        <f>'d3'!N354-'d3-П'!N351</f>
        <v>0</v>
      </c>
      <c r="O354" s="840">
        <f>'d3'!O354-'d3-П'!O351</f>
        <v>0</v>
      </c>
      <c r="P354" s="840">
        <f>'d3'!P354-'d3-П'!P351</f>
        <v>0</v>
      </c>
    </row>
    <row r="355" spans="1:16" ht="93" thickTop="1" thickBot="1" x14ac:dyDescent="0.25">
      <c r="A355" s="322">
        <v>3718710</v>
      </c>
      <c r="B355" s="322">
        <v>8710</v>
      </c>
      <c r="C355" s="843" t="s">
        <v>44</v>
      </c>
      <c r="D355" s="321" t="s">
        <v>795</v>
      </c>
      <c r="E355" s="840">
        <f>'d3'!E355-'d3-П'!E352</f>
        <v>0</v>
      </c>
      <c r="F355" s="840">
        <f>'d3'!F355-'d3-П'!F352</f>
        <v>0</v>
      </c>
      <c r="G355" s="840">
        <f>'d3'!G355-'d3-П'!G352</f>
        <v>0</v>
      </c>
      <c r="H355" s="840">
        <f>'d3'!H355-'d3-П'!H352</f>
        <v>0</v>
      </c>
      <c r="I355" s="840">
        <f>'d3'!I355-'d3-П'!I352</f>
        <v>0</v>
      </c>
      <c r="J355" s="840">
        <f>'d3'!J355-'d3-П'!J352</f>
        <v>0</v>
      </c>
      <c r="K355" s="840">
        <f>'d3'!K355-'d3-П'!K352</f>
        <v>0</v>
      </c>
      <c r="L355" s="840">
        <f>'d3'!L355-'d3-П'!L352</f>
        <v>0</v>
      </c>
      <c r="M355" s="840">
        <f>'d3'!M355-'d3-П'!M352</f>
        <v>0</v>
      </c>
      <c r="N355" s="840">
        <f>'d3'!N355-'d3-П'!N352</f>
        <v>0</v>
      </c>
      <c r="O355" s="840">
        <f>'d3'!O355-'d3-П'!O352</f>
        <v>0</v>
      </c>
      <c r="P355" s="840">
        <f>'d3'!P355-'d3-П'!P352</f>
        <v>0</v>
      </c>
    </row>
    <row r="356" spans="1:16" ht="47.25" thickTop="1" thickBot="1" x14ac:dyDescent="0.25">
      <c r="A356" s="422" t="s">
        <v>1010</v>
      </c>
      <c r="B356" s="422" t="s">
        <v>858</v>
      </c>
      <c r="C356" s="422"/>
      <c r="D356" s="422" t="s">
        <v>859</v>
      </c>
      <c r="E356" s="840">
        <f>'d3'!E356-'d3-П'!E353</f>
        <v>0</v>
      </c>
      <c r="F356" s="840">
        <f>'d3'!F356-'d3-П'!F353</f>
        <v>0</v>
      </c>
      <c r="G356" s="840">
        <f>'d3'!G356-'d3-П'!G353</f>
        <v>0</v>
      </c>
      <c r="H356" s="840">
        <f>'d3'!H356-'d3-П'!H353</f>
        <v>0</v>
      </c>
      <c r="I356" s="840">
        <f>'d3'!I356-'d3-П'!I353</f>
        <v>0</v>
      </c>
      <c r="J356" s="840">
        <f>'d3'!J356-'d3-П'!J353</f>
        <v>0</v>
      </c>
      <c r="K356" s="840">
        <f>'d3'!K356-'d3-П'!K353</f>
        <v>0</v>
      </c>
      <c r="L356" s="840">
        <f>'d3'!L356-'d3-П'!L353</f>
        <v>0</v>
      </c>
      <c r="M356" s="840">
        <f>'d3'!M356-'d3-П'!M353</f>
        <v>0</v>
      </c>
      <c r="N356" s="840">
        <f>'d3'!N356-'d3-П'!N353</f>
        <v>0</v>
      </c>
      <c r="O356" s="840">
        <f>'d3'!O356-'d3-П'!O353</f>
        <v>0</v>
      </c>
      <c r="P356" s="840">
        <f>'d3'!P356-'d3-П'!P353</f>
        <v>0</v>
      </c>
    </row>
    <row r="357" spans="1:16" ht="91.5" thickTop="1" thickBot="1" x14ac:dyDescent="0.25">
      <c r="A357" s="437">
        <v>3719100</v>
      </c>
      <c r="B357" s="379" t="s">
        <v>1012</v>
      </c>
      <c r="C357" s="379"/>
      <c r="D357" s="379" t="s">
        <v>1011</v>
      </c>
      <c r="E357" s="840">
        <f>'d3'!E357-'d3-П'!E354</f>
        <v>0</v>
      </c>
      <c r="F357" s="840">
        <f>'d3'!F357-'d3-П'!F354</f>
        <v>0</v>
      </c>
      <c r="G357" s="840">
        <f>'d3'!G357-'d3-П'!G354</f>
        <v>0</v>
      </c>
      <c r="H357" s="840">
        <f>'d3'!H357-'d3-П'!H354</f>
        <v>0</v>
      </c>
      <c r="I357" s="840">
        <f>'d3'!I357-'d3-П'!I354</f>
        <v>0</v>
      </c>
      <c r="J357" s="840">
        <f>'d3'!J357-'d3-П'!J354</f>
        <v>0</v>
      </c>
      <c r="K357" s="840">
        <f>'d3'!K357-'d3-П'!K354</f>
        <v>0</v>
      </c>
      <c r="L357" s="840">
        <f>'d3'!L357-'d3-П'!L354</f>
        <v>0</v>
      </c>
      <c r="M357" s="840">
        <f>'d3'!M357-'d3-П'!M354</f>
        <v>0</v>
      </c>
      <c r="N357" s="840">
        <f>'d3'!N357-'d3-П'!N354</f>
        <v>0</v>
      </c>
      <c r="O357" s="840">
        <f>'d3'!O357-'d3-П'!O354</f>
        <v>0</v>
      </c>
      <c r="P357" s="840">
        <f>'d3'!P357-'d3-П'!P354</f>
        <v>0</v>
      </c>
    </row>
    <row r="358" spans="1:16" ht="47.25" thickTop="1" thickBot="1" x14ac:dyDescent="0.25">
      <c r="A358" s="322">
        <v>3719110</v>
      </c>
      <c r="B358" s="322">
        <v>9110</v>
      </c>
      <c r="C358" s="843" t="s">
        <v>45</v>
      </c>
      <c r="D358" s="321" t="s">
        <v>487</v>
      </c>
      <c r="E358" s="840">
        <f>'d3'!E358-'d3-П'!E355</f>
        <v>0</v>
      </c>
      <c r="F358" s="840">
        <f>'d3'!F358-'d3-П'!F355</f>
        <v>0</v>
      </c>
      <c r="G358" s="840">
        <f>'d3'!G358-'d3-П'!G355</f>
        <v>0</v>
      </c>
      <c r="H358" s="840">
        <f>'d3'!H358-'d3-П'!H355</f>
        <v>0</v>
      </c>
      <c r="I358" s="840">
        <f>'d3'!I358-'d3-П'!I355</f>
        <v>0</v>
      </c>
      <c r="J358" s="840">
        <f>'d3'!J358-'d3-П'!J355</f>
        <v>0</v>
      </c>
      <c r="K358" s="840">
        <f>'d3'!K358-'d3-П'!K355</f>
        <v>0</v>
      </c>
      <c r="L358" s="840">
        <f>'d3'!L358-'d3-П'!L355</f>
        <v>0</v>
      </c>
      <c r="M358" s="840">
        <f>'d3'!M358-'d3-П'!M355</f>
        <v>0</v>
      </c>
      <c r="N358" s="840">
        <f>'d3'!N358-'d3-П'!N355</f>
        <v>0</v>
      </c>
      <c r="O358" s="840">
        <f>'d3'!O358-'d3-П'!O355</f>
        <v>0</v>
      </c>
      <c r="P358" s="840">
        <f>'d3'!P358-'d3-П'!P355</f>
        <v>0</v>
      </c>
    </row>
    <row r="359" spans="1:16" ht="159.75" customHeight="1" thickTop="1" thickBot="1" x14ac:dyDescent="0.25">
      <c r="A359" s="242" t="s">
        <v>408</v>
      </c>
      <c r="B359" s="242" t="s">
        <v>408</v>
      </c>
      <c r="C359" s="242" t="s">
        <v>408</v>
      </c>
      <c r="D359" s="243" t="s">
        <v>418</v>
      </c>
      <c r="E359" s="323">
        <f t="shared" ref="E359:P359" si="88">E17+E42+E190+E89+E113+E170++E271+E293+E348+E314+E327+E339+E301+E242+E223</f>
        <v>2637377.3399999142</v>
      </c>
      <c r="F359" s="323">
        <f t="shared" si="88"/>
        <v>2637377.3399999142</v>
      </c>
      <c r="G359" s="323">
        <f t="shared" si="88"/>
        <v>-5851388</v>
      </c>
      <c r="H359" s="323">
        <f t="shared" si="88"/>
        <v>2093412</v>
      </c>
      <c r="I359" s="323">
        <f t="shared" si="88"/>
        <v>0</v>
      </c>
      <c r="J359" s="323">
        <f t="shared" si="88"/>
        <v>61580975.659999982</v>
      </c>
      <c r="K359" s="323">
        <f t="shared" si="88"/>
        <v>61580975.660000011</v>
      </c>
      <c r="L359" s="323">
        <f t="shared" si="88"/>
        <v>-46000</v>
      </c>
      <c r="M359" s="323">
        <f t="shared" si="88"/>
        <v>0</v>
      </c>
      <c r="N359" s="323">
        <f t="shared" si="88"/>
        <v>77171.089999999851</v>
      </c>
      <c r="O359" s="323">
        <f t="shared" si="88"/>
        <v>61626975.659999982</v>
      </c>
      <c r="P359" s="323">
        <f t="shared" si="88"/>
        <v>64218352.999999896</v>
      </c>
    </row>
    <row r="360" spans="1:16" ht="30.75" thickTop="1" x14ac:dyDescent="0.2">
      <c r="A360" s="1012" t="s">
        <v>542</v>
      </c>
      <c r="B360" s="1013"/>
      <c r="C360" s="1013"/>
      <c r="D360" s="1013"/>
      <c r="E360" s="1013"/>
      <c r="F360" s="1013"/>
      <c r="G360" s="1013"/>
      <c r="H360" s="1013"/>
      <c r="I360" s="1013"/>
      <c r="J360" s="1013"/>
      <c r="K360" s="1013"/>
      <c r="L360" s="1013"/>
      <c r="M360" s="1013"/>
      <c r="N360" s="1013"/>
      <c r="O360" s="1013"/>
      <c r="P360" s="1013"/>
    </row>
    <row r="361" spans="1:16" ht="45" hidden="1" x14ac:dyDescent="0.2">
      <c r="A361" s="838"/>
      <c r="B361" s="839"/>
      <c r="C361" s="839"/>
      <c r="D361" s="839"/>
      <c r="E361" s="78">
        <f>F361</f>
        <v>2779068626.6599998</v>
      </c>
      <c r="F361" s="78">
        <f>6063271+(((77438986.82+'d2'!E19+((((2638170564+6058967+642850)-'d4'!F17+'d2'!E28)+16026676.66+1406835-100000)+9712966))+553900)+32367649.18-213900)</f>
        <v>2779068626.6599998</v>
      </c>
      <c r="G361" s="78">
        <f>460000-224000-5950000+288838-166226+((828700-600000+9997450+1414400+359540+((354000+540000+1494859+80242670+1114143912+4186600+68381820+89280550+40854695+37511680)-3284345.53+1122300+879350))-5636312+6090001.03-2025200-32000-1655)</f>
        <v>1440511626.5</v>
      </c>
      <c r="H361" s="78">
        <f>-288000+84639+614390+132700-46317+(133595871.79+1567000)</f>
        <v>135660283.79000002</v>
      </c>
      <c r="I361" s="78">
        <v>0</v>
      </c>
      <c r="J361" s="78">
        <f>7719491.66+(1200000-376956+52955840+(((-10623233.82+41402316+((((356021747.58+79713450)+73413409.53-123742.2+22276190+100000)+60000000+70000000)+26383129))+5835403.78+19271337.53)+10721564.82+213900))</f>
        <v>816103847.88</v>
      </c>
      <c r="K361" s="78">
        <f>7719491.66+(1200000-376956+52955840+(((-10623233.82+41402316-2300000-1326174+((((356021747.58+79713450)-4201200-630900-155853885)+73413409.53-123742.2-1155966.58-127015.03-854238.96-95000+(22276190-1700000+100000)+60000000+70000000)+26383129))+5835403.78+19271337.53)+10721564.82-2242250-500000+213900))</f>
        <v>645117218.31000006</v>
      </c>
      <c r="L361" s="78">
        <f>-46000+((-230522+1326174+((4201200-49000)+630900+(155853885-1788820-106000))+78600-9947+1155966.58+854238.96-50000)+2242250+222586-34800)</f>
        <v>164250711.54000002</v>
      </c>
      <c r="M361" s="78">
        <f>(332110+14400+(866362+41217060+104000+7345900))+1021459</f>
        <v>50901291</v>
      </c>
      <c r="N361" s="78">
        <v>14435909.09</v>
      </c>
      <c r="O361" s="78">
        <f>46000+(7719491.66+(1200000-376956+52955840+(((-10623233.82+41402316-2300000-1326174+2530522+((((356021747.58+79713450)-(4201200-49000)-630900-(155853885-1788820-106000))+16400+9947+(73413409.53-123742.2-95000-1155966.58-854238.96)+50000+(22276190+100000)+60000000+70000000)+26383129))+5835403.78+19271337.53)+10721564.82-2242250-222586+34800+213900)))</f>
        <v>651853136.33999991</v>
      </c>
      <c r="P361" s="78">
        <f>13782762.66+(1200000-376956+52955840+((((((2994192311.58+6058967+80356300)-'d4'!F20+'d2'!E28+(89440086.19-123742.2)+23683025+60000000+70000000)+36096095)+118841302.82+'d2'!E19-10623233.82)+4665403.78+1170000+19825237.53)+43089214))</f>
        <v>3595172474.54</v>
      </c>
    </row>
  </sheetData>
  <mergeCells count="190">
    <mergeCell ref="A360:P360"/>
    <mergeCell ref="K290:K291"/>
    <mergeCell ref="L290:L291"/>
    <mergeCell ref="M290:M291"/>
    <mergeCell ref="N290:N291"/>
    <mergeCell ref="O290:O291"/>
    <mergeCell ref="P290:P291"/>
    <mergeCell ref="P263:P264"/>
    <mergeCell ref="A290:A291"/>
    <mergeCell ref="B290:B291"/>
    <mergeCell ref="C290:C291"/>
    <mergeCell ref="E290:E291"/>
    <mergeCell ref="F290:F291"/>
    <mergeCell ref="G290:G291"/>
    <mergeCell ref="H290:H291"/>
    <mergeCell ref="I290:I291"/>
    <mergeCell ref="J290:J291"/>
    <mergeCell ref="J263:J264"/>
    <mergeCell ref="K263:K264"/>
    <mergeCell ref="L263:L264"/>
    <mergeCell ref="M263:M264"/>
    <mergeCell ref="N263:N264"/>
    <mergeCell ref="O263:O264"/>
    <mergeCell ref="O239:O240"/>
    <mergeCell ref="P239:P240"/>
    <mergeCell ref="A263:A264"/>
    <mergeCell ref="B263:B264"/>
    <mergeCell ref="C263:C264"/>
    <mergeCell ref="E263:E264"/>
    <mergeCell ref="F263:F264"/>
    <mergeCell ref="G263:G264"/>
    <mergeCell ref="H263:H264"/>
    <mergeCell ref="I263:I264"/>
    <mergeCell ref="I239:I240"/>
    <mergeCell ref="J239:J240"/>
    <mergeCell ref="K239:K240"/>
    <mergeCell ref="L239:L240"/>
    <mergeCell ref="M239:M240"/>
    <mergeCell ref="N239:N240"/>
    <mergeCell ref="A239:A240"/>
    <mergeCell ref="B239:B240"/>
    <mergeCell ref="C239:C240"/>
    <mergeCell ref="E239:E240"/>
    <mergeCell ref="F239:F240"/>
    <mergeCell ref="G239:G240"/>
    <mergeCell ref="H239:H240"/>
    <mergeCell ref="H167:H168"/>
    <mergeCell ref="I167:I168"/>
    <mergeCell ref="N151:N153"/>
    <mergeCell ref="O151:O153"/>
    <mergeCell ref="P151:P153"/>
    <mergeCell ref="A167:A168"/>
    <mergeCell ref="B167:B168"/>
    <mergeCell ref="C167:C168"/>
    <mergeCell ref="E167:E168"/>
    <mergeCell ref="F167:F168"/>
    <mergeCell ref="G167:G168"/>
    <mergeCell ref="H151:H153"/>
    <mergeCell ref="I151:I153"/>
    <mergeCell ref="J151:J153"/>
    <mergeCell ref="K151:K153"/>
    <mergeCell ref="L151:L153"/>
    <mergeCell ref="M151:M153"/>
    <mergeCell ref="N167:N168"/>
    <mergeCell ref="O167:O168"/>
    <mergeCell ref="P167:P168"/>
    <mergeCell ref="J167:J168"/>
    <mergeCell ref="K167:K168"/>
    <mergeCell ref="L167:L168"/>
    <mergeCell ref="M167:M168"/>
    <mergeCell ref="A151:A153"/>
    <mergeCell ref="B151:B153"/>
    <mergeCell ref="C151:C153"/>
    <mergeCell ref="E151:E153"/>
    <mergeCell ref="F151:F153"/>
    <mergeCell ref="G151:G153"/>
    <mergeCell ref="H148:H150"/>
    <mergeCell ref="I148:I150"/>
    <mergeCell ref="J148:J150"/>
    <mergeCell ref="N144:N147"/>
    <mergeCell ref="O144:O147"/>
    <mergeCell ref="P144:P147"/>
    <mergeCell ref="A148:A150"/>
    <mergeCell ref="B148:B150"/>
    <mergeCell ref="C148:C150"/>
    <mergeCell ref="E148:E150"/>
    <mergeCell ref="F148:F150"/>
    <mergeCell ref="G148:G150"/>
    <mergeCell ref="H144:H147"/>
    <mergeCell ref="I144:I147"/>
    <mergeCell ref="J144:J147"/>
    <mergeCell ref="K144:K147"/>
    <mergeCell ref="L144:L147"/>
    <mergeCell ref="M144:M147"/>
    <mergeCell ref="N148:N150"/>
    <mergeCell ref="O148:O150"/>
    <mergeCell ref="P148:P150"/>
    <mergeCell ref="K148:K150"/>
    <mergeCell ref="L148:L150"/>
    <mergeCell ref="M148:M150"/>
    <mergeCell ref="A144:A147"/>
    <mergeCell ref="B144:B147"/>
    <mergeCell ref="C144:C147"/>
    <mergeCell ref="E144:E147"/>
    <mergeCell ref="F144:F147"/>
    <mergeCell ref="G144:G147"/>
    <mergeCell ref="I141:I143"/>
    <mergeCell ref="J141:J143"/>
    <mergeCell ref="K141:K143"/>
    <mergeCell ref="P70:P71"/>
    <mergeCell ref="A141:A143"/>
    <mergeCell ref="B141:B143"/>
    <mergeCell ref="C141:C143"/>
    <mergeCell ref="E141:E143"/>
    <mergeCell ref="F141:F143"/>
    <mergeCell ref="G141:G143"/>
    <mergeCell ref="H141:H143"/>
    <mergeCell ref="H70:H71"/>
    <mergeCell ref="I70:I71"/>
    <mergeCell ref="J70:J71"/>
    <mergeCell ref="K70:K71"/>
    <mergeCell ref="L70:L71"/>
    <mergeCell ref="M70:M71"/>
    <mergeCell ref="O141:O143"/>
    <mergeCell ref="P141:P143"/>
    <mergeCell ref="L141:L143"/>
    <mergeCell ref="M141:M143"/>
    <mergeCell ref="N141:N143"/>
    <mergeCell ref="N51:N52"/>
    <mergeCell ref="O51:O52"/>
    <mergeCell ref="P51:P52"/>
    <mergeCell ref="A70:A71"/>
    <mergeCell ref="B70:B71"/>
    <mergeCell ref="C70:C71"/>
    <mergeCell ref="D70:D71"/>
    <mergeCell ref="E70:E71"/>
    <mergeCell ref="F70:F71"/>
    <mergeCell ref="G70:G71"/>
    <mergeCell ref="H51:H52"/>
    <mergeCell ref="I51:I52"/>
    <mergeCell ref="J51:J52"/>
    <mergeCell ref="K51:K52"/>
    <mergeCell ref="L51:L52"/>
    <mergeCell ref="M51:M52"/>
    <mergeCell ref="A51:A52"/>
    <mergeCell ref="B51:B52"/>
    <mergeCell ref="C51:C52"/>
    <mergeCell ref="E51:E52"/>
    <mergeCell ref="F51:F52"/>
    <mergeCell ref="G51:G52"/>
    <mergeCell ref="N70:N71"/>
    <mergeCell ref="O70:O71"/>
    <mergeCell ref="K30:K31"/>
    <mergeCell ref="L30:L31"/>
    <mergeCell ref="M30:M31"/>
    <mergeCell ref="N30:N31"/>
    <mergeCell ref="O30:O31"/>
    <mergeCell ref="P30:P31"/>
    <mergeCell ref="O13:O14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A10:B10"/>
    <mergeCell ref="A12:A14"/>
    <mergeCell ref="B12:B14"/>
    <mergeCell ref="C12:C14"/>
    <mergeCell ref="D12:D14"/>
    <mergeCell ref="E12:I12"/>
    <mergeCell ref="N2:P2"/>
    <mergeCell ref="N3:P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</mergeCells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5" max="15" man="1"/>
    <brk id="52" max="15" man="1"/>
    <brk id="262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J137"/>
  <sheetViews>
    <sheetView showZeros="0" view="pageBreakPreview" zoomScale="115" zoomScaleSheetLayoutView="115" workbookViewId="0">
      <selection activeCell="I46" sqref="I46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7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49" t="s">
        <v>62</v>
      </c>
      <c r="E1" s="950"/>
      <c r="F1" s="950"/>
      <c r="G1" s="950"/>
    </row>
    <row r="2" spans="1:7" ht="15.75" x14ac:dyDescent="0.2">
      <c r="C2" s="12"/>
      <c r="D2" s="949" t="s">
        <v>1374</v>
      </c>
      <c r="E2" s="951"/>
      <c r="F2" s="951"/>
      <c r="G2" s="951"/>
    </row>
    <row r="3" spans="1:7" ht="6" customHeight="1" x14ac:dyDescent="0.2">
      <c r="C3" s="12"/>
      <c r="D3" s="949"/>
      <c r="E3" s="951"/>
      <c r="F3" s="951"/>
      <c r="G3" s="951"/>
    </row>
    <row r="4" spans="1:7" ht="12.75" customHeight="1" x14ac:dyDescent="0.2">
      <c r="A4" s="952"/>
      <c r="B4" s="952"/>
      <c r="C4" s="952"/>
      <c r="D4" s="952"/>
      <c r="E4" s="952"/>
    </row>
    <row r="5" spans="1:7" ht="20.25" x14ac:dyDescent="0.2">
      <c r="A5" s="952" t="s">
        <v>613</v>
      </c>
      <c r="B5" s="953"/>
      <c r="C5" s="953"/>
      <c r="D5" s="953"/>
      <c r="E5" s="953"/>
      <c r="F5" s="953"/>
    </row>
    <row r="6" spans="1:7" ht="20.25" x14ac:dyDescent="0.2">
      <c r="A6" s="858"/>
      <c r="B6" s="80" t="s">
        <v>630</v>
      </c>
      <c r="C6" s="858"/>
      <c r="D6" s="858"/>
      <c r="E6" s="858"/>
    </row>
    <row r="7" spans="1:7" ht="13.5" thickBot="1" x14ac:dyDescent="0.25">
      <c r="B7" s="686"/>
      <c r="C7" s="686"/>
      <c r="D7" s="686"/>
      <c r="E7" s="686"/>
      <c r="F7" s="686" t="s">
        <v>63</v>
      </c>
    </row>
    <row r="8" spans="1:7" ht="14.25" thickTop="1" thickBot="1" x14ac:dyDescent="0.25">
      <c r="A8" s="948" t="s">
        <v>64</v>
      </c>
      <c r="B8" s="948" t="s">
        <v>65</v>
      </c>
      <c r="C8" s="948" t="s">
        <v>410</v>
      </c>
      <c r="D8" s="948" t="s">
        <v>12</v>
      </c>
      <c r="E8" s="948" t="s">
        <v>57</v>
      </c>
      <c r="F8" s="948"/>
      <c r="G8" s="13"/>
    </row>
    <row r="9" spans="1:7" ht="39.75" thickTop="1" thickBot="1" x14ac:dyDescent="0.3">
      <c r="A9" s="948"/>
      <c r="B9" s="948"/>
      <c r="C9" s="948"/>
      <c r="D9" s="948"/>
      <c r="E9" s="856" t="s">
        <v>410</v>
      </c>
      <c r="F9" s="856" t="s">
        <v>454</v>
      </c>
      <c r="G9" s="14"/>
    </row>
    <row r="10" spans="1:7" ht="16.5" thickTop="1" thickBot="1" x14ac:dyDescent="0.3">
      <c r="A10" s="856">
        <v>1</v>
      </c>
      <c r="B10" s="856">
        <v>2</v>
      </c>
      <c r="C10" s="856">
        <v>3</v>
      </c>
      <c r="D10" s="856">
        <v>4</v>
      </c>
      <c r="E10" s="856">
        <v>5</v>
      </c>
      <c r="F10" s="856">
        <v>6</v>
      </c>
      <c r="G10" s="14"/>
    </row>
    <row r="11" spans="1:7" ht="25.5" customHeight="1" thickTop="1" thickBot="1" x14ac:dyDescent="0.25">
      <c r="A11" s="708">
        <v>10000000</v>
      </c>
      <c r="B11" s="708" t="s">
        <v>66</v>
      </c>
      <c r="C11" s="709">
        <f t="shared" ref="C11:C74" si="0">SUM(D11,E11)</f>
        <v>2296860678</v>
      </c>
      <c r="D11" s="709">
        <f>SUM(D12,D25,D31,D50,D20)</f>
        <v>2296229778</v>
      </c>
      <c r="E11" s="709">
        <f>SUM(E12,E25,E31,E50,E20)</f>
        <v>630900</v>
      </c>
      <c r="F11" s="709">
        <f>SUM(F12,F25,F31,F50,F20)</f>
        <v>0</v>
      </c>
      <c r="G11" s="15"/>
    </row>
    <row r="12" spans="1:7" ht="31.5" customHeight="1" thickTop="1" thickBot="1" x14ac:dyDescent="0.25">
      <c r="A12" s="856">
        <v>11000000</v>
      </c>
      <c r="B12" s="856" t="s">
        <v>67</v>
      </c>
      <c r="C12" s="909">
        <f>SUM(D12,E12)</f>
        <v>1539280028</v>
      </c>
      <c r="D12" s="909">
        <f>SUM(D13,D18)</f>
        <v>1539280028</v>
      </c>
      <c r="E12" s="909"/>
      <c r="F12" s="909"/>
      <c r="G12" s="16"/>
    </row>
    <row r="13" spans="1:7" ht="24.75" customHeight="1" thickTop="1" thickBot="1" x14ac:dyDescent="0.25">
      <c r="A13" s="910">
        <v>11010000</v>
      </c>
      <c r="B13" s="911" t="s">
        <v>68</v>
      </c>
      <c r="C13" s="912">
        <f t="shared" si="0"/>
        <v>1538280028</v>
      </c>
      <c r="D13" s="912">
        <f>SUM(D14:D17)</f>
        <v>1538280028</v>
      </c>
      <c r="E13" s="912"/>
      <c r="F13" s="912"/>
      <c r="G13" s="16"/>
    </row>
    <row r="14" spans="1:7" ht="39.75" thickTop="1" thickBot="1" x14ac:dyDescent="0.25">
      <c r="A14" s="913">
        <v>11010100</v>
      </c>
      <c r="B14" s="914" t="s">
        <v>69</v>
      </c>
      <c r="C14" s="909">
        <f t="shared" si="0"/>
        <v>1274804070</v>
      </c>
      <c r="D14" s="915">
        <v>1274804070</v>
      </c>
      <c r="E14" s="915"/>
      <c r="F14" s="915"/>
      <c r="G14" s="16"/>
    </row>
    <row r="15" spans="1:7" ht="65.25" thickTop="1" thickBot="1" x14ac:dyDescent="0.25">
      <c r="A15" s="913">
        <v>11010200</v>
      </c>
      <c r="B15" s="914" t="s">
        <v>70</v>
      </c>
      <c r="C15" s="909">
        <f t="shared" si="0"/>
        <v>202378000</v>
      </c>
      <c r="D15" s="915">
        <v>202378000</v>
      </c>
      <c r="E15" s="915"/>
      <c r="F15" s="915"/>
      <c r="G15" s="16"/>
    </row>
    <row r="16" spans="1:7" ht="39.75" thickTop="1" thickBot="1" x14ac:dyDescent="0.25">
      <c r="A16" s="913">
        <v>11010400</v>
      </c>
      <c r="B16" s="914" t="s">
        <v>71</v>
      </c>
      <c r="C16" s="909">
        <f t="shared" si="0"/>
        <v>36966300</v>
      </c>
      <c r="D16" s="915">
        <f>(33686300)+3280000</f>
        <v>36966300</v>
      </c>
      <c r="E16" s="915"/>
      <c r="F16" s="915"/>
      <c r="G16" s="16"/>
    </row>
    <row r="17" spans="1:7" ht="39.75" thickTop="1" thickBot="1" x14ac:dyDescent="0.3">
      <c r="A17" s="913">
        <v>11010500</v>
      </c>
      <c r="B17" s="914" t="s">
        <v>72</v>
      </c>
      <c r="C17" s="909">
        <f t="shared" si="0"/>
        <v>24131658</v>
      </c>
      <c r="D17" s="915">
        <f>(22131658)+2000000</f>
        <v>24131658</v>
      </c>
      <c r="E17" s="915"/>
      <c r="F17" s="915"/>
      <c r="G17" s="14"/>
    </row>
    <row r="18" spans="1:7" ht="28.5" customHeight="1" thickTop="1" thickBot="1" x14ac:dyDescent="0.25">
      <c r="A18" s="910">
        <v>11020000</v>
      </c>
      <c r="B18" s="911" t="s">
        <v>73</v>
      </c>
      <c r="C18" s="912">
        <f>SUM(D18,E18)</f>
        <v>1000000</v>
      </c>
      <c r="D18" s="916">
        <f>D19</f>
        <v>1000000</v>
      </c>
      <c r="E18" s="916"/>
      <c r="F18" s="916"/>
      <c r="G18" s="15"/>
    </row>
    <row r="19" spans="1:7" ht="27" thickTop="1" thickBot="1" x14ac:dyDescent="0.3">
      <c r="A19" s="913">
        <v>11020200</v>
      </c>
      <c r="B19" s="917" t="s">
        <v>74</v>
      </c>
      <c r="C19" s="909">
        <f>SUM(D19,E19)</f>
        <v>1000000</v>
      </c>
      <c r="D19" s="915">
        <v>1000000</v>
      </c>
      <c r="E19" s="918"/>
      <c r="F19" s="915"/>
      <c r="G19" s="14"/>
    </row>
    <row r="20" spans="1:7" ht="27" thickTop="1" thickBot="1" x14ac:dyDescent="0.3">
      <c r="A20" s="856">
        <v>13000000</v>
      </c>
      <c r="B20" s="919" t="s">
        <v>614</v>
      </c>
      <c r="C20" s="909">
        <f>D20+E20</f>
        <v>1053000</v>
      </c>
      <c r="D20" s="909">
        <f>SUM(D21,D23)</f>
        <v>1053000</v>
      </c>
      <c r="E20" s="918"/>
      <c r="F20" s="915"/>
      <c r="G20" s="14"/>
    </row>
    <row r="21" spans="1:7" ht="28.5" thickTop="1" thickBot="1" x14ac:dyDescent="0.3">
      <c r="A21" s="910">
        <v>13010000</v>
      </c>
      <c r="B21" s="920" t="s">
        <v>615</v>
      </c>
      <c r="C21" s="912">
        <f>D21+E21</f>
        <v>1052400</v>
      </c>
      <c r="D21" s="912">
        <f>SUM(D22)</f>
        <v>1052400</v>
      </c>
      <c r="E21" s="916"/>
      <c r="F21" s="912"/>
      <c r="G21" s="14"/>
    </row>
    <row r="22" spans="1:7" ht="65.25" thickTop="1" thickBot="1" x14ac:dyDescent="0.3">
      <c r="A22" s="913">
        <v>13010200</v>
      </c>
      <c r="B22" s="921" t="s">
        <v>616</v>
      </c>
      <c r="C22" s="909">
        <f t="shared" ref="C22:C25" si="1">D22+E22</f>
        <v>1052400</v>
      </c>
      <c r="D22" s="915">
        <f>1052400+150000-150000</f>
        <v>1052400</v>
      </c>
      <c r="E22" s="918"/>
      <c r="F22" s="915"/>
      <c r="G22" s="14"/>
    </row>
    <row r="23" spans="1:7" ht="16.5" thickTop="1" thickBot="1" x14ac:dyDescent="0.3">
      <c r="A23" s="910">
        <v>13030000</v>
      </c>
      <c r="B23" s="922" t="s">
        <v>617</v>
      </c>
      <c r="C23" s="912">
        <f>D23+E23</f>
        <v>600</v>
      </c>
      <c r="D23" s="912">
        <f>SUM(D24)</f>
        <v>600</v>
      </c>
      <c r="E23" s="916"/>
      <c r="F23" s="912"/>
      <c r="G23" s="14"/>
    </row>
    <row r="24" spans="1:7" ht="39.75" thickTop="1" thickBot="1" x14ac:dyDescent="0.3">
      <c r="A24" s="913">
        <v>13030100</v>
      </c>
      <c r="B24" s="921" t="s">
        <v>618</v>
      </c>
      <c r="C24" s="909">
        <f t="shared" si="1"/>
        <v>600</v>
      </c>
      <c r="D24" s="915">
        <v>600</v>
      </c>
      <c r="E24" s="918"/>
      <c r="F24" s="915"/>
      <c r="G24" s="14"/>
    </row>
    <row r="25" spans="1:7" ht="26.25" customHeight="1" thickTop="1" thickBot="1" x14ac:dyDescent="0.3">
      <c r="A25" s="856">
        <v>14000000</v>
      </c>
      <c r="B25" s="919" t="s">
        <v>621</v>
      </c>
      <c r="C25" s="909">
        <f t="shared" si="1"/>
        <v>167376900</v>
      </c>
      <c r="D25" s="909">
        <f>SUM(D26,D28,D30)</f>
        <v>167376900</v>
      </c>
      <c r="E25" s="923"/>
      <c r="F25" s="915"/>
      <c r="G25" s="14"/>
    </row>
    <row r="26" spans="1:7" ht="30" customHeight="1" thickTop="1" thickBot="1" x14ac:dyDescent="0.3">
      <c r="A26" s="910">
        <v>14020000</v>
      </c>
      <c r="B26" s="920" t="s">
        <v>772</v>
      </c>
      <c r="C26" s="912">
        <f>SUM(D26,E26)</f>
        <v>17500000</v>
      </c>
      <c r="D26" s="912">
        <f>SUM(D27,E27)</f>
        <v>17500000</v>
      </c>
      <c r="E26" s="916"/>
      <c r="F26" s="924"/>
      <c r="G26" s="14"/>
    </row>
    <row r="27" spans="1:7" ht="16.5" thickTop="1" thickBot="1" x14ac:dyDescent="0.3">
      <c r="A27" s="913">
        <v>14021900</v>
      </c>
      <c r="B27" s="917" t="s">
        <v>771</v>
      </c>
      <c r="C27" s="915">
        <f>SUM(D27,E27)</f>
        <v>17500000</v>
      </c>
      <c r="D27" s="915">
        <v>17500000</v>
      </c>
      <c r="E27" s="923"/>
      <c r="F27" s="915"/>
      <c r="G27" s="14"/>
    </row>
    <row r="28" spans="1:7" ht="42" thickTop="1" thickBot="1" x14ac:dyDescent="0.3">
      <c r="A28" s="910">
        <v>14030000</v>
      </c>
      <c r="B28" s="920" t="s">
        <v>773</v>
      </c>
      <c r="C28" s="912">
        <f>SUM(D28,E28)</f>
        <v>65500000</v>
      </c>
      <c r="D28" s="912">
        <f>SUM(D29,E29)</f>
        <v>65500000</v>
      </c>
      <c r="E28" s="916"/>
      <c r="F28" s="924"/>
      <c r="G28" s="14"/>
    </row>
    <row r="29" spans="1:7" ht="16.5" thickTop="1" thickBot="1" x14ac:dyDescent="0.3">
      <c r="A29" s="913">
        <v>14031900</v>
      </c>
      <c r="B29" s="917" t="s">
        <v>771</v>
      </c>
      <c r="C29" s="915">
        <f>SUM(D29,E29)</f>
        <v>65500000</v>
      </c>
      <c r="D29" s="915">
        <v>65500000</v>
      </c>
      <c r="E29" s="923"/>
      <c r="F29" s="915"/>
      <c r="G29" s="14"/>
    </row>
    <row r="30" spans="1:7" ht="42" thickTop="1" thickBot="1" x14ac:dyDescent="0.25">
      <c r="A30" s="910">
        <v>14040000</v>
      </c>
      <c r="B30" s="911" t="s">
        <v>1375</v>
      </c>
      <c r="C30" s="912">
        <f>SUM(D30,E30)</f>
        <v>84376900</v>
      </c>
      <c r="D30" s="912">
        <f>79376900+5000000</f>
        <v>84376900</v>
      </c>
      <c r="E30" s="924"/>
      <c r="F30" s="924"/>
      <c r="G30" s="17"/>
    </row>
    <row r="31" spans="1:7" ht="29.25" customHeight="1" thickTop="1" thickBot="1" x14ac:dyDescent="0.3">
      <c r="A31" s="856">
        <v>18000000</v>
      </c>
      <c r="B31" s="856" t="s">
        <v>75</v>
      </c>
      <c r="C31" s="909">
        <f t="shared" si="0"/>
        <v>588519850</v>
      </c>
      <c r="D31" s="909">
        <f>SUM(D32,D43,D46)</f>
        <v>588519850</v>
      </c>
      <c r="E31" s="909"/>
      <c r="F31" s="909"/>
      <c r="G31" s="14"/>
    </row>
    <row r="32" spans="1:7" ht="16.5" thickTop="1" thickBot="1" x14ac:dyDescent="0.3">
      <c r="A32" s="910">
        <v>18010000</v>
      </c>
      <c r="B32" s="925" t="s">
        <v>76</v>
      </c>
      <c r="C32" s="912">
        <f>SUM(D32,E32)</f>
        <v>213361150</v>
      </c>
      <c r="D32" s="912">
        <f>SUM(D33:D42)</f>
        <v>213361150</v>
      </c>
      <c r="E32" s="912"/>
      <c r="F32" s="912"/>
      <c r="G32" s="14"/>
    </row>
    <row r="33" spans="1:7" ht="52.5" thickTop="1" thickBot="1" x14ac:dyDescent="0.3">
      <c r="A33" s="913">
        <v>18010100</v>
      </c>
      <c r="B33" s="926" t="s">
        <v>77</v>
      </c>
      <c r="C33" s="909">
        <f t="shared" si="0"/>
        <v>253400</v>
      </c>
      <c r="D33" s="915">
        <v>253400</v>
      </c>
      <c r="E33" s="915"/>
      <c r="F33" s="915"/>
      <c r="G33" s="14"/>
    </row>
    <row r="34" spans="1:7" ht="52.5" thickTop="1" thickBot="1" x14ac:dyDescent="0.3">
      <c r="A34" s="913">
        <v>18010200</v>
      </c>
      <c r="B34" s="926" t="s">
        <v>78</v>
      </c>
      <c r="C34" s="909">
        <f t="shared" si="0"/>
        <v>14364650</v>
      </c>
      <c r="D34" s="915">
        <v>14364650</v>
      </c>
      <c r="E34" s="915"/>
      <c r="F34" s="915"/>
      <c r="G34" s="14"/>
    </row>
    <row r="35" spans="1:7" ht="52.5" thickTop="1" thickBot="1" x14ac:dyDescent="0.3">
      <c r="A35" s="913">
        <v>18010300</v>
      </c>
      <c r="B35" s="926" t="s">
        <v>79</v>
      </c>
      <c r="C35" s="909">
        <f t="shared" si="0"/>
        <v>2316000</v>
      </c>
      <c r="D35" s="915">
        <v>2316000</v>
      </c>
      <c r="E35" s="915"/>
      <c r="F35" s="915"/>
      <c r="G35" s="14"/>
    </row>
    <row r="36" spans="1:7" ht="52.5" thickTop="1" thickBot="1" x14ac:dyDescent="0.3">
      <c r="A36" s="913">
        <v>18010400</v>
      </c>
      <c r="B36" s="926" t="s">
        <v>80</v>
      </c>
      <c r="C36" s="909">
        <f t="shared" si="0"/>
        <v>12860800</v>
      </c>
      <c r="D36" s="915">
        <v>12860800</v>
      </c>
      <c r="E36" s="915"/>
      <c r="F36" s="915"/>
      <c r="G36" s="14"/>
    </row>
    <row r="37" spans="1:7" ht="16.5" thickTop="1" thickBot="1" x14ac:dyDescent="0.3">
      <c r="A37" s="913">
        <v>18010500</v>
      </c>
      <c r="B37" s="917" t="s">
        <v>81</v>
      </c>
      <c r="C37" s="909">
        <f t="shared" si="0"/>
        <v>39345000</v>
      </c>
      <c r="D37" s="915">
        <f>38400000+600000+345000</f>
        <v>39345000</v>
      </c>
      <c r="E37" s="915"/>
      <c r="F37" s="915"/>
      <c r="G37" s="14"/>
    </row>
    <row r="38" spans="1:7" ht="16.5" thickTop="1" thickBot="1" x14ac:dyDescent="0.3">
      <c r="A38" s="913">
        <v>18010600</v>
      </c>
      <c r="B38" s="926" t="s">
        <v>82</v>
      </c>
      <c r="C38" s="909">
        <f t="shared" si="0"/>
        <v>109504000</v>
      </c>
      <c r="D38" s="915">
        <f>107104000+2400000</f>
        <v>109504000</v>
      </c>
      <c r="E38" s="915"/>
      <c r="F38" s="915"/>
      <c r="G38" s="14"/>
    </row>
    <row r="39" spans="1:7" ht="16.5" thickTop="1" thickBot="1" x14ac:dyDescent="0.3">
      <c r="A39" s="913">
        <v>18010700</v>
      </c>
      <c r="B39" s="926" t="s">
        <v>83</v>
      </c>
      <c r="C39" s="909">
        <f t="shared" si="0"/>
        <v>2433200</v>
      </c>
      <c r="D39" s="915">
        <v>2433200</v>
      </c>
      <c r="E39" s="915"/>
      <c r="F39" s="915"/>
      <c r="G39" s="14"/>
    </row>
    <row r="40" spans="1:7" ht="16.5" thickTop="1" thickBot="1" x14ac:dyDescent="0.3">
      <c r="A40" s="913">
        <v>18010900</v>
      </c>
      <c r="B40" s="926" t="s">
        <v>84</v>
      </c>
      <c r="C40" s="909">
        <f t="shared" si="0"/>
        <v>31584100</v>
      </c>
      <c r="D40" s="915">
        <f>29984100+1600000</f>
        <v>31584100</v>
      </c>
      <c r="E40" s="915"/>
      <c r="F40" s="915"/>
      <c r="G40" s="14"/>
    </row>
    <row r="41" spans="1:7" ht="15.75" thickTop="1" thickBot="1" x14ac:dyDescent="0.25">
      <c r="A41" s="913">
        <v>18011000</v>
      </c>
      <c r="B41" s="926" t="s">
        <v>85</v>
      </c>
      <c r="C41" s="909">
        <f t="shared" si="0"/>
        <v>400000</v>
      </c>
      <c r="D41" s="915">
        <v>400000</v>
      </c>
      <c r="E41" s="915"/>
      <c r="F41" s="915"/>
      <c r="G41" s="15"/>
    </row>
    <row r="42" spans="1:7" ht="16.5" thickTop="1" thickBot="1" x14ac:dyDescent="0.3">
      <c r="A42" s="913">
        <v>18011100</v>
      </c>
      <c r="B42" s="926" t="s">
        <v>86</v>
      </c>
      <c r="C42" s="909">
        <f t="shared" si="0"/>
        <v>300000</v>
      </c>
      <c r="D42" s="915">
        <v>300000</v>
      </c>
      <c r="E42" s="915"/>
      <c r="F42" s="915"/>
      <c r="G42" s="14"/>
    </row>
    <row r="43" spans="1:7" ht="16.5" thickTop="1" thickBot="1" x14ac:dyDescent="0.3">
      <c r="A43" s="910">
        <v>18030000</v>
      </c>
      <c r="B43" s="925" t="s">
        <v>87</v>
      </c>
      <c r="C43" s="912">
        <f>SUM(D43,E43)</f>
        <v>720000</v>
      </c>
      <c r="D43" s="912">
        <f>SUM(D44:D45)</f>
        <v>720000</v>
      </c>
      <c r="E43" s="912"/>
      <c r="F43" s="912"/>
      <c r="G43" s="14"/>
    </row>
    <row r="44" spans="1:7" ht="27" thickTop="1" thickBot="1" x14ac:dyDescent="0.3">
      <c r="A44" s="913">
        <v>18030100</v>
      </c>
      <c r="B44" s="926" t="s">
        <v>88</v>
      </c>
      <c r="C44" s="909">
        <f>SUM(D44,E44)</f>
        <v>465000</v>
      </c>
      <c r="D44" s="915">
        <f>385000+80000</f>
        <v>465000</v>
      </c>
      <c r="E44" s="915"/>
      <c r="F44" s="915"/>
      <c r="G44" s="14"/>
    </row>
    <row r="45" spans="1:7" ht="27" thickTop="1" thickBot="1" x14ac:dyDescent="0.3">
      <c r="A45" s="913">
        <v>18030200</v>
      </c>
      <c r="B45" s="926" t="s">
        <v>89</v>
      </c>
      <c r="C45" s="909">
        <f>SUM(D45,E45)</f>
        <v>255000</v>
      </c>
      <c r="D45" s="915">
        <f>235000+20000</f>
        <v>255000</v>
      </c>
      <c r="E45" s="915"/>
      <c r="F45" s="915"/>
      <c r="G45" s="14"/>
    </row>
    <row r="46" spans="1:7" ht="16.5" thickTop="1" thickBot="1" x14ac:dyDescent="0.3">
      <c r="A46" s="910">
        <v>18050000</v>
      </c>
      <c r="B46" s="925" t="s">
        <v>90</v>
      </c>
      <c r="C46" s="912">
        <f>SUM(D46,E46)</f>
        <v>374438700</v>
      </c>
      <c r="D46" s="912">
        <f>SUM(D47:D49)</f>
        <v>374438700</v>
      </c>
      <c r="E46" s="924"/>
      <c r="F46" s="924"/>
      <c r="G46" s="14"/>
    </row>
    <row r="47" spans="1:7" ht="16.5" thickTop="1" thickBot="1" x14ac:dyDescent="0.3">
      <c r="A47" s="913">
        <v>18050300</v>
      </c>
      <c r="B47" s="914" t="s">
        <v>1376</v>
      </c>
      <c r="C47" s="909">
        <f t="shared" si="0"/>
        <v>65570000</v>
      </c>
      <c r="D47" s="915">
        <f>65570000</f>
        <v>65570000</v>
      </c>
      <c r="E47" s="915"/>
      <c r="F47" s="915"/>
      <c r="G47" s="14"/>
    </row>
    <row r="48" spans="1:7" ht="15.75" thickTop="1" thickBot="1" x14ac:dyDescent="0.25">
      <c r="A48" s="913">
        <v>18050400</v>
      </c>
      <c r="B48" s="926" t="s">
        <v>91</v>
      </c>
      <c r="C48" s="909">
        <f t="shared" si="0"/>
        <v>304857530</v>
      </c>
      <c r="D48" s="915">
        <f>299857530+5000000</f>
        <v>304857530</v>
      </c>
      <c r="E48" s="915"/>
      <c r="F48" s="915"/>
      <c r="G48" s="15"/>
    </row>
    <row r="49" spans="1:7" ht="65.25" thickTop="1" thickBot="1" x14ac:dyDescent="0.25">
      <c r="A49" s="913">
        <v>18050500</v>
      </c>
      <c r="B49" s="926" t="s">
        <v>629</v>
      </c>
      <c r="C49" s="909">
        <f t="shared" si="0"/>
        <v>4011170</v>
      </c>
      <c r="D49" s="915">
        <v>4011170</v>
      </c>
      <c r="E49" s="915"/>
      <c r="F49" s="915"/>
      <c r="G49" s="152"/>
    </row>
    <row r="50" spans="1:7" ht="31.5" customHeight="1" thickTop="1" thickBot="1" x14ac:dyDescent="0.25">
      <c r="A50" s="856">
        <v>19000000</v>
      </c>
      <c r="B50" s="927" t="s">
        <v>622</v>
      </c>
      <c r="C50" s="909">
        <f t="shared" si="0"/>
        <v>630900</v>
      </c>
      <c r="D50" s="909"/>
      <c r="E50" s="909">
        <f>SUM(E52:E54)</f>
        <v>630900</v>
      </c>
      <c r="F50" s="915"/>
      <c r="G50" s="15"/>
    </row>
    <row r="51" spans="1:7" ht="16.5" thickTop="1" thickBot="1" x14ac:dyDescent="0.3">
      <c r="A51" s="910">
        <v>1901000</v>
      </c>
      <c r="B51" s="911" t="s">
        <v>92</v>
      </c>
      <c r="C51" s="912">
        <f t="shared" si="0"/>
        <v>630900</v>
      </c>
      <c r="D51" s="912">
        <f>SUM(D52:D54)</f>
        <v>0</v>
      </c>
      <c r="E51" s="912">
        <f>SUM(E52:E54)</f>
        <v>630900</v>
      </c>
      <c r="F51" s="912"/>
      <c r="G51" s="14"/>
    </row>
    <row r="52" spans="1:7" ht="65.25" thickTop="1" thickBot="1" x14ac:dyDescent="0.3">
      <c r="A52" s="913">
        <v>19010100</v>
      </c>
      <c r="B52" s="914" t="s">
        <v>623</v>
      </c>
      <c r="C52" s="909">
        <f t="shared" si="0"/>
        <v>255750</v>
      </c>
      <c r="D52" s="915"/>
      <c r="E52" s="915">
        <v>255750</v>
      </c>
      <c r="F52" s="915"/>
      <c r="G52" s="14"/>
    </row>
    <row r="53" spans="1:7" ht="27" thickTop="1" thickBot="1" x14ac:dyDescent="0.25">
      <c r="A53" s="913">
        <v>19010200</v>
      </c>
      <c r="B53" s="914" t="s">
        <v>93</v>
      </c>
      <c r="C53" s="909">
        <f t="shared" si="0"/>
        <v>120000</v>
      </c>
      <c r="D53" s="915"/>
      <c r="E53" s="915">
        <v>120000</v>
      </c>
      <c r="F53" s="915"/>
      <c r="G53" s="17"/>
    </row>
    <row r="54" spans="1:7" ht="52.5" thickTop="1" thickBot="1" x14ac:dyDescent="0.3">
      <c r="A54" s="913">
        <v>19010300</v>
      </c>
      <c r="B54" s="914" t="s">
        <v>94</v>
      </c>
      <c r="C54" s="909">
        <f t="shared" si="0"/>
        <v>255150</v>
      </c>
      <c r="D54" s="915"/>
      <c r="E54" s="915">
        <v>255150</v>
      </c>
      <c r="F54" s="915"/>
      <c r="G54" s="14"/>
    </row>
    <row r="55" spans="1:7" ht="30" customHeight="1" thickTop="1" thickBot="1" x14ac:dyDescent="0.3">
      <c r="A55" s="708">
        <v>20000000</v>
      </c>
      <c r="B55" s="708" t="s">
        <v>95</v>
      </c>
      <c r="C55" s="709">
        <f t="shared" si="0"/>
        <v>219495285</v>
      </c>
      <c r="D55" s="709">
        <f>SUM(D56,D64,D74,D79)</f>
        <v>54977964</v>
      </c>
      <c r="E55" s="709">
        <f>SUM(E56,E64,E74,E79)</f>
        <v>164517321</v>
      </c>
      <c r="F55" s="709">
        <f>SUM(F56,F64,F74,F79)</f>
        <v>5000012</v>
      </c>
      <c r="G55" s="14"/>
    </row>
    <row r="56" spans="1:7" ht="27" thickTop="1" thickBot="1" x14ac:dyDescent="0.3">
      <c r="A56" s="856">
        <v>21000000</v>
      </c>
      <c r="B56" s="856" t="s">
        <v>624</v>
      </c>
      <c r="C56" s="909">
        <f>SUM(D56,E56)</f>
        <v>16626004</v>
      </c>
      <c r="D56" s="909">
        <f>SUM(D57,D60,D59)</f>
        <v>16626004</v>
      </c>
      <c r="E56" s="909"/>
      <c r="F56" s="909"/>
      <c r="G56" s="14"/>
    </row>
    <row r="57" spans="1:7" ht="55.5" thickTop="1" thickBot="1" x14ac:dyDescent="0.3">
      <c r="A57" s="910">
        <v>21010000</v>
      </c>
      <c r="B57" s="920" t="s">
        <v>625</v>
      </c>
      <c r="C57" s="912">
        <f t="shared" si="0"/>
        <v>568800</v>
      </c>
      <c r="D57" s="912">
        <f>D58</f>
        <v>568800</v>
      </c>
      <c r="E57" s="912"/>
      <c r="F57" s="912"/>
      <c r="G57" s="14"/>
    </row>
    <row r="58" spans="1:7" ht="52.5" thickTop="1" thickBot="1" x14ac:dyDescent="0.3">
      <c r="A58" s="913">
        <v>21010300</v>
      </c>
      <c r="B58" s="917" t="s">
        <v>96</v>
      </c>
      <c r="C58" s="909">
        <f t="shared" si="0"/>
        <v>568800</v>
      </c>
      <c r="D58" s="915">
        <v>568800</v>
      </c>
      <c r="E58" s="915"/>
      <c r="F58" s="915"/>
      <c r="G58" s="14"/>
    </row>
    <row r="59" spans="1:7" ht="28.5" thickTop="1" thickBot="1" x14ac:dyDescent="0.3">
      <c r="A59" s="910">
        <v>21050000</v>
      </c>
      <c r="B59" s="920" t="s">
        <v>97</v>
      </c>
      <c r="C59" s="912">
        <f t="shared" si="0"/>
        <v>4000000</v>
      </c>
      <c r="D59" s="912">
        <f>2500000+1500000</f>
        <v>4000000</v>
      </c>
      <c r="E59" s="912"/>
      <c r="F59" s="912"/>
      <c r="G59" s="14"/>
    </row>
    <row r="60" spans="1:7" ht="15" thickTop="1" thickBot="1" x14ac:dyDescent="0.25">
      <c r="A60" s="910">
        <v>21080000</v>
      </c>
      <c r="B60" s="920" t="s">
        <v>1377</v>
      </c>
      <c r="C60" s="912">
        <f t="shared" si="0"/>
        <v>12057204</v>
      </c>
      <c r="D60" s="916">
        <f>SUM(D61:D63)</f>
        <v>12057204</v>
      </c>
      <c r="E60" s="912"/>
      <c r="F60" s="912"/>
      <c r="G60" s="17"/>
    </row>
    <row r="61" spans="1:7" ht="16.5" thickTop="1" thickBot="1" x14ac:dyDescent="0.3">
      <c r="A61" s="913">
        <v>21081100</v>
      </c>
      <c r="B61" s="928" t="s">
        <v>98</v>
      </c>
      <c r="C61" s="909">
        <f t="shared" si="0"/>
        <v>1007204</v>
      </c>
      <c r="D61" s="918">
        <f>507204+500000</f>
        <v>1007204</v>
      </c>
      <c r="E61" s="915"/>
      <c r="F61" s="915"/>
      <c r="G61" s="14"/>
    </row>
    <row r="62" spans="1:7" ht="52.5" thickTop="1" thickBot="1" x14ac:dyDescent="0.3">
      <c r="A62" s="913">
        <v>21081500</v>
      </c>
      <c r="B62" s="914" t="s">
        <v>99</v>
      </c>
      <c r="C62" s="909">
        <f t="shared" si="0"/>
        <v>1550000</v>
      </c>
      <c r="D62" s="915">
        <f>800000+750000</f>
        <v>1550000</v>
      </c>
      <c r="E62" s="915"/>
      <c r="F62" s="915"/>
      <c r="G62" s="14"/>
    </row>
    <row r="63" spans="1:7" ht="16.5" thickTop="1" thickBot="1" x14ac:dyDescent="0.3">
      <c r="A63" s="913">
        <v>21081700</v>
      </c>
      <c r="B63" s="914" t="s">
        <v>401</v>
      </c>
      <c r="C63" s="909">
        <f t="shared" si="0"/>
        <v>9500000</v>
      </c>
      <c r="D63" s="918">
        <v>9500000</v>
      </c>
      <c r="E63" s="915"/>
      <c r="F63" s="915"/>
      <c r="G63" s="49"/>
    </row>
    <row r="64" spans="1:7" ht="39.75" thickTop="1" thickBot="1" x14ac:dyDescent="0.3">
      <c r="A64" s="856">
        <v>22000000</v>
      </c>
      <c r="B64" s="856" t="s">
        <v>100</v>
      </c>
      <c r="C64" s="909">
        <f t="shared" si="0"/>
        <v>31391960</v>
      </c>
      <c r="D64" s="909">
        <f>SUM(D65,D69,D71)</f>
        <v>31391960</v>
      </c>
      <c r="E64" s="915"/>
      <c r="F64" s="915"/>
      <c r="G64" s="14"/>
    </row>
    <row r="65" spans="1:7" ht="24.75" customHeight="1" thickTop="1" thickBot="1" x14ac:dyDescent="0.3">
      <c r="A65" s="910">
        <v>22010000</v>
      </c>
      <c r="B65" s="911" t="s">
        <v>626</v>
      </c>
      <c r="C65" s="912">
        <f t="shared" si="0"/>
        <v>20380100</v>
      </c>
      <c r="D65" s="912">
        <f>SUM(D66:D68)</f>
        <v>20380100</v>
      </c>
      <c r="E65" s="912"/>
      <c r="F65" s="912"/>
      <c r="G65" s="14"/>
    </row>
    <row r="66" spans="1:7" ht="52.5" thickTop="1" thickBot="1" x14ac:dyDescent="0.3">
      <c r="A66" s="913">
        <v>22010300</v>
      </c>
      <c r="B66" s="914" t="s">
        <v>161</v>
      </c>
      <c r="C66" s="909">
        <f t="shared" si="0"/>
        <v>1000000</v>
      </c>
      <c r="D66" s="915">
        <v>1000000</v>
      </c>
      <c r="E66" s="915"/>
      <c r="F66" s="915"/>
      <c r="G66" s="14"/>
    </row>
    <row r="67" spans="1:7" ht="27" thickTop="1" thickBot="1" x14ac:dyDescent="0.3">
      <c r="A67" s="913">
        <v>22012500</v>
      </c>
      <c r="B67" s="914" t="s">
        <v>102</v>
      </c>
      <c r="C67" s="909">
        <f t="shared" si="0"/>
        <v>17852400</v>
      </c>
      <c r="D67" s="915">
        <f>16852400+1000000</f>
        <v>17852400</v>
      </c>
      <c r="E67" s="915"/>
      <c r="F67" s="915"/>
      <c r="G67" s="14"/>
    </row>
    <row r="68" spans="1:7" ht="39.75" thickTop="1" thickBot="1" x14ac:dyDescent="0.3">
      <c r="A68" s="913">
        <v>22012600</v>
      </c>
      <c r="B68" s="914" t="s">
        <v>101</v>
      </c>
      <c r="C68" s="909">
        <f>SUM(D68,E68)</f>
        <v>1527700</v>
      </c>
      <c r="D68" s="915">
        <v>1527700</v>
      </c>
      <c r="E68" s="915"/>
      <c r="F68" s="915"/>
      <c r="G68" s="14"/>
    </row>
    <row r="69" spans="1:7" ht="55.5" thickTop="1" thickBot="1" x14ac:dyDescent="0.3">
      <c r="A69" s="910">
        <v>2208000</v>
      </c>
      <c r="B69" s="911" t="s">
        <v>627</v>
      </c>
      <c r="C69" s="912">
        <f t="shared" si="0"/>
        <v>10500000</v>
      </c>
      <c r="D69" s="912">
        <f>D70</f>
        <v>10500000</v>
      </c>
      <c r="E69" s="912"/>
      <c r="F69" s="912"/>
      <c r="G69" s="14"/>
    </row>
    <row r="70" spans="1:7" ht="52.5" thickTop="1" thickBot="1" x14ac:dyDescent="0.3">
      <c r="A70" s="913">
        <v>22080400</v>
      </c>
      <c r="B70" s="928" t="s">
        <v>103</v>
      </c>
      <c r="C70" s="909">
        <f t="shared" si="0"/>
        <v>10500000</v>
      </c>
      <c r="D70" s="915">
        <f>8500000+2000000</f>
        <v>10500000</v>
      </c>
      <c r="E70" s="915"/>
      <c r="F70" s="915"/>
      <c r="G70" s="14"/>
    </row>
    <row r="71" spans="1:7" ht="16.5" thickTop="1" thickBot="1" x14ac:dyDescent="0.3">
      <c r="A71" s="910">
        <v>22090000</v>
      </c>
      <c r="B71" s="929" t="s">
        <v>104</v>
      </c>
      <c r="C71" s="912">
        <f t="shared" si="0"/>
        <v>511860</v>
      </c>
      <c r="D71" s="912">
        <f>SUM(D72:D73)</f>
        <v>511860</v>
      </c>
      <c r="E71" s="912"/>
      <c r="F71" s="912"/>
      <c r="G71" s="14"/>
    </row>
    <row r="72" spans="1:7" ht="52.5" thickTop="1" thickBot="1" x14ac:dyDescent="0.3">
      <c r="A72" s="913">
        <v>22090100</v>
      </c>
      <c r="B72" s="926" t="s">
        <v>105</v>
      </c>
      <c r="C72" s="909">
        <f t="shared" si="0"/>
        <v>400260</v>
      </c>
      <c r="D72" s="915">
        <v>400260</v>
      </c>
      <c r="E72" s="915"/>
      <c r="F72" s="915"/>
      <c r="G72" s="14"/>
    </row>
    <row r="73" spans="1:7" ht="39.75" thickTop="1" thickBot="1" x14ac:dyDescent="0.25">
      <c r="A73" s="913">
        <v>22090400</v>
      </c>
      <c r="B73" s="926" t="s">
        <v>106</v>
      </c>
      <c r="C73" s="909">
        <f t="shared" si="0"/>
        <v>111600</v>
      </c>
      <c r="D73" s="915">
        <v>111600</v>
      </c>
      <c r="E73" s="915"/>
      <c r="F73" s="915"/>
      <c r="G73" s="16"/>
    </row>
    <row r="74" spans="1:7" ht="27" customHeight="1" thickTop="1" thickBot="1" x14ac:dyDescent="0.3">
      <c r="A74" s="856">
        <v>24000000</v>
      </c>
      <c r="B74" s="930" t="s">
        <v>107</v>
      </c>
      <c r="C74" s="909">
        <f t="shared" si="0"/>
        <v>11960012</v>
      </c>
      <c r="D74" s="923">
        <f>D75+D76+D78+D77</f>
        <v>6960000</v>
      </c>
      <c r="E74" s="923">
        <f>E75+E76+E78+E77</f>
        <v>5000012</v>
      </c>
      <c r="F74" s="923">
        <f>F75+F76+F78+F77</f>
        <v>5000012</v>
      </c>
      <c r="G74" s="14"/>
    </row>
    <row r="75" spans="1:7" ht="16.5" thickTop="1" thickBot="1" x14ac:dyDescent="0.3">
      <c r="A75" s="913">
        <v>24060300</v>
      </c>
      <c r="B75" s="914" t="s">
        <v>108</v>
      </c>
      <c r="C75" s="909">
        <f t="shared" ref="C75:C92" si="2">SUM(D75,E75)</f>
        <v>4500000</v>
      </c>
      <c r="D75" s="918">
        <v>4500000</v>
      </c>
      <c r="E75" s="918"/>
      <c r="F75" s="918"/>
      <c r="G75" s="14"/>
    </row>
    <row r="76" spans="1:7" ht="78" thickTop="1" thickBot="1" x14ac:dyDescent="0.3">
      <c r="A76" s="913">
        <v>24062200</v>
      </c>
      <c r="B76" s="914" t="s">
        <v>402</v>
      </c>
      <c r="C76" s="909">
        <f t="shared" si="2"/>
        <v>2460000</v>
      </c>
      <c r="D76" s="918">
        <v>2460000</v>
      </c>
      <c r="E76" s="918"/>
      <c r="F76" s="918"/>
      <c r="G76" s="14"/>
    </row>
    <row r="77" spans="1:7" ht="39.75" thickTop="1" thickBot="1" x14ac:dyDescent="0.3">
      <c r="A77" s="913">
        <v>24110700</v>
      </c>
      <c r="B77" s="931" t="s">
        <v>721</v>
      </c>
      <c r="C77" s="909">
        <f t="shared" si="2"/>
        <v>12</v>
      </c>
      <c r="D77" s="918"/>
      <c r="E77" s="918">
        <v>12</v>
      </c>
      <c r="F77" s="918">
        <v>12</v>
      </c>
      <c r="G77" s="14"/>
    </row>
    <row r="78" spans="1:7" ht="39.75" thickTop="1" thickBot="1" x14ac:dyDescent="0.25">
      <c r="A78" s="913">
        <v>24170000</v>
      </c>
      <c r="B78" s="917" t="s">
        <v>109</v>
      </c>
      <c r="C78" s="909">
        <f t="shared" si="2"/>
        <v>5000000</v>
      </c>
      <c r="D78" s="918"/>
      <c r="E78" s="918">
        <v>5000000</v>
      </c>
      <c r="F78" s="918">
        <v>5000000</v>
      </c>
      <c r="G78" s="15"/>
    </row>
    <row r="79" spans="1:7" ht="16.5" thickTop="1" thickBot="1" x14ac:dyDescent="0.3">
      <c r="A79" s="856">
        <v>25000000</v>
      </c>
      <c r="B79" s="932" t="s">
        <v>110</v>
      </c>
      <c r="C79" s="909">
        <f t="shared" si="2"/>
        <v>159517309</v>
      </c>
      <c r="D79" s="923">
        <f>SUM(D80:D84,)</f>
        <v>0</v>
      </c>
      <c r="E79" s="923">
        <f>SUM(E80)</f>
        <v>159517309</v>
      </c>
      <c r="F79" s="923"/>
      <c r="G79" s="14"/>
    </row>
    <row r="80" spans="1:7" ht="42" thickTop="1" thickBot="1" x14ac:dyDescent="0.3">
      <c r="A80" s="910">
        <v>25010000</v>
      </c>
      <c r="B80" s="920" t="s">
        <v>111</v>
      </c>
      <c r="C80" s="912">
        <f t="shared" si="2"/>
        <v>159517309</v>
      </c>
      <c r="D80" s="916">
        <v>0</v>
      </c>
      <c r="E80" s="916">
        <f>SUM(E81:E84)</f>
        <v>159517309</v>
      </c>
      <c r="F80" s="916"/>
      <c r="G80" s="14"/>
    </row>
    <row r="81" spans="1:7" ht="39.75" thickTop="1" thickBot="1" x14ac:dyDescent="0.3">
      <c r="A81" s="913">
        <v>25010100</v>
      </c>
      <c r="B81" s="917" t="s">
        <v>112</v>
      </c>
      <c r="C81" s="909">
        <f t="shared" si="2"/>
        <v>146284599</v>
      </c>
      <c r="D81" s="918"/>
      <c r="E81" s="918">
        <f>144438629+1845970</f>
        <v>146284599</v>
      </c>
      <c r="F81" s="918"/>
      <c r="G81" s="14"/>
    </row>
    <row r="82" spans="1:7" ht="27" thickTop="1" thickBot="1" x14ac:dyDescent="0.3">
      <c r="A82" s="913">
        <v>25010200</v>
      </c>
      <c r="B82" s="917" t="s">
        <v>113</v>
      </c>
      <c r="C82" s="909">
        <f t="shared" si="2"/>
        <v>10981944</v>
      </c>
      <c r="D82" s="918"/>
      <c r="E82" s="918">
        <f>10585664+396280</f>
        <v>10981944</v>
      </c>
      <c r="F82" s="918"/>
      <c r="G82" s="14"/>
    </row>
    <row r="83" spans="1:7" ht="16.5" thickTop="1" thickBot="1" x14ac:dyDescent="0.3">
      <c r="A83" s="913">
        <v>25010300</v>
      </c>
      <c r="B83" s="917" t="s">
        <v>114</v>
      </c>
      <c r="C83" s="909">
        <f t="shared" si="2"/>
        <v>2197266</v>
      </c>
      <c r="D83" s="918"/>
      <c r="E83" s="918">
        <v>2197266</v>
      </c>
      <c r="F83" s="918"/>
      <c r="G83" s="14"/>
    </row>
    <row r="84" spans="1:7" ht="39.75" thickTop="1" thickBot="1" x14ac:dyDescent="0.3">
      <c r="A84" s="913">
        <v>25010400</v>
      </c>
      <c r="B84" s="917" t="s">
        <v>115</v>
      </c>
      <c r="C84" s="909">
        <f t="shared" si="2"/>
        <v>53500</v>
      </c>
      <c r="D84" s="918"/>
      <c r="E84" s="918">
        <v>53500</v>
      </c>
      <c r="F84" s="918"/>
      <c r="G84" s="14"/>
    </row>
    <row r="85" spans="1:7" ht="29.25" customHeight="1" thickTop="1" thickBot="1" x14ac:dyDescent="0.25">
      <c r="A85" s="708">
        <v>30000000</v>
      </c>
      <c r="B85" s="708" t="s">
        <v>116</v>
      </c>
      <c r="C85" s="709">
        <f t="shared" si="2"/>
        <v>25947343</v>
      </c>
      <c r="D85" s="709">
        <f>SUM(D86)+D90</f>
        <v>25000</v>
      </c>
      <c r="E85" s="709">
        <f>SUM(E86)+E90</f>
        <v>25922343</v>
      </c>
      <c r="F85" s="709">
        <f>SUM(F89:F90)</f>
        <v>25922343</v>
      </c>
      <c r="G85" s="16"/>
    </row>
    <row r="86" spans="1:7" ht="27" customHeight="1" thickTop="1" thickBot="1" x14ac:dyDescent="0.3">
      <c r="A86" s="856">
        <v>31000000</v>
      </c>
      <c r="B86" s="856" t="s">
        <v>117</v>
      </c>
      <c r="C86" s="909">
        <f>SUM(D86,E86)</f>
        <v>10710000</v>
      </c>
      <c r="D86" s="909">
        <f>D87+D89</f>
        <v>25000</v>
      </c>
      <c r="E86" s="909">
        <f>E87+E89</f>
        <v>10685000</v>
      </c>
      <c r="F86" s="909">
        <f>F87+F89</f>
        <v>10685000</v>
      </c>
      <c r="G86" s="14"/>
    </row>
    <row r="87" spans="1:7" ht="82.5" thickTop="1" thickBot="1" x14ac:dyDescent="0.3">
      <c r="A87" s="910">
        <v>3101000</v>
      </c>
      <c r="B87" s="911" t="s">
        <v>628</v>
      </c>
      <c r="C87" s="912">
        <f>SUM(D87,E87)</f>
        <v>25000</v>
      </c>
      <c r="D87" s="916">
        <f>D88</f>
        <v>25000</v>
      </c>
      <c r="E87" s="912"/>
      <c r="F87" s="912"/>
      <c r="G87" s="14"/>
    </row>
    <row r="88" spans="1:7" ht="78" thickTop="1" thickBot="1" x14ac:dyDescent="0.3">
      <c r="A88" s="913">
        <v>31010200</v>
      </c>
      <c r="B88" s="917" t="s">
        <v>118</v>
      </c>
      <c r="C88" s="909">
        <f>SUM(D88,E88)</f>
        <v>25000</v>
      </c>
      <c r="D88" s="918">
        <v>25000</v>
      </c>
      <c r="E88" s="918"/>
      <c r="F88" s="918"/>
      <c r="G88" s="14"/>
    </row>
    <row r="89" spans="1:7" ht="55.5" thickTop="1" thickBot="1" x14ac:dyDescent="0.3">
      <c r="A89" s="910">
        <v>31030000</v>
      </c>
      <c r="B89" s="920" t="s">
        <v>119</v>
      </c>
      <c r="C89" s="916">
        <f t="shared" si="2"/>
        <v>10685000</v>
      </c>
      <c r="D89" s="916"/>
      <c r="E89" s="916">
        <f>3685000+7000000</f>
        <v>10685000</v>
      </c>
      <c r="F89" s="916">
        <f>3685000+7000000</f>
        <v>10685000</v>
      </c>
      <c r="G89" s="14"/>
    </row>
    <row r="90" spans="1:7" ht="27" thickTop="1" thickBot="1" x14ac:dyDescent="0.3">
      <c r="A90" s="856">
        <v>33000000</v>
      </c>
      <c r="B90" s="856" t="s">
        <v>120</v>
      </c>
      <c r="C90" s="909">
        <f t="shared" si="2"/>
        <v>15237343</v>
      </c>
      <c r="D90" s="912"/>
      <c r="E90" s="912">
        <f>SUM(E91)</f>
        <v>15237343</v>
      </c>
      <c r="F90" s="912">
        <f>SUM(F91)</f>
        <v>15237343</v>
      </c>
      <c r="G90" s="14"/>
    </row>
    <row r="91" spans="1:7" ht="16.5" thickTop="1" thickBot="1" x14ac:dyDescent="0.3">
      <c r="A91" s="910">
        <v>33010000</v>
      </c>
      <c r="B91" s="911" t="s">
        <v>121</v>
      </c>
      <c r="C91" s="912">
        <f>SUM(D91,E91)</f>
        <v>15237343</v>
      </c>
      <c r="D91" s="912"/>
      <c r="E91" s="912">
        <f>SUM(E92,E93)</f>
        <v>15237343</v>
      </c>
      <c r="F91" s="912">
        <f>SUM(F92,F93)</f>
        <v>15237343</v>
      </c>
      <c r="G91" s="14"/>
    </row>
    <row r="92" spans="1:7" ht="52.5" thickTop="1" thickBot="1" x14ac:dyDescent="0.3">
      <c r="A92" s="913">
        <v>33010100</v>
      </c>
      <c r="B92" s="917" t="s">
        <v>368</v>
      </c>
      <c r="C92" s="923">
        <f t="shared" si="2"/>
        <v>13977846</v>
      </c>
      <c r="D92" s="918"/>
      <c r="E92" s="918">
        <f>11477846+2500000</f>
        <v>13977846</v>
      </c>
      <c r="F92" s="918">
        <f>11477846+2500000</f>
        <v>13977846</v>
      </c>
      <c r="G92" s="14"/>
    </row>
    <row r="93" spans="1:7" ht="52.5" thickTop="1" thickBot="1" x14ac:dyDescent="0.3">
      <c r="A93" s="913">
        <v>33010200</v>
      </c>
      <c r="B93" s="917" t="s">
        <v>122</v>
      </c>
      <c r="C93" s="923">
        <f>SUM(D93,E93)</f>
        <v>1259497</v>
      </c>
      <c r="D93" s="918"/>
      <c r="E93" s="918">
        <f>1259497</f>
        <v>1259497</v>
      </c>
      <c r="F93" s="918">
        <f>1259497</f>
        <v>1259497</v>
      </c>
      <c r="G93" s="14"/>
    </row>
    <row r="94" spans="1:7" ht="27" customHeight="1" thickTop="1" thickBot="1" x14ac:dyDescent="0.3">
      <c r="A94" s="708">
        <v>50000000</v>
      </c>
      <c r="B94" s="708" t="s">
        <v>532</v>
      </c>
      <c r="C94" s="709">
        <f>SUM(D94,E94)</f>
        <v>7001200</v>
      </c>
      <c r="D94" s="709"/>
      <c r="E94" s="709">
        <f>SUM(E95)</f>
        <v>7001200</v>
      </c>
      <c r="F94" s="709"/>
      <c r="G94" s="14"/>
    </row>
    <row r="95" spans="1:7" ht="52.5" thickTop="1" thickBot="1" x14ac:dyDescent="0.3">
      <c r="A95" s="856">
        <v>50110000</v>
      </c>
      <c r="B95" s="933" t="s">
        <v>123</v>
      </c>
      <c r="C95" s="909">
        <f t="shared" ref="C95:C128" si="3">SUM(D95,E95)</f>
        <v>7001200</v>
      </c>
      <c r="D95" s="915"/>
      <c r="E95" s="909">
        <f>6501200+500000</f>
        <v>7001200</v>
      </c>
      <c r="F95" s="915"/>
      <c r="G95" s="14"/>
    </row>
    <row r="96" spans="1:7" ht="45.75" customHeight="1" thickTop="1" thickBot="1" x14ac:dyDescent="0.25">
      <c r="A96" s="739"/>
      <c r="B96" s="742" t="s">
        <v>533</v>
      </c>
      <c r="C96" s="740">
        <f t="shared" si="3"/>
        <v>2549304506</v>
      </c>
      <c r="D96" s="741">
        <f>D94+D85+D55+D11</f>
        <v>2351232742</v>
      </c>
      <c r="E96" s="741">
        <f>E94+E85+E55+E11</f>
        <v>198071764</v>
      </c>
      <c r="F96" s="741">
        <f>F94+F85+F55+F11</f>
        <v>30922355</v>
      </c>
      <c r="G96" s="15"/>
    </row>
    <row r="97" spans="1:7" ht="34.5" customHeight="1" thickTop="1" thickBot="1" x14ac:dyDescent="0.25">
      <c r="A97" s="708">
        <v>40000000</v>
      </c>
      <c r="B97" s="708" t="s">
        <v>455</v>
      </c>
      <c r="C97" s="709">
        <f t="shared" si="3"/>
        <v>822316928.30999994</v>
      </c>
      <c r="D97" s="709">
        <f>SUM(D100,D98)</f>
        <v>795946928.30999994</v>
      </c>
      <c r="E97" s="709">
        <f>SUM(E100,E98)</f>
        <v>26370000</v>
      </c>
      <c r="F97" s="709">
        <f>SUM(F100,F98)</f>
        <v>24670000</v>
      </c>
      <c r="G97" s="15"/>
    </row>
    <row r="98" spans="1:7" ht="27" thickTop="1" thickBot="1" x14ac:dyDescent="0.25">
      <c r="A98" s="856">
        <v>41040000</v>
      </c>
      <c r="B98" s="919" t="s">
        <v>370</v>
      </c>
      <c r="C98" s="909">
        <f t="shared" si="3"/>
        <v>12117934</v>
      </c>
      <c r="D98" s="923">
        <f>D99</f>
        <v>12117934</v>
      </c>
      <c r="E98" s="923"/>
      <c r="F98" s="923"/>
      <c r="G98" s="15"/>
    </row>
    <row r="99" spans="1:7" ht="65.25" thickTop="1" thickBot="1" x14ac:dyDescent="0.25">
      <c r="A99" s="913">
        <v>41040200</v>
      </c>
      <c r="B99" s="917" t="s">
        <v>369</v>
      </c>
      <c r="C99" s="909">
        <f t="shared" si="3"/>
        <v>12117934</v>
      </c>
      <c r="D99" s="918">
        <v>12117934</v>
      </c>
      <c r="E99" s="923"/>
      <c r="F99" s="923"/>
      <c r="G99" s="15"/>
    </row>
    <row r="100" spans="1:7" ht="23.25" customHeight="1" thickTop="1" thickBot="1" x14ac:dyDescent="0.25">
      <c r="A100" s="856">
        <v>41000000</v>
      </c>
      <c r="B100" s="856" t="s">
        <v>124</v>
      </c>
      <c r="C100" s="909">
        <f t="shared" si="3"/>
        <v>810198994.30999994</v>
      </c>
      <c r="D100" s="923">
        <f>SUM(D101,D109)</f>
        <v>783828994.30999994</v>
      </c>
      <c r="E100" s="923">
        <f>SUM(E101,E109)</f>
        <v>26370000</v>
      </c>
      <c r="F100" s="923">
        <f>SUM(F101,F109)</f>
        <v>24670000</v>
      </c>
      <c r="G100" s="15"/>
    </row>
    <row r="101" spans="1:7" ht="27" thickTop="1" thickBot="1" x14ac:dyDescent="0.3">
      <c r="A101" s="856">
        <v>41030000</v>
      </c>
      <c r="B101" s="932" t="s">
        <v>470</v>
      </c>
      <c r="C101" s="909">
        <f t="shared" si="3"/>
        <v>726443995</v>
      </c>
      <c r="D101" s="923">
        <f>SUM(D102:D108)</f>
        <v>725273995</v>
      </c>
      <c r="E101" s="923">
        <f>SUM(E102:E108)</f>
        <v>1170000</v>
      </c>
      <c r="F101" s="923">
        <f>SUM(F102:F108)</f>
        <v>1170000</v>
      </c>
      <c r="G101" s="14"/>
    </row>
    <row r="102" spans="1:7" ht="52.5" thickTop="1" thickBot="1" x14ac:dyDescent="0.3">
      <c r="A102" s="913">
        <v>41032300</v>
      </c>
      <c r="B102" s="914" t="s">
        <v>1282</v>
      </c>
      <c r="C102" s="909">
        <f t="shared" si="3"/>
        <v>25000000</v>
      </c>
      <c r="D102" s="918">
        <v>25000000</v>
      </c>
      <c r="E102" s="923"/>
      <c r="F102" s="918"/>
      <c r="G102" s="14"/>
    </row>
    <row r="103" spans="1:7" ht="52.5" thickTop="1" thickBot="1" x14ac:dyDescent="0.3">
      <c r="A103" s="913">
        <v>41033800</v>
      </c>
      <c r="B103" s="914" t="s">
        <v>1379</v>
      </c>
      <c r="C103" s="909">
        <f t="shared" si="3"/>
        <v>2520000</v>
      </c>
      <c r="D103" s="918">
        <v>2520000</v>
      </c>
      <c r="E103" s="923"/>
      <c r="F103" s="918"/>
      <c r="G103" s="14"/>
    </row>
    <row r="104" spans="1:7" ht="27" thickTop="1" thickBot="1" x14ac:dyDescent="0.3">
      <c r="A104" s="913">
        <v>41033900</v>
      </c>
      <c r="B104" s="914" t="s">
        <v>125</v>
      </c>
      <c r="C104" s="909">
        <f t="shared" si="3"/>
        <v>623112400</v>
      </c>
      <c r="D104" s="915">
        <v>623112400</v>
      </c>
      <c r="E104" s="918"/>
      <c r="F104" s="918"/>
      <c r="G104" s="14"/>
    </row>
    <row r="105" spans="1:7" ht="52.5" thickTop="1" thickBot="1" x14ac:dyDescent="0.3">
      <c r="A105" s="913">
        <v>41034500</v>
      </c>
      <c r="B105" s="914" t="s">
        <v>1380</v>
      </c>
      <c r="C105" s="909">
        <f t="shared" si="3"/>
        <v>2990000</v>
      </c>
      <c r="D105" s="918">
        <v>1820000</v>
      </c>
      <c r="E105" s="918">
        <v>1170000</v>
      </c>
      <c r="F105" s="918">
        <v>1170000</v>
      </c>
      <c r="G105" s="14"/>
    </row>
    <row r="106" spans="1:7" ht="65.25" thickTop="1" thickBot="1" x14ac:dyDescent="0.3">
      <c r="A106" s="913">
        <v>41035500</v>
      </c>
      <c r="B106" s="914" t="s">
        <v>1284</v>
      </c>
      <c r="C106" s="909">
        <f t="shared" si="3"/>
        <v>250000</v>
      </c>
      <c r="D106" s="915">
        <v>250000</v>
      </c>
      <c r="E106" s="918"/>
      <c r="F106" s="918"/>
      <c r="G106" s="14"/>
    </row>
    <row r="107" spans="1:7" ht="65.25" thickTop="1" thickBot="1" x14ac:dyDescent="0.3">
      <c r="A107" s="913">
        <v>41035600</v>
      </c>
      <c r="B107" s="914" t="s">
        <v>1325</v>
      </c>
      <c r="C107" s="909">
        <f t="shared" si="3"/>
        <v>2571595</v>
      </c>
      <c r="D107" s="915">
        <v>2571595</v>
      </c>
      <c r="E107" s="918"/>
      <c r="F107" s="918"/>
      <c r="G107" s="14"/>
    </row>
    <row r="108" spans="1:7" ht="42.75" customHeight="1" thickTop="1" thickBot="1" x14ac:dyDescent="0.3">
      <c r="A108" s="913">
        <v>41035700</v>
      </c>
      <c r="B108" s="914" t="s">
        <v>1271</v>
      </c>
      <c r="C108" s="909">
        <f t="shared" si="3"/>
        <v>70000000</v>
      </c>
      <c r="D108" s="915">
        <v>70000000</v>
      </c>
      <c r="E108" s="918"/>
      <c r="F108" s="918"/>
      <c r="G108" s="14"/>
    </row>
    <row r="109" spans="1:7" ht="36.75" customHeight="1" thickTop="1" thickBot="1" x14ac:dyDescent="0.3">
      <c r="A109" s="856">
        <v>41050000</v>
      </c>
      <c r="B109" s="932" t="s">
        <v>517</v>
      </c>
      <c r="C109" s="909">
        <f t="shared" si="3"/>
        <v>83754999.310000002</v>
      </c>
      <c r="D109" s="909">
        <f>SUM(D110:D122)</f>
        <v>58554999.310000002</v>
      </c>
      <c r="E109" s="909">
        <f>SUM(E110:E122)</f>
        <v>25200000</v>
      </c>
      <c r="F109" s="909">
        <f>SUM(F110:F122)</f>
        <v>23500000</v>
      </c>
      <c r="G109" s="14"/>
    </row>
    <row r="110" spans="1:7" ht="282" thickTop="1" thickBot="1" x14ac:dyDescent="0.3">
      <c r="A110" s="913">
        <v>41050400</v>
      </c>
      <c r="B110" s="914" t="s">
        <v>1381</v>
      </c>
      <c r="C110" s="909">
        <f t="shared" si="3"/>
        <v>11298891.529999999</v>
      </c>
      <c r="D110" s="915">
        <v>11298891.529999999</v>
      </c>
      <c r="E110" s="918"/>
      <c r="F110" s="918"/>
      <c r="G110" s="14"/>
    </row>
    <row r="111" spans="1:7" ht="243.75" thickTop="1" thickBot="1" x14ac:dyDescent="0.3">
      <c r="A111" s="913">
        <v>41050500</v>
      </c>
      <c r="B111" s="914" t="s">
        <v>1382</v>
      </c>
      <c r="C111" s="909">
        <f t="shared" si="3"/>
        <v>1093438.78</v>
      </c>
      <c r="D111" s="915">
        <v>1093438.78</v>
      </c>
      <c r="E111" s="918"/>
      <c r="F111" s="918"/>
      <c r="G111" s="14"/>
    </row>
    <row r="112" spans="1:7" ht="345.75" thickTop="1" thickBot="1" x14ac:dyDescent="0.3">
      <c r="A112" s="913">
        <v>41050600</v>
      </c>
      <c r="B112" s="914" t="s">
        <v>1383</v>
      </c>
      <c r="C112" s="909">
        <f t="shared" si="3"/>
        <v>1751965</v>
      </c>
      <c r="D112" s="915">
        <v>1751965</v>
      </c>
      <c r="E112" s="918"/>
      <c r="F112" s="918"/>
      <c r="G112" s="14"/>
    </row>
    <row r="113" spans="1:7" ht="129" thickTop="1" thickBot="1" x14ac:dyDescent="0.3">
      <c r="A113" s="913">
        <v>41050900</v>
      </c>
      <c r="B113" s="914" t="s">
        <v>1384</v>
      </c>
      <c r="C113" s="909">
        <f t="shared" si="3"/>
        <v>3577034</v>
      </c>
      <c r="D113" s="915">
        <v>3577034</v>
      </c>
      <c r="E113" s="918"/>
      <c r="F113" s="918"/>
      <c r="G113" s="14"/>
    </row>
    <row r="114" spans="1:7" ht="39.75" thickTop="1" thickBot="1" x14ac:dyDescent="0.3">
      <c r="A114" s="913">
        <v>41051000</v>
      </c>
      <c r="B114" s="914" t="s">
        <v>518</v>
      </c>
      <c r="C114" s="909">
        <f t="shared" si="3"/>
        <v>7340558</v>
      </c>
      <c r="D114" s="915">
        <v>7340558</v>
      </c>
      <c r="E114" s="918"/>
      <c r="F114" s="918"/>
      <c r="G114" s="14"/>
    </row>
    <row r="115" spans="1:7" ht="52.5" thickTop="1" thickBot="1" x14ac:dyDescent="0.3">
      <c r="A115" s="913">
        <v>41051200</v>
      </c>
      <c r="B115" s="914" t="s">
        <v>769</v>
      </c>
      <c r="C115" s="909">
        <f t="shared" si="3"/>
        <v>7118182</v>
      </c>
      <c r="D115" s="915">
        <v>7118182</v>
      </c>
      <c r="E115" s="918"/>
      <c r="F115" s="918"/>
      <c r="G115" s="14"/>
    </row>
    <row r="116" spans="1:7" ht="65.25" thickTop="1" thickBot="1" x14ac:dyDescent="0.3">
      <c r="A116" s="913">
        <v>41051400</v>
      </c>
      <c r="B116" s="914" t="s">
        <v>1287</v>
      </c>
      <c r="C116" s="909">
        <f t="shared" si="3"/>
        <v>6063695</v>
      </c>
      <c r="D116" s="915">
        <v>6063695</v>
      </c>
      <c r="E116" s="918"/>
      <c r="F116" s="918"/>
      <c r="G116" s="14"/>
    </row>
    <row r="117" spans="1:7" ht="65.25" thickTop="1" thickBot="1" x14ac:dyDescent="0.3">
      <c r="A117" s="913">
        <v>41051700</v>
      </c>
      <c r="B117" s="914" t="s">
        <v>1201</v>
      </c>
      <c r="C117" s="909">
        <f t="shared" si="3"/>
        <v>2120589</v>
      </c>
      <c r="D117" s="915">
        <f>1648625+299264+128256+44444</f>
        <v>2120589</v>
      </c>
      <c r="E117" s="918"/>
      <c r="F117" s="918"/>
      <c r="G117" s="14"/>
    </row>
    <row r="118" spans="1:7" ht="103.5" hidden="1" thickTop="1" thickBot="1" x14ac:dyDescent="0.3">
      <c r="A118" s="913">
        <v>41056600</v>
      </c>
      <c r="B118" s="914" t="s">
        <v>1349</v>
      </c>
      <c r="C118" s="909">
        <f t="shared" si="3"/>
        <v>0</v>
      </c>
      <c r="D118" s="915">
        <f>10623233.82-10623233.82</f>
        <v>0</v>
      </c>
      <c r="E118" s="918"/>
      <c r="F118" s="918"/>
      <c r="G118" s="14"/>
    </row>
    <row r="119" spans="1:7" ht="65.25" thickTop="1" thickBot="1" x14ac:dyDescent="0.25">
      <c r="A119" s="913">
        <v>41055000</v>
      </c>
      <c r="B119" s="914" t="s">
        <v>1385</v>
      </c>
      <c r="C119" s="909">
        <f t="shared" si="3"/>
        <v>14254000</v>
      </c>
      <c r="D119" s="915">
        <v>14254000</v>
      </c>
      <c r="E119" s="918"/>
      <c r="F119" s="918"/>
      <c r="G119" s="15"/>
    </row>
    <row r="120" spans="1:7" ht="27" thickTop="1" thickBot="1" x14ac:dyDescent="0.25">
      <c r="A120" s="913">
        <v>41053600</v>
      </c>
      <c r="B120" s="914" t="s">
        <v>1203</v>
      </c>
      <c r="C120" s="909">
        <f t="shared" si="3"/>
        <v>1700000</v>
      </c>
      <c r="D120" s="915"/>
      <c r="E120" s="918">
        <v>1700000</v>
      </c>
      <c r="F120" s="918"/>
      <c r="G120" s="15"/>
    </row>
    <row r="121" spans="1:7" ht="218.25" thickTop="1" thickBot="1" x14ac:dyDescent="0.25">
      <c r="A121" s="913">
        <v>41054200</v>
      </c>
      <c r="B121" s="914" t="s">
        <v>1386</v>
      </c>
      <c r="C121" s="909">
        <f t="shared" si="3"/>
        <v>2429312</v>
      </c>
      <c r="D121" s="915">
        <v>2429312</v>
      </c>
      <c r="E121" s="918"/>
      <c r="F121" s="918"/>
      <c r="G121" s="15"/>
    </row>
    <row r="122" spans="1:7" ht="27" thickTop="1" thickBot="1" x14ac:dyDescent="0.25">
      <c r="A122" s="913">
        <v>41053900</v>
      </c>
      <c r="B122" s="914" t="s">
        <v>1089</v>
      </c>
      <c r="C122" s="909">
        <f t="shared" si="3"/>
        <v>25007334</v>
      </c>
      <c r="D122" s="915">
        <f>SUM(D123:D128)</f>
        <v>1507334</v>
      </c>
      <c r="E122" s="915">
        <f>SUM(E123:E128)</f>
        <v>23500000</v>
      </c>
      <c r="F122" s="915">
        <f>SUM(F123:F128)</f>
        <v>23500000</v>
      </c>
      <c r="G122" s="15"/>
    </row>
    <row r="123" spans="1:7" ht="15.75" thickTop="1" thickBot="1" x14ac:dyDescent="0.25">
      <c r="A123" s="913"/>
      <c r="B123" s="934" t="s">
        <v>1204</v>
      </c>
      <c r="C123" s="912">
        <f>SUM(D123,E123)</f>
        <v>23000000</v>
      </c>
      <c r="D123" s="924"/>
      <c r="E123" s="935">
        <f>20000000+3000000</f>
        <v>23000000</v>
      </c>
      <c r="F123" s="935">
        <f>20000000+3000000</f>
        <v>23000000</v>
      </c>
      <c r="G123" s="15"/>
    </row>
    <row r="124" spans="1:7" ht="39.75" thickTop="1" thickBot="1" x14ac:dyDescent="0.25">
      <c r="A124" s="913"/>
      <c r="B124" s="934" t="s">
        <v>1090</v>
      </c>
      <c r="C124" s="912">
        <f t="shared" si="3"/>
        <v>206796</v>
      </c>
      <c r="D124" s="924">
        <v>206796</v>
      </c>
      <c r="E124" s="935"/>
      <c r="F124" s="935"/>
      <c r="G124" s="15"/>
    </row>
    <row r="125" spans="1:7" ht="52.5" thickTop="1" thickBot="1" x14ac:dyDescent="0.25">
      <c r="A125" s="913"/>
      <c r="B125" s="934" t="s">
        <v>1091</v>
      </c>
      <c r="C125" s="912">
        <f t="shared" si="3"/>
        <v>147491</v>
      </c>
      <c r="D125" s="924">
        <v>147491</v>
      </c>
      <c r="E125" s="935"/>
      <c r="F125" s="935"/>
      <c r="G125" s="15"/>
    </row>
    <row r="126" spans="1:7" ht="27" thickTop="1" thickBot="1" x14ac:dyDescent="0.25">
      <c r="A126" s="913"/>
      <c r="B126" s="934" t="s">
        <v>1092</v>
      </c>
      <c r="C126" s="912">
        <f t="shared" si="3"/>
        <v>353047</v>
      </c>
      <c r="D126" s="924">
        <v>353047</v>
      </c>
      <c r="E126" s="935"/>
      <c r="F126" s="935"/>
      <c r="G126" s="15"/>
    </row>
    <row r="127" spans="1:7" ht="39.75" thickTop="1" thickBot="1" x14ac:dyDescent="0.25">
      <c r="A127" s="913"/>
      <c r="B127" s="934" t="s">
        <v>1443</v>
      </c>
      <c r="C127" s="912">
        <f t="shared" si="3"/>
        <v>800000</v>
      </c>
      <c r="D127" s="924">
        <v>800000</v>
      </c>
      <c r="E127" s="935"/>
      <c r="F127" s="935"/>
      <c r="G127" s="15"/>
    </row>
    <row r="128" spans="1:7" ht="27" thickTop="1" thickBot="1" x14ac:dyDescent="0.25">
      <c r="A128" s="913"/>
      <c r="B128" s="934" t="s">
        <v>1444</v>
      </c>
      <c r="C128" s="912">
        <f t="shared" si="3"/>
        <v>500000</v>
      </c>
      <c r="D128" s="924"/>
      <c r="E128" s="935">
        <v>500000</v>
      </c>
      <c r="F128" s="935">
        <v>500000</v>
      </c>
      <c r="G128" s="15"/>
    </row>
    <row r="129" spans="1:10" ht="41.25" customHeight="1" thickTop="1" thickBot="1" x14ac:dyDescent="0.3">
      <c r="A129" s="739"/>
      <c r="B129" s="742" t="s">
        <v>1373</v>
      </c>
      <c r="C129" s="740">
        <f>SUM(D129,E129)</f>
        <v>3371621434.3099999</v>
      </c>
      <c r="D129" s="741">
        <f>SUM(D96,D97)</f>
        <v>3147179670.3099999</v>
      </c>
      <c r="E129" s="741">
        <f>SUM(E96,E100)</f>
        <v>224441764</v>
      </c>
      <c r="F129" s="741">
        <f>SUM(F96,F100)</f>
        <v>55592355</v>
      </c>
      <c r="G129" s="707" t="b">
        <f>C129=C126+C125+C124+C123+C120+C119+C117+C116+C115+C110+C108+C107+C106+C104+C102+C99+C95+C93+C92+C89+C88+C84+C83+C82+C81+C78+C77+C76+C75+C73+C72+C70+C68+C67+C66+C63+C62+C61+C59+C58+C54+C53+C52+C49+C48+C47+C45+C44+C42+C41+C40+C39+C38+C37+C36+C35+C34+C33+C30+C29+C26+C24+C22+C19+C17+C16+C15+C14+C121+C113+C114+C112+C111+C105+C103+C127+C128</f>
        <v>1</v>
      </c>
      <c r="H129" s="707" t="b">
        <f>D129=D126+D125+D124+D123+D120+D119+D117+D116+D115+D110+D108+D107+D106+D104+D102+D99+D95+D93+D92+D89+D88+D84+D83+D82+D81+D78+D77+D76+D75+D73+D72+D70+D68+D67+D66+D63+D62+D61+D59+D58+D54+D53+D52+D49+D48+D47+D45+D44+D42+D41+D40+D39+D38+D37+D36+D35+D34+D33+D30+D29+D26+D24+D22+D19+D17+D16+D15+D14+D121+D113+D114+D112+D111+D105+D103+D127+D128</f>
        <v>1</v>
      </c>
      <c r="I129" s="707" t="b">
        <f>E129=E126+E125+E124+E123+E120+E119+E117+E116+E115+E110+E108+E107+E106+E104+E102+E99+E95+E93+E92+E89+E88+E84+E83+E82+E81+E78+E77+E76+E75+E73+E72+E70+E68+E67+E66+E63+E62+E61+E59+E58+E54+E53+E52+E49+E48+E47+E45+E44+E42+E41+E40+E39+E38+E37+E36+E35+E34+E33+E30+E29+E26+E24+E22+E19+E17+E16+E15+E14+E121+E113+E114+E112+E111+E105+E103+E127+E128</f>
        <v>1</v>
      </c>
      <c r="J129" s="707" t="b">
        <f>F129=F126+F125+F124+F123+F120+F119+F117+F116+F115+F110+F108+F107+F106+F104+F102+F99+F95+F93+F92+F89+F88+F84+F83+F82+F81+F78+F77+F76+F75+F73+F72+F70+F68+F67+F66+F63+F62+F61+F59+F58+F54+F53+F52+F49+F48+F47+F45+F44+F42+F41+F40+F39+F38+F37+F36+F35+F34+F33+F30+F29+F26+F24+F22+F19+F17+F16+F15+F14+F121+F113+F114+F112+F111+F105+F103+F127+F128</f>
        <v>1</v>
      </c>
    </row>
    <row r="130" spans="1:10" ht="13.5" thickTop="1" x14ac:dyDescent="0.2">
      <c r="B130" s="726"/>
      <c r="G130" s="706"/>
    </row>
    <row r="131" spans="1:10" ht="15.75" x14ac:dyDescent="0.25">
      <c r="B131" s="66"/>
      <c r="E131" s="66"/>
      <c r="G131" s="706"/>
    </row>
    <row r="132" spans="1:10" ht="15.75" x14ac:dyDescent="0.2">
      <c r="B132" s="860" t="s">
        <v>1270</v>
      </c>
      <c r="C132" s="857"/>
      <c r="D132" s="857"/>
      <c r="E132" s="597" t="s">
        <v>1193</v>
      </c>
      <c r="F132" s="860"/>
    </row>
    <row r="133" spans="1:10" ht="15.75" x14ac:dyDescent="0.25">
      <c r="B133" s="66"/>
      <c r="E133" s="66"/>
    </row>
    <row r="134" spans="1:10" ht="15.75" x14ac:dyDescent="0.25">
      <c r="A134" s="18"/>
      <c r="B134" s="66" t="s">
        <v>606</v>
      </c>
      <c r="C134" s="66"/>
      <c r="D134" s="66"/>
      <c r="E134" s="66" t="s">
        <v>607</v>
      </c>
      <c r="F134" s="18"/>
    </row>
    <row r="137" spans="1:10" x14ac:dyDescent="0.2">
      <c r="C137" s="706"/>
      <c r="D137" s="706"/>
      <c r="E137" s="706"/>
      <c r="F137" s="706"/>
    </row>
  </sheetData>
  <mergeCells count="10">
    <mergeCell ref="A8:A9"/>
    <mergeCell ref="B8:B9"/>
    <mergeCell ref="C8:C9"/>
    <mergeCell ref="D8:D9"/>
    <mergeCell ref="E8:F8"/>
    <mergeCell ref="D1:G1"/>
    <mergeCell ref="D2:G2"/>
    <mergeCell ref="D3:G3"/>
    <mergeCell ref="A4:E4"/>
    <mergeCell ref="A5:F5"/>
  </mergeCells>
  <hyperlinks>
    <hyperlink ref="B86" location="_ftn1" display="_ftn1" xr:uid="{00000000-0004-0000-0B00-000000000000}"/>
    <hyperlink ref="B85" location="_ftn1" display="_ftn1" xr:uid="{00000000-0004-0000-0B00-000001000000}"/>
    <hyperlink ref="B73" location="_ftn1" display="_ftn1" xr:uid="{00000000-0004-0000-0B00-000002000000}"/>
    <hyperlink ref="B16" location="_ftn1" display="_ftn1" xr:uid="{00000000-0004-0000-0B00-000003000000}"/>
    <hyperlink ref="B15" location="_ftn1" display="_ftn1" xr:uid="{00000000-0004-0000-0B00-000004000000}"/>
    <hyperlink ref="B53" location="_ftn1" display="_ftn1" xr:uid="{00000000-0004-0000-0B00-000005000000}"/>
    <hyperlink ref="B90" location="_ftn1" display="_ftn1" xr:uid="{00000000-0004-0000-0B00-000006000000}"/>
    <hyperlink ref="B91" location="_ftn1" display="_ftn1" xr:uid="{00000000-0004-0000-0B00-000007000000}"/>
    <hyperlink ref="B61" location="_ftn1" display="_ftn1" xr:uid="{00000000-0004-0000-0B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5" max="5" man="1"/>
    <brk id="89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J137"/>
  <sheetViews>
    <sheetView view="pageBreakPreview" topLeftCell="A113" zoomScale="115" zoomScaleSheetLayoutView="115" workbookViewId="0">
      <selection activeCell="B48" sqref="B48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7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49" t="s">
        <v>62</v>
      </c>
      <c r="E1" s="950"/>
      <c r="F1" s="950"/>
      <c r="G1" s="950"/>
    </row>
    <row r="2" spans="1:7" ht="15.75" x14ac:dyDescent="0.2">
      <c r="C2" s="12"/>
      <c r="D2" s="949" t="s">
        <v>1374</v>
      </c>
      <c r="E2" s="951"/>
      <c r="F2" s="951"/>
      <c r="G2" s="951"/>
    </row>
    <row r="3" spans="1:7" ht="6" customHeight="1" x14ac:dyDescent="0.2">
      <c r="C3" s="12"/>
      <c r="D3" s="949"/>
      <c r="E3" s="951"/>
      <c r="F3" s="951"/>
      <c r="G3" s="951"/>
    </row>
    <row r="4" spans="1:7" ht="12.75" customHeight="1" x14ac:dyDescent="0.2">
      <c r="A4" s="952"/>
      <c r="B4" s="952"/>
      <c r="C4" s="952"/>
      <c r="D4" s="952"/>
      <c r="E4" s="952"/>
    </row>
    <row r="5" spans="1:7" ht="41.25" customHeight="1" x14ac:dyDescent="0.2">
      <c r="A5" s="1182" t="s">
        <v>1525</v>
      </c>
      <c r="B5" s="1183"/>
      <c r="C5" s="1183"/>
      <c r="D5" s="1183"/>
      <c r="E5" s="1183"/>
      <c r="F5" s="1183"/>
    </row>
    <row r="6" spans="1:7" ht="20.25" x14ac:dyDescent="0.2">
      <c r="A6" s="858"/>
      <c r="B6" s="80" t="s">
        <v>630</v>
      </c>
      <c r="C6" s="858"/>
      <c r="D6" s="858"/>
      <c r="E6" s="858"/>
    </row>
    <row r="7" spans="1:7" ht="13.5" thickBot="1" x14ac:dyDescent="0.25">
      <c r="B7" s="686"/>
      <c r="C7" s="686"/>
      <c r="D7" s="686"/>
      <c r="E7" s="686"/>
      <c r="F7" s="686" t="s">
        <v>63</v>
      </c>
    </row>
    <row r="8" spans="1:7" ht="14.25" thickTop="1" thickBot="1" x14ac:dyDescent="0.25">
      <c r="A8" s="948" t="s">
        <v>64</v>
      </c>
      <c r="B8" s="948" t="s">
        <v>65</v>
      </c>
      <c r="C8" s="948" t="s">
        <v>410</v>
      </c>
      <c r="D8" s="948" t="s">
        <v>12</v>
      </c>
      <c r="E8" s="948" t="s">
        <v>57</v>
      </c>
      <c r="F8" s="948"/>
      <c r="G8" s="13"/>
    </row>
    <row r="9" spans="1:7" ht="39.75" thickTop="1" thickBot="1" x14ac:dyDescent="0.3">
      <c r="A9" s="948"/>
      <c r="B9" s="948"/>
      <c r="C9" s="948"/>
      <c r="D9" s="948"/>
      <c r="E9" s="856" t="s">
        <v>410</v>
      </c>
      <c r="F9" s="856" t="s">
        <v>454</v>
      </c>
      <c r="G9" s="14"/>
    </row>
    <row r="10" spans="1:7" ht="16.5" thickTop="1" thickBot="1" x14ac:dyDescent="0.3">
      <c r="A10" s="856">
        <v>1</v>
      </c>
      <c r="B10" s="856">
        <v>2</v>
      </c>
      <c r="C10" s="856">
        <v>3</v>
      </c>
      <c r="D10" s="856">
        <v>4</v>
      </c>
      <c r="E10" s="856">
        <v>5</v>
      </c>
      <c r="F10" s="856">
        <v>6</v>
      </c>
      <c r="G10" s="14"/>
    </row>
    <row r="11" spans="1:7" ht="25.5" customHeight="1" thickTop="1" thickBot="1" x14ac:dyDescent="0.25">
      <c r="A11" s="708">
        <v>10000000</v>
      </c>
      <c r="B11" s="708" t="s">
        <v>66</v>
      </c>
      <c r="C11" s="709">
        <f t="shared" ref="C11:C55" si="0">SUM(D11,E11)</f>
        <v>15439469</v>
      </c>
      <c r="D11" s="709">
        <f>SUM(D12,D25,D31,D50,D20)</f>
        <v>15439469</v>
      </c>
      <c r="E11" s="709">
        <f>SUM(E12,E25,E31,E50,E20)</f>
        <v>0</v>
      </c>
      <c r="F11" s="709">
        <f>SUM(F12,F25,F31,F50,F20)</f>
        <v>0</v>
      </c>
      <c r="G11" s="15"/>
    </row>
    <row r="12" spans="1:7" ht="31.5" customHeight="1" thickTop="1" thickBot="1" x14ac:dyDescent="0.25">
      <c r="A12" s="710">
        <v>11000000</v>
      </c>
      <c r="B12" s="710" t="s">
        <v>67</v>
      </c>
      <c r="C12" s="712">
        <f>'d1'!C12-'d1-П'!C12</f>
        <v>0</v>
      </c>
      <c r="D12" s="712">
        <f>'d1'!D12-'d1-П'!D12</f>
        <v>0</v>
      </c>
      <c r="E12" s="712">
        <f>'d1'!E12-'d1-П'!E12</f>
        <v>0</v>
      </c>
      <c r="F12" s="712">
        <f>'d1'!F12-'d1-П'!F12</f>
        <v>0</v>
      </c>
      <c r="G12" s="16"/>
    </row>
    <row r="13" spans="1:7" ht="24.75" customHeight="1" thickTop="1" thickBot="1" x14ac:dyDescent="0.25">
      <c r="A13" s="713">
        <v>11010000</v>
      </c>
      <c r="B13" s="714" t="s">
        <v>68</v>
      </c>
      <c r="C13" s="712">
        <f>'d1'!C13-'d1-П'!C13</f>
        <v>0</v>
      </c>
      <c r="D13" s="712">
        <f>'d1'!D13-'d1-П'!D13</f>
        <v>0</v>
      </c>
      <c r="E13" s="712">
        <f>'d1'!E13-'d1-П'!E13</f>
        <v>0</v>
      </c>
      <c r="F13" s="712">
        <f>'d1'!F13-'d1-П'!F13</f>
        <v>0</v>
      </c>
      <c r="G13" s="16"/>
    </row>
    <row r="14" spans="1:7" ht="39.75" thickTop="1" thickBot="1" x14ac:dyDescent="0.25">
      <c r="A14" s="715">
        <v>11010100</v>
      </c>
      <c r="B14" s="716" t="s">
        <v>69</v>
      </c>
      <c r="C14" s="712">
        <f>'d1'!C14-'d1-П'!C14</f>
        <v>0</v>
      </c>
      <c r="D14" s="712">
        <f>'d1'!D14-'d1-П'!D14</f>
        <v>0</v>
      </c>
      <c r="E14" s="712">
        <f>'d1'!E14-'d1-П'!E14</f>
        <v>0</v>
      </c>
      <c r="F14" s="712">
        <f>'d1'!F14-'d1-П'!F14</f>
        <v>0</v>
      </c>
      <c r="G14" s="16"/>
    </row>
    <row r="15" spans="1:7" ht="65.25" thickTop="1" thickBot="1" x14ac:dyDescent="0.25">
      <c r="A15" s="715">
        <v>11010200</v>
      </c>
      <c r="B15" s="716" t="s">
        <v>70</v>
      </c>
      <c r="C15" s="712">
        <f>'d1'!C15-'d1-П'!C15</f>
        <v>0</v>
      </c>
      <c r="D15" s="712">
        <f>'d1'!D15-'d1-П'!D15</f>
        <v>0</v>
      </c>
      <c r="E15" s="712">
        <f>'d1'!E15-'d1-П'!E15</f>
        <v>0</v>
      </c>
      <c r="F15" s="712">
        <f>'d1'!F15-'d1-П'!F15</f>
        <v>0</v>
      </c>
      <c r="G15" s="16"/>
    </row>
    <row r="16" spans="1:7" ht="39.75" thickTop="1" thickBot="1" x14ac:dyDescent="0.25">
      <c r="A16" s="715">
        <v>11010400</v>
      </c>
      <c r="B16" s="716" t="s">
        <v>71</v>
      </c>
      <c r="C16" s="712">
        <f>'d1'!C16-'d1-П'!C16</f>
        <v>0</v>
      </c>
      <c r="D16" s="712">
        <f>'d1'!D16-'d1-П'!D16</f>
        <v>0</v>
      </c>
      <c r="E16" s="712">
        <f>'d1'!E16-'d1-П'!E16</f>
        <v>0</v>
      </c>
      <c r="F16" s="712">
        <f>'d1'!F16-'d1-П'!F16</f>
        <v>0</v>
      </c>
      <c r="G16" s="16"/>
    </row>
    <row r="17" spans="1:7" ht="39.75" thickTop="1" thickBot="1" x14ac:dyDescent="0.3">
      <c r="A17" s="715">
        <v>11010500</v>
      </c>
      <c r="B17" s="716" t="s">
        <v>72</v>
      </c>
      <c r="C17" s="712">
        <f>'d1'!C17-'d1-П'!C17</f>
        <v>0</v>
      </c>
      <c r="D17" s="712">
        <f>'d1'!D17-'d1-П'!D17</f>
        <v>0</v>
      </c>
      <c r="E17" s="712">
        <f>'d1'!E17-'d1-П'!E17</f>
        <v>0</v>
      </c>
      <c r="F17" s="712">
        <f>'d1'!F17-'d1-П'!F17</f>
        <v>0</v>
      </c>
      <c r="G17" s="14"/>
    </row>
    <row r="18" spans="1:7" ht="28.5" customHeight="1" thickTop="1" thickBot="1" x14ac:dyDescent="0.25">
      <c r="A18" s="713">
        <v>11020000</v>
      </c>
      <c r="B18" s="714" t="s">
        <v>73</v>
      </c>
      <c r="C18" s="712">
        <f>'d1'!C18-'d1-П'!C18</f>
        <v>0</v>
      </c>
      <c r="D18" s="712">
        <f>'d1'!D18-'d1-П'!D18</f>
        <v>0</v>
      </c>
      <c r="E18" s="712">
        <f>'d1'!E18-'d1-П'!E18</f>
        <v>0</v>
      </c>
      <c r="F18" s="712">
        <f>'d1'!F18-'d1-П'!F18</f>
        <v>0</v>
      </c>
      <c r="G18" s="15"/>
    </row>
    <row r="19" spans="1:7" ht="27" thickTop="1" thickBot="1" x14ac:dyDescent="0.3">
      <c r="A19" s="715">
        <v>11020200</v>
      </c>
      <c r="B19" s="723" t="s">
        <v>74</v>
      </c>
      <c r="C19" s="712">
        <f>'d1'!C19-'d1-П'!C19</f>
        <v>0</v>
      </c>
      <c r="D19" s="712">
        <f>'d1'!D19-'d1-П'!D19</f>
        <v>0</v>
      </c>
      <c r="E19" s="712">
        <f>'d1'!E19-'d1-П'!E19</f>
        <v>0</v>
      </c>
      <c r="F19" s="712">
        <f>'d1'!F19-'d1-П'!F19</f>
        <v>0</v>
      </c>
      <c r="G19" s="14"/>
    </row>
    <row r="20" spans="1:7" ht="27" thickTop="1" thickBot="1" x14ac:dyDescent="0.3">
      <c r="A20" s="710">
        <v>13000000</v>
      </c>
      <c r="B20" s="729" t="s">
        <v>614</v>
      </c>
      <c r="C20" s="712">
        <f>'d1'!C20-'d1-П'!C20</f>
        <v>0</v>
      </c>
      <c r="D20" s="712">
        <f>'d1'!D20-'d1-П'!D20</f>
        <v>0</v>
      </c>
      <c r="E20" s="712">
        <f>'d1'!E20-'d1-П'!E20</f>
        <v>0</v>
      </c>
      <c r="F20" s="712">
        <f>'d1'!F20-'d1-П'!F20</f>
        <v>0</v>
      </c>
      <c r="G20" s="14"/>
    </row>
    <row r="21" spans="1:7" ht="28.5" thickTop="1" thickBot="1" x14ac:dyDescent="0.3">
      <c r="A21" s="713">
        <v>13010000</v>
      </c>
      <c r="B21" s="725" t="s">
        <v>615</v>
      </c>
      <c r="C21" s="712">
        <f>'d1'!C21-'d1-П'!C21</f>
        <v>0</v>
      </c>
      <c r="D21" s="712">
        <f>'d1'!D21-'d1-П'!D21</f>
        <v>0</v>
      </c>
      <c r="E21" s="712">
        <f>'d1'!E21-'d1-П'!E21</f>
        <v>0</v>
      </c>
      <c r="F21" s="712">
        <f>'d1'!F21-'d1-П'!F21</f>
        <v>0</v>
      </c>
      <c r="G21" s="14"/>
    </row>
    <row r="22" spans="1:7" ht="65.25" thickTop="1" thickBot="1" x14ac:dyDescent="0.3">
      <c r="A22" s="715">
        <v>13010200</v>
      </c>
      <c r="B22" s="721" t="s">
        <v>616</v>
      </c>
      <c r="C22" s="712">
        <f>'d1'!C22-'d1-П'!C22</f>
        <v>0</v>
      </c>
      <c r="D22" s="712">
        <f>'d1'!D22-'d1-П'!D22</f>
        <v>0</v>
      </c>
      <c r="E22" s="712">
        <f>'d1'!E22-'d1-П'!E22</f>
        <v>0</v>
      </c>
      <c r="F22" s="712">
        <f>'d1'!F22-'d1-П'!F22</f>
        <v>0</v>
      </c>
      <c r="G22" s="14"/>
    </row>
    <row r="23" spans="1:7" ht="16.5" thickTop="1" thickBot="1" x14ac:dyDescent="0.3">
      <c r="A23" s="713">
        <v>13030000</v>
      </c>
      <c r="B23" s="722" t="s">
        <v>617</v>
      </c>
      <c r="C23" s="712">
        <f>'d1'!C23-'d1-П'!C23</f>
        <v>0</v>
      </c>
      <c r="D23" s="712">
        <f>'d1'!D23-'d1-П'!D23</f>
        <v>0</v>
      </c>
      <c r="E23" s="712">
        <f>'d1'!E23-'d1-П'!E23</f>
        <v>0</v>
      </c>
      <c r="F23" s="712">
        <f>'d1'!F23-'d1-П'!F23</f>
        <v>0</v>
      </c>
      <c r="G23" s="14"/>
    </row>
    <row r="24" spans="1:7" ht="39.75" thickTop="1" thickBot="1" x14ac:dyDescent="0.3">
      <c r="A24" s="715">
        <v>13030100</v>
      </c>
      <c r="B24" s="721" t="s">
        <v>618</v>
      </c>
      <c r="C24" s="712">
        <f>'d1'!C24-'d1-П'!C24</f>
        <v>0</v>
      </c>
      <c r="D24" s="712">
        <f>'d1'!D24-'d1-П'!D24</f>
        <v>0</v>
      </c>
      <c r="E24" s="712">
        <f>'d1'!E24-'d1-П'!E24</f>
        <v>0</v>
      </c>
      <c r="F24" s="712">
        <f>'d1'!F24-'d1-П'!F24</f>
        <v>0</v>
      </c>
      <c r="G24" s="14"/>
    </row>
    <row r="25" spans="1:7" ht="26.25" customHeight="1" thickTop="1" thickBot="1" x14ac:dyDescent="0.3">
      <c r="A25" s="710">
        <v>14000000</v>
      </c>
      <c r="B25" s="729" t="s">
        <v>621</v>
      </c>
      <c r="C25" s="712">
        <f>'d1'!C25-'d1-П'!C25</f>
        <v>0</v>
      </c>
      <c r="D25" s="712">
        <f>'d1'!D25-'d1-П'!D25</f>
        <v>0</v>
      </c>
      <c r="E25" s="712">
        <f>'d1'!E25-'d1-П'!E25</f>
        <v>0</v>
      </c>
      <c r="F25" s="712">
        <f>'d1'!F25-'d1-П'!F25</f>
        <v>0</v>
      </c>
      <c r="G25" s="14"/>
    </row>
    <row r="26" spans="1:7" ht="30" customHeight="1" thickTop="1" thickBot="1" x14ac:dyDescent="0.3">
      <c r="A26" s="713">
        <v>14020000</v>
      </c>
      <c r="B26" s="725" t="s">
        <v>772</v>
      </c>
      <c r="C26" s="712">
        <f>'d1'!C26-'d1-П'!C26</f>
        <v>0</v>
      </c>
      <c r="D26" s="712">
        <f>'d1'!D26-'d1-П'!D26</f>
        <v>0</v>
      </c>
      <c r="E26" s="712">
        <f>'d1'!E26-'d1-П'!E26</f>
        <v>0</v>
      </c>
      <c r="F26" s="712">
        <f>'d1'!F26-'d1-П'!F26</f>
        <v>0</v>
      </c>
      <c r="G26" s="14"/>
    </row>
    <row r="27" spans="1:7" ht="16.5" thickTop="1" thickBot="1" x14ac:dyDescent="0.3">
      <c r="A27" s="715">
        <v>14021900</v>
      </c>
      <c r="B27" s="723" t="s">
        <v>771</v>
      </c>
      <c r="C27" s="712">
        <f>'d1'!C27-'d1-П'!C27</f>
        <v>0</v>
      </c>
      <c r="D27" s="712">
        <f>'d1'!D27-'d1-П'!D27</f>
        <v>0</v>
      </c>
      <c r="E27" s="712">
        <f>'d1'!E27-'d1-П'!E27</f>
        <v>0</v>
      </c>
      <c r="F27" s="712">
        <f>'d1'!F27-'d1-П'!F27</f>
        <v>0</v>
      </c>
      <c r="G27" s="14"/>
    </row>
    <row r="28" spans="1:7" ht="42" thickTop="1" thickBot="1" x14ac:dyDescent="0.3">
      <c r="A28" s="713">
        <v>14030000</v>
      </c>
      <c r="B28" s="725" t="s">
        <v>773</v>
      </c>
      <c r="C28" s="712">
        <f>'d1'!C28-'d1-П'!C28</f>
        <v>0</v>
      </c>
      <c r="D28" s="712">
        <f>'d1'!D28-'d1-П'!D28</f>
        <v>0</v>
      </c>
      <c r="E28" s="712">
        <f>'d1'!E28-'d1-П'!E28</f>
        <v>0</v>
      </c>
      <c r="F28" s="712">
        <f>'d1'!F28-'d1-П'!F28</f>
        <v>0</v>
      </c>
      <c r="G28" s="14"/>
    </row>
    <row r="29" spans="1:7" ht="16.5" thickTop="1" thickBot="1" x14ac:dyDescent="0.3">
      <c r="A29" s="715">
        <v>14031900</v>
      </c>
      <c r="B29" s="723" t="s">
        <v>771</v>
      </c>
      <c r="C29" s="712">
        <f>'d1'!C29-'d1-П'!C29</f>
        <v>0</v>
      </c>
      <c r="D29" s="712">
        <f>'d1'!D29-'d1-П'!D29</f>
        <v>0</v>
      </c>
      <c r="E29" s="712">
        <f>'d1'!E29-'d1-П'!E29</f>
        <v>0</v>
      </c>
      <c r="F29" s="712">
        <f>'d1'!F29-'d1-П'!F29</f>
        <v>0</v>
      </c>
      <c r="G29" s="14"/>
    </row>
    <row r="30" spans="1:7" ht="42" thickTop="1" thickBot="1" x14ac:dyDescent="0.25">
      <c r="A30" s="713">
        <v>14040000</v>
      </c>
      <c r="B30" s="714" t="s">
        <v>1375</v>
      </c>
      <c r="C30" s="712">
        <f>'d1'!C30-'d1-П'!C30</f>
        <v>0</v>
      </c>
      <c r="D30" s="712">
        <f>'d1'!D30-'d1-П'!D30</f>
        <v>0</v>
      </c>
      <c r="E30" s="712">
        <f>'d1'!E30-'d1-П'!E30</f>
        <v>0</v>
      </c>
      <c r="F30" s="712">
        <f>'d1'!F30-'d1-П'!F30</f>
        <v>0</v>
      </c>
      <c r="G30" s="17"/>
    </row>
    <row r="31" spans="1:7" ht="29.25" customHeight="1" thickTop="1" thickBot="1" x14ac:dyDescent="0.3">
      <c r="A31" s="710">
        <v>18000000</v>
      </c>
      <c r="B31" s="710" t="s">
        <v>75</v>
      </c>
      <c r="C31" s="712">
        <f>'d1'!C31-'d1-П'!C31</f>
        <v>15439469</v>
      </c>
      <c r="D31" s="712">
        <f>'d1'!D31-'d1-П'!D31</f>
        <v>15439469</v>
      </c>
      <c r="E31" s="712">
        <f>'d1'!E31-'d1-П'!E31</f>
        <v>0</v>
      </c>
      <c r="F31" s="712">
        <f>'d1'!F31-'d1-П'!F31</f>
        <v>0</v>
      </c>
      <c r="G31" s="14"/>
    </row>
    <row r="32" spans="1:7" ht="16.5" thickTop="1" thickBot="1" x14ac:dyDescent="0.3">
      <c r="A32" s="713">
        <v>18010000</v>
      </c>
      <c r="B32" s="730" t="s">
        <v>76</v>
      </c>
      <c r="C32" s="712">
        <f>'d1'!C32-'d1-П'!C32</f>
        <v>2500000</v>
      </c>
      <c r="D32" s="712">
        <f>'d1'!D32-'d1-П'!D32</f>
        <v>2500000</v>
      </c>
      <c r="E32" s="712">
        <f>'d1'!E32-'d1-П'!E32</f>
        <v>0</v>
      </c>
      <c r="F32" s="712">
        <f>'d1'!F32-'d1-П'!F32</f>
        <v>0</v>
      </c>
      <c r="G32" s="14"/>
    </row>
    <row r="33" spans="1:7" ht="52.5" thickTop="1" thickBot="1" x14ac:dyDescent="0.3">
      <c r="A33" s="715">
        <v>18010100</v>
      </c>
      <c r="B33" s="731" t="s">
        <v>77</v>
      </c>
      <c r="C33" s="712">
        <f>'d1'!C33-'d1-П'!C33</f>
        <v>0</v>
      </c>
      <c r="D33" s="712">
        <f>'d1'!D33-'d1-П'!D33</f>
        <v>0</v>
      </c>
      <c r="E33" s="712">
        <f>'d1'!E33-'d1-П'!E33</f>
        <v>0</v>
      </c>
      <c r="F33" s="712">
        <f>'d1'!F33-'d1-П'!F33</f>
        <v>0</v>
      </c>
      <c r="G33" s="14"/>
    </row>
    <row r="34" spans="1:7" ht="52.5" thickTop="1" thickBot="1" x14ac:dyDescent="0.3">
      <c r="A34" s="715">
        <v>18010200</v>
      </c>
      <c r="B34" s="731" t="s">
        <v>78</v>
      </c>
      <c r="C34" s="712">
        <f>'d1'!C34-'d1-П'!C34</f>
        <v>0</v>
      </c>
      <c r="D34" s="712">
        <f>'d1'!D34-'d1-П'!D34</f>
        <v>0</v>
      </c>
      <c r="E34" s="712">
        <f>'d1'!E34-'d1-П'!E34</f>
        <v>0</v>
      </c>
      <c r="F34" s="712">
        <f>'d1'!F34-'d1-П'!F34</f>
        <v>0</v>
      </c>
      <c r="G34" s="14"/>
    </row>
    <row r="35" spans="1:7" ht="52.5" thickTop="1" thickBot="1" x14ac:dyDescent="0.3">
      <c r="A35" s="715">
        <v>18010300</v>
      </c>
      <c r="B35" s="731" t="s">
        <v>79</v>
      </c>
      <c r="C35" s="712">
        <f>'d1'!C35-'d1-П'!C35</f>
        <v>2000000</v>
      </c>
      <c r="D35" s="712">
        <f>'d1'!D35-'d1-П'!D35</f>
        <v>2000000</v>
      </c>
      <c r="E35" s="712">
        <f>'d1'!E35-'d1-П'!E35</f>
        <v>0</v>
      </c>
      <c r="F35" s="712">
        <f>'d1'!F35-'d1-П'!F35</f>
        <v>0</v>
      </c>
      <c r="G35" s="14"/>
    </row>
    <row r="36" spans="1:7" ht="52.5" thickTop="1" thickBot="1" x14ac:dyDescent="0.3">
      <c r="A36" s="715">
        <v>18010400</v>
      </c>
      <c r="B36" s="731" t="s">
        <v>80</v>
      </c>
      <c r="C36" s="712">
        <f>'d1'!C36-'d1-П'!C36</f>
        <v>500000</v>
      </c>
      <c r="D36" s="712">
        <f>'d1'!D36-'d1-П'!D36</f>
        <v>500000</v>
      </c>
      <c r="E36" s="712">
        <f>'d1'!E36-'d1-П'!E36</f>
        <v>0</v>
      </c>
      <c r="F36" s="712">
        <f>'d1'!F36-'d1-П'!F36</f>
        <v>0</v>
      </c>
      <c r="G36" s="14"/>
    </row>
    <row r="37" spans="1:7" ht="16.5" thickTop="1" thickBot="1" x14ac:dyDescent="0.3">
      <c r="A37" s="715">
        <v>18010500</v>
      </c>
      <c r="B37" s="723" t="s">
        <v>81</v>
      </c>
      <c r="C37" s="712">
        <f>'d1'!C37-'d1-П'!C37</f>
        <v>0</v>
      </c>
      <c r="D37" s="712">
        <f>'d1'!D37-'d1-П'!D37</f>
        <v>0</v>
      </c>
      <c r="E37" s="712">
        <f>'d1'!E37-'d1-П'!E37</f>
        <v>0</v>
      </c>
      <c r="F37" s="712">
        <f>'d1'!F37-'d1-П'!F37</f>
        <v>0</v>
      </c>
      <c r="G37" s="14"/>
    </row>
    <row r="38" spans="1:7" ht="16.5" thickTop="1" thickBot="1" x14ac:dyDescent="0.3">
      <c r="A38" s="715">
        <v>18010600</v>
      </c>
      <c r="B38" s="731" t="s">
        <v>82</v>
      </c>
      <c r="C38" s="712">
        <f>'d1'!C38-'d1-П'!C38</f>
        <v>0</v>
      </c>
      <c r="D38" s="712">
        <f>'d1'!D38-'d1-П'!D38</f>
        <v>0</v>
      </c>
      <c r="E38" s="712">
        <f>'d1'!E38-'d1-П'!E38</f>
        <v>0</v>
      </c>
      <c r="F38" s="712">
        <f>'d1'!F38-'d1-П'!F38</f>
        <v>0</v>
      </c>
      <c r="G38" s="14"/>
    </row>
    <row r="39" spans="1:7" ht="16.5" thickTop="1" thickBot="1" x14ac:dyDescent="0.3">
      <c r="A39" s="715">
        <v>18010700</v>
      </c>
      <c r="B39" s="731" t="s">
        <v>83</v>
      </c>
      <c r="C39" s="712">
        <f>'d1'!C39-'d1-П'!C39</f>
        <v>0</v>
      </c>
      <c r="D39" s="712">
        <f>'d1'!D39-'d1-П'!D39</f>
        <v>0</v>
      </c>
      <c r="E39" s="712">
        <f>'d1'!E39-'d1-П'!E39</f>
        <v>0</v>
      </c>
      <c r="F39" s="712">
        <f>'d1'!F39-'d1-П'!F39</f>
        <v>0</v>
      </c>
      <c r="G39" s="14"/>
    </row>
    <row r="40" spans="1:7" ht="16.5" thickTop="1" thickBot="1" x14ac:dyDescent="0.3">
      <c r="A40" s="715">
        <v>18010900</v>
      </c>
      <c r="B40" s="731" t="s">
        <v>84</v>
      </c>
      <c r="C40" s="712">
        <f>'d1'!C40-'d1-П'!C40</f>
        <v>0</v>
      </c>
      <c r="D40" s="712">
        <f>'d1'!D40-'d1-П'!D40</f>
        <v>0</v>
      </c>
      <c r="E40" s="712">
        <f>'d1'!E40-'d1-П'!E40</f>
        <v>0</v>
      </c>
      <c r="F40" s="712">
        <f>'d1'!F40-'d1-П'!F40</f>
        <v>0</v>
      </c>
      <c r="G40" s="14"/>
    </row>
    <row r="41" spans="1:7" ht="15.75" thickTop="1" thickBot="1" x14ac:dyDescent="0.25">
      <c r="A41" s="715">
        <v>18011000</v>
      </c>
      <c r="B41" s="731" t="s">
        <v>85</v>
      </c>
      <c r="C41" s="712">
        <f>'d1'!C41-'d1-П'!C41</f>
        <v>0</v>
      </c>
      <c r="D41" s="712">
        <f>'d1'!D41-'d1-П'!D41</f>
        <v>0</v>
      </c>
      <c r="E41" s="712">
        <f>'d1'!E41-'d1-П'!E41</f>
        <v>0</v>
      </c>
      <c r="F41" s="712">
        <f>'d1'!F41-'d1-П'!F41</f>
        <v>0</v>
      </c>
      <c r="G41" s="15"/>
    </row>
    <row r="42" spans="1:7" ht="16.5" thickTop="1" thickBot="1" x14ac:dyDescent="0.3">
      <c r="A42" s="715">
        <v>18011100</v>
      </c>
      <c r="B42" s="731" t="s">
        <v>86</v>
      </c>
      <c r="C42" s="712">
        <f>'d1'!C42-'d1-П'!C42</f>
        <v>0</v>
      </c>
      <c r="D42" s="712">
        <f>'d1'!D42-'d1-П'!D42</f>
        <v>0</v>
      </c>
      <c r="E42" s="712">
        <f>'d1'!E42-'d1-П'!E42</f>
        <v>0</v>
      </c>
      <c r="F42" s="712">
        <f>'d1'!F42-'d1-П'!F42</f>
        <v>0</v>
      </c>
      <c r="G42" s="14"/>
    </row>
    <row r="43" spans="1:7" ht="16.5" thickTop="1" thickBot="1" x14ac:dyDescent="0.3">
      <c r="A43" s="713">
        <v>18030000</v>
      </c>
      <c r="B43" s="730" t="s">
        <v>87</v>
      </c>
      <c r="C43" s="712">
        <f>'d1'!C43-'d1-П'!C43</f>
        <v>0</v>
      </c>
      <c r="D43" s="712">
        <f>'d1'!D43-'d1-П'!D43</f>
        <v>0</v>
      </c>
      <c r="E43" s="712">
        <f>'d1'!E43-'d1-П'!E43</f>
        <v>0</v>
      </c>
      <c r="F43" s="712">
        <f>'d1'!F43-'d1-П'!F43</f>
        <v>0</v>
      </c>
      <c r="G43" s="14"/>
    </row>
    <row r="44" spans="1:7" ht="27" thickTop="1" thickBot="1" x14ac:dyDescent="0.3">
      <c r="A44" s="715">
        <v>18030100</v>
      </c>
      <c r="B44" s="731" t="s">
        <v>88</v>
      </c>
      <c r="C44" s="712">
        <f>'d1'!C44-'d1-П'!C44</f>
        <v>0</v>
      </c>
      <c r="D44" s="712">
        <f>'d1'!D44-'d1-П'!D44</f>
        <v>0</v>
      </c>
      <c r="E44" s="712">
        <f>'d1'!E44-'d1-П'!E44</f>
        <v>0</v>
      </c>
      <c r="F44" s="712">
        <f>'d1'!F44-'d1-П'!F44</f>
        <v>0</v>
      </c>
      <c r="G44" s="14"/>
    </row>
    <row r="45" spans="1:7" ht="27" thickTop="1" thickBot="1" x14ac:dyDescent="0.3">
      <c r="A45" s="715">
        <v>18030200</v>
      </c>
      <c r="B45" s="731" t="s">
        <v>89</v>
      </c>
      <c r="C45" s="712">
        <f>'d1'!C45-'d1-П'!C45</f>
        <v>0</v>
      </c>
      <c r="D45" s="712">
        <f>'d1'!D45-'d1-П'!D45</f>
        <v>0</v>
      </c>
      <c r="E45" s="712">
        <f>'d1'!E45-'d1-П'!E45</f>
        <v>0</v>
      </c>
      <c r="F45" s="712">
        <f>'d1'!F45-'d1-П'!F45</f>
        <v>0</v>
      </c>
      <c r="G45" s="14"/>
    </row>
    <row r="46" spans="1:7" ht="16.5" thickTop="1" thickBot="1" x14ac:dyDescent="0.3">
      <c r="A46" s="713">
        <v>18050000</v>
      </c>
      <c r="B46" s="730" t="s">
        <v>90</v>
      </c>
      <c r="C46" s="712">
        <f>'d1'!C46-'d1-П'!C46</f>
        <v>12939469</v>
      </c>
      <c r="D46" s="712">
        <f>'d1'!D46-'d1-П'!D46</f>
        <v>12939469</v>
      </c>
      <c r="E46" s="712">
        <f>'d1'!E46-'d1-П'!E46</f>
        <v>0</v>
      </c>
      <c r="F46" s="712">
        <f>'d1'!F46-'d1-П'!F46</f>
        <v>0</v>
      </c>
      <c r="G46" s="14"/>
    </row>
    <row r="47" spans="1:7" ht="16.5" thickTop="1" thickBot="1" x14ac:dyDescent="0.3">
      <c r="A47" s="715">
        <v>18050300</v>
      </c>
      <c r="B47" s="716" t="s">
        <v>1376</v>
      </c>
      <c r="C47" s="712">
        <f>'d1'!C47-'d1-П'!C47</f>
        <v>5500000</v>
      </c>
      <c r="D47" s="712">
        <f>'d1'!D47-'d1-П'!D47</f>
        <v>5500000</v>
      </c>
      <c r="E47" s="712">
        <f>'d1'!E47-'d1-П'!E47</f>
        <v>0</v>
      </c>
      <c r="F47" s="712">
        <f>'d1'!F47-'d1-П'!F47</f>
        <v>0</v>
      </c>
      <c r="G47" s="14"/>
    </row>
    <row r="48" spans="1:7" ht="15.75" thickTop="1" thickBot="1" x14ac:dyDescent="0.25">
      <c r="A48" s="715">
        <v>18050400</v>
      </c>
      <c r="B48" s="731" t="s">
        <v>91</v>
      </c>
      <c r="C48" s="712">
        <f>'d1'!C48-'d1-П'!C48</f>
        <v>7439469</v>
      </c>
      <c r="D48" s="712">
        <f>'d1'!D48-'d1-П'!D48</f>
        <v>7439469</v>
      </c>
      <c r="E48" s="712">
        <f>'d1'!E48-'d1-П'!E48</f>
        <v>0</v>
      </c>
      <c r="F48" s="712">
        <f>'d1'!F48-'d1-П'!F48</f>
        <v>0</v>
      </c>
      <c r="G48" s="15"/>
    </row>
    <row r="49" spans="1:7" ht="65.25" thickTop="1" thickBot="1" x14ac:dyDescent="0.25">
      <c r="A49" s="715">
        <v>18050500</v>
      </c>
      <c r="B49" s="731" t="s">
        <v>629</v>
      </c>
      <c r="C49" s="712">
        <f>'d1'!C49-'d1-П'!C49</f>
        <v>0</v>
      </c>
      <c r="D49" s="712">
        <f>'d1'!D49-'d1-П'!D49</f>
        <v>0</v>
      </c>
      <c r="E49" s="712">
        <f>'d1'!E49-'d1-П'!E49</f>
        <v>0</v>
      </c>
      <c r="F49" s="712">
        <f>'d1'!F49-'d1-П'!F49</f>
        <v>0</v>
      </c>
      <c r="G49" s="152"/>
    </row>
    <row r="50" spans="1:7" ht="31.5" customHeight="1" thickTop="1" thickBot="1" x14ac:dyDescent="0.25">
      <c r="A50" s="710">
        <v>19000000</v>
      </c>
      <c r="B50" s="732" t="s">
        <v>622</v>
      </c>
      <c r="C50" s="712">
        <f>'d1'!C50-'d1-П'!C50</f>
        <v>0</v>
      </c>
      <c r="D50" s="712">
        <f>'d1'!D50-'d1-П'!D50</f>
        <v>0</v>
      </c>
      <c r="E50" s="712">
        <f>'d1'!E50-'d1-П'!E50</f>
        <v>0</v>
      </c>
      <c r="F50" s="712">
        <f>'d1'!F50-'d1-П'!F50</f>
        <v>0</v>
      </c>
      <c r="G50" s="15"/>
    </row>
    <row r="51" spans="1:7" ht="16.5" thickTop="1" thickBot="1" x14ac:dyDescent="0.3">
      <c r="A51" s="713">
        <v>1901000</v>
      </c>
      <c r="B51" s="714" t="s">
        <v>92</v>
      </c>
      <c r="C51" s="712">
        <f>'d1'!C51-'d1-П'!C51</f>
        <v>0</v>
      </c>
      <c r="D51" s="712">
        <f>'d1'!D51-'d1-П'!D51</f>
        <v>0</v>
      </c>
      <c r="E51" s="712">
        <f>'d1'!E51-'d1-П'!E51</f>
        <v>0</v>
      </c>
      <c r="F51" s="712">
        <f>'d1'!F51-'d1-П'!F51</f>
        <v>0</v>
      </c>
      <c r="G51" s="14"/>
    </row>
    <row r="52" spans="1:7" ht="52.5" thickTop="1" thickBot="1" x14ac:dyDescent="0.3">
      <c r="A52" s="715">
        <v>19010100</v>
      </c>
      <c r="B52" s="716" t="s">
        <v>623</v>
      </c>
      <c r="C52" s="712">
        <f>'d1'!C52-'d1-П'!C52</f>
        <v>0</v>
      </c>
      <c r="D52" s="712">
        <f>'d1'!D52-'d1-П'!D52</f>
        <v>0</v>
      </c>
      <c r="E52" s="712">
        <f>'d1'!E52-'d1-П'!E52</f>
        <v>0</v>
      </c>
      <c r="F52" s="712">
        <f>'d1'!F52-'d1-П'!F52</f>
        <v>0</v>
      </c>
      <c r="G52" s="14"/>
    </row>
    <row r="53" spans="1:7" ht="27" thickTop="1" thickBot="1" x14ac:dyDescent="0.25">
      <c r="A53" s="715">
        <v>19010200</v>
      </c>
      <c r="B53" s="716" t="s">
        <v>93</v>
      </c>
      <c r="C53" s="712">
        <f>'d1'!C53-'d1-П'!C53</f>
        <v>0</v>
      </c>
      <c r="D53" s="712">
        <f>'d1'!D53-'d1-П'!D53</f>
        <v>0</v>
      </c>
      <c r="E53" s="712">
        <f>'d1'!E53-'d1-П'!E53</f>
        <v>0</v>
      </c>
      <c r="F53" s="712">
        <f>'d1'!F53-'d1-П'!F53</f>
        <v>0</v>
      </c>
      <c r="G53" s="17"/>
    </row>
    <row r="54" spans="1:7" ht="52.5" thickTop="1" thickBot="1" x14ac:dyDescent="0.3">
      <c r="A54" s="715">
        <v>19010300</v>
      </c>
      <c r="B54" s="716" t="s">
        <v>94</v>
      </c>
      <c r="C54" s="712">
        <f>'d1'!C54-'d1-П'!C54</f>
        <v>0</v>
      </c>
      <c r="D54" s="712">
        <f>'d1'!D54-'d1-П'!D54</f>
        <v>0</v>
      </c>
      <c r="E54" s="712">
        <f>'d1'!E54-'d1-П'!E54</f>
        <v>0</v>
      </c>
      <c r="F54" s="712">
        <f>'d1'!F54-'d1-П'!F54</f>
        <v>0</v>
      </c>
      <c r="G54" s="14"/>
    </row>
    <row r="55" spans="1:7" ht="30" customHeight="1" thickTop="1" thickBot="1" x14ac:dyDescent="0.3">
      <c r="A55" s="708">
        <v>20000000</v>
      </c>
      <c r="B55" s="708" t="s">
        <v>95</v>
      </c>
      <c r="C55" s="709">
        <f t="shared" si="0"/>
        <v>0</v>
      </c>
      <c r="D55" s="709">
        <f>SUM(D56,D64,D74,D79)</f>
        <v>0</v>
      </c>
      <c r="E55" s="709">
        <f>SUM(E56,E64,E74,E79)</f>
        <v>0</v>
      </c>
      <c r="F55" s="709">
        <f>SUM(F56,F64,F74,F79)</f>
        <v>0</v>
      </c>
      <c r="G55" s="14"/>
    </row>
    <row r="56" spans="1:7" ht="27" thickTop="1" thickBot="1" x14ac:dyDescent="0.3">
      <c r="A56" s="710">
        <v>21000000</v>
      </c>
      <c r="B56" s="710" t="s">
        <v>624</v>
      </c>
      <c r="C56" s="712">
        <f>'d1'!C56-'d1-П'!C56</f>
        <v>0</v>
      </c>
      <c r="D56" s="712">
        <f>'d1'!D56-'d1-П'!D56</f>
        <v>0</v>
      </c>
      <c r="E56" s="712">
        <f>'d1'!E56-'d1-П'!E56</f>
        <v>0</v>
      </c>
      <c r="F56" s="712">
        <f>'d1'!F56-'d1-П'!F56</f>
        <v>0</v>
      </c>
      <c r="G56" s="14"/>
    </row>
    <row r="57" spans="1:7" ht="55.5" thickTop="1" thickBot="1" x14ac:dyDescent="0.3">
      <c r="A57" s="713">
        <v>21010000</v>
      </c>
      <c r="B57" s="725" t="s">
        <v>625</v>
      </c>
      <c r="C57" s="712">
        <f>'d1'!C57-'d1-П'!C57</f>
        <v>0</v>
      </c>
      <c r="D57" s="712">
        <f>'d1'!D57-'d1-П'!D57</f>
        <v>0</v>
      </c>
      <c r="E57" s="712">
        <f>'d1'!E57-'d1-П'!E57</f>
        <v>0</v>
      </c>
      <c r="F57" s="712">
        <f>'d1'!F57-'d1-П'!F57</f>
        <v>0</v>
      </c>
      <c r="G57" s="14"/>
    </row>
    <row r="58" spans="1:7" ht="52.5" thickTop="1" thickBot="1" x14ac:dyDescent="0.3">
      <c r="A58" s="715">
        <v>21010300</v>
      </c>
      <c r="B58" s="723" t="s">
        <v>96</v>
      </c>
      <c r="C58" s="712">
        <f>'d1'!C58-'d1-П'!C58</f>
        <v>0</v>
      </c>
      <c r="D58" s="712">
        <f>'d1'!D58-'d1-П'!D58</f>
        <v>0</v>
      </c>
      <c r="E58" s="712">
        <f>'d1'!E58-'d1-П'!E58</f>
        <v>0</v>
      </c>
      <c r="F58" s="712">
        <f>'d1'!F58-'d1-П'!F58</f>
        <v>0</v>
      </c>
      <c r="G58" s="14"/>
    </row>
    <row r="59" spans="1:7" ht="28.5" thickTop="1" thickBot="1" x14ac:dyDescent="0.3">
      <c r="A59" s="713">
        <v>21050000</v>
      </c>
      <c r="B59" s="725" t="s">
        <v>97</v>
      </c>
      <c r="C59" s="712">
        <f>'d1'!C59-'d1-П'!C59</f>
        <v>0</v>
      </c>
      <c r="D59" s="712">
        <f>'d1'!D59-'d1-П'!D59</f>
        <v>0</v>
      </c>
      <c r="E59" s="712">
        <f>'d1'!E59-'d1-П'!E59</f>
        <v>0</v>
      </c>
      <c r="F59" s="712">
        <f>'d1'!F59-'d1-П'!F59</f>
        <v>0</v>
      </c>
      <c r="G59" s="14"/>
    </row>
    <row r="60" spans="1:7" ht="15" thickTop="1" thickBot="1" x14ac:dyDescent="0.25">
      <c r="A60" s="713">
        <v>21080000</v>
      </c>
      <c r="B60" s="725" t="s">
        <v>1377</v>
      </c>
      <c r="C60" s="712">
        <f>'d1'!C60-'d1-П'!C60</f>
        <v>0</v>
      </c>
      <c r="D60" s="712">
        <f>'d1'!D60-'d1-П'!D60</f>
        <v>0</v>
      </c>
      <c r="E60" s="712">
        <f>'d1'!E60-'d1-П'!E60</f>
        <v>0</v>
      </c>
      <c r="F60" s="712">
        <f>'d1'!F60-'d1-П'!F60</f>
        <v>0</v>
      </c>
      <c r="G60" s="17"/>
    </row>
    <row r="61" spans="1:7" ht="16.5" thickTop="1" thickBot="1" x14ac:dyDescent="0.3">
      <c r="A61" s="715">
        <v>21081100</v>
      </c>
      <c r="B61" s="733" t="s">
        <v>98</v>
      </c>
      <c r="C61" s="712">
        <f>'d1'!C61-'d1-П'!C61</f>
        <v>0</v>
      </c>
      <c r="D61" s="712">
        <f>'d1'!D61-'d1-П'!D61</f>
        <v>0</v>
      </c>
      <c r="E61" s="712">
        <f>'d1'!E61-'d1-П'!E61</f>
        <v>0</v>
      </c>
      <c r="F61" s="712">
        <f>'d1'!F61-'d1-П'!F61</f>
        <v>0</v>
      </c>
      <c r="G61" s="14"/>
    </row>
    <row r="62" spans="1:7" ht="52.5" thickTop="1" thickBot="1" x14ac:dyDescent="0.3">
      <c r="A62" s="715">
        <v>21081500</v>
      </c>
      <c r="B62" s="716" t="s">
        <v>99</v>
      </c>
      <c r="C62" s="712">
        <f>'d1'!C62-'d1-П'!C62</f>
        <v>0</v>
      </c>
      <c r="D62" s="712">
        <f>'d1'!D62-'d1-П'!D62</f>
        <v>0</v>
      </c>
      <c r="E62" s="712">
        <f>'d1'!E62-'d1-П'!E62</f>
        <v>0</v>
      </c>
      <c r="F62" s="712">
        <f>'d1'!F62-'d1-П'!F62</f>
        <v>0</v>
      </c>
      <c r="G62" s="14"/>
    </row>
    <row r="63" spans="1:7" ht="16.5" thickTop="1" thickBot="1" x14ac:dyDescent="0.3">
      <c r="A63" s="715">
        <v>21081700</v>
      </c>
      <c r="B63" s="716" t="s">
        <v>401</v>
      </c>
      <c r="C63" s="712">
        <f>'d1'!C63-'d1-П'!C63</f>
        <v>0</v>
      </c>
      <c r="D63" s="712">
        <f>'d1'!D63-'d1-П'!D63</f>
        <v>0</v>
      </c>
      <c r="E63" s="712">
        <f>'d1'!E63-'d1-П'!E63</f>
        <v>0</v>
      </c>
      <c r="F63" s="712">
        <f>'d1'!F63-'d1-П'!F63</f>
        <v>0</v>
      </c>
      <c r="G63" s="49"/>
    </row>
    <row r="64" spans="1:7" ht="27" thickTop="1" thickBot="1" x14ac:dyDescent="0.3">
      <c r="A64" s="710">
        <v>22000000</v>
      </c>
      <c r="B64" s="710" t="s">
        <v>100</v>
      </c>
      <c r="C64" s="712">
        <f>'d1'!C64-'d1-П'!C64</f>
        <v>0</v>
      </c>
      <c r="D64" s="712">
        <f>'d1'!D64-'d1-П'!D64</f>
        <v>0</v>
      </c>
      <c r="E64" s="712">
        <f>'d1'!E64-'d1-П'!E64</f>
        <v>0</v>
      </c>
      <c r="F64" s="712">
        <f>'d1'!F64-'d1-П'!F64</f>
        <v>0</v>
      </c>
      <c r="G64" s="14"/>
    </row>
    <row r="65" spans="1:7" ht="24.75" customHeight="1" thickTop="1" thickBot="1" x14ac:dyDescent="0.3">
      <c r="A65" s="713">
        <v>22010000</v>
      </c>
      <c r="B65" s="714" t="s">
        <v>626</v>
      </c>
      <c r="C65" s="712">
        <f>'d1'!C65-'d1-П'!C65</f>
        <v>0</v>
      </c>
      <c r="D65" s="712">
        <f>'d1'!D65-'d1-П'!D65</f>
        <v>0</v>
      </c>
      <c r="E65" s="712">
        <f>'d1'!E65-'d1-П'!E65</f>
        <v>0</v>
      </c>
      <c r="F65" s="712">
        <f>'d1'!F65-'d1-П'!F65</f>
        <v>0</v>
      </c>
      <c r="G65" s="14"/>
    </row>
    <row r="66" spans="1:7" ht="39.75" thickTop="1" thickBot="1" x14ac:dyDescent="0.3">
      <c r="A66" s="715">
        <v>22010300</v>
      </c>
      <c r="B66" s="716" t="s">
        <v>161</v>
      </c>
      <c r="C66" s="712">
        <f>'d1'!C66-'d1-П'!C66</f>
        <v>0</v>
      </c>
      <c r="D66" s="712">
        <f>'d1'!D66-'d1-П'!D66</f>
        <v>0</v>
      </c>
      <c r="E66" s="712">
        <f>'d1'!E66-'d1-П'!E66</f>
        <v>0</v>
      </c>
      <c r="F66" s="712">
        <f>'d1'!F66-'d1-П'!F66</f>
        <v>0</v>
      </c>
      <c r="G66" s="14"/>
    </row>
    <row r="67" spans="1:7" ht="16.5" thickTop="1" thickBot="1" x14ac:dyDescent="0.3">
      <c r="A67" s="715">
        <v>22012500</v>
      </c>
      <c r="B67" s="716" t="s">
        <v>102</v>
      </c>
      <c r="C67" s="712">
        <f>'d1'!C67-'d1-П'!C67</f>
        <v>0</v>
      </c>
      <c r="D67" s="712">
        <f>'d1'!D67-'d1-П'!D67</f>
        <v>0</v>
      </c>
      <c r="E67" s="712">
        <f>'d1'!E67-'d1-П'!E67</f>
        <v>0</v>
      </c>
      <c r="F67" s="712">
        <f>'d1'!F67-'d1-П'!F67</f>
        <v>0</v>
      </c>
      <c r="G67" s="14"/>
    </row>
    <row r="68" spans="1:7" ht="27" thickTop="1" thickBot="1" x14ac:dyDescent="0.3">
      <c r="A68" s="715">
        <v>22012600</v>
      </c>
      <c r="B68" s="716" t="s">
        <v>101</v>
      </c>
      <c r="C68" s="712">
        <f>'d1'!C68-'d1-П'!C68</f>
        <v>0</v>
      </c>
      <c r="D68" s="712">
        <f>'d1'!D68-'d1-П'!D68</f>
        <v>0</v>
      </c>
      <c r="E68" s="712">
        <f>'d1'!E68-'d1-П'!E68</f>
        <v>0</v>
      </c>
      <c r="F68" s="712">
        <f>'d1'!F68-'d1-П'!F68</f>
        <v>0</v>
      </c>
      <c r="G68" s="14"/>
    </row>
    <row r="69" spans="1:7" ht="42" thickTop="1" thickBot="1" x14ac:dyDescent="0.3">
      <c r="A69" s="713">
        <v>2208000</v>
      </c>
      <c r="B69" s="714" t="s">
        <v>627</v>
      </c>
      <c r="C69" s="712">
        <f>'d1'!C69-'d1-П'!C69</f>
        <v>0</v>
      </c>
      <c r="D69" s="712">
        <f>'d1'!D69-'d1-П'!D69</f>
        <v>0</v>
      </c>
      <c r="E69" s="712">
        <f>'d1'!E69-'d1-П'!E69</f>
        <v>0</v>
      </c>
      <c r="F69" s="712">
        <f>'d1'!F69-'d1-П'!F69</f>
        <v>0</v>
      </c>
      <c r="G69" s="14"/>
    </row>
    <row r="70" spans="1:7" ht="52.5" thickTop="1" thickBot="1" x14ac:dyDescent="0.3">
      <c r="A70" s="715">
        <v>22080400</v>
      </c>
      <c r="B70" s="733" t="s">
        <v>103</v>
      </c>
      <c r="C70" s="712">
        <f>'d1'!C70-'d1-П'!C70</f>
        <v>0</v>
      </c>
      <c r="D70" s="712">
        <f>'d1'!D70-'d1-П'!D70</f>
        <v>0</v>
      </c>
      <c r="E70" s="712">
        <f>'d1'!E70-'d1-П'!E70</f>
        <v>0</v>
      </c>
      <c r="F70" s="712">
        <f>'d1'!F70-'d1-П'!F70</f>
        <v>0</v>
      </c>
      <c r="G70" s="14"/>
    </row>
    <row r="71" spans="1:7" ht="16.5" thickTop="1" thickBot="1" x14ac:dyDescent="0.3">
      <c r="A71" s="713">
        <v>22090000</v>
      </c>
      <c r="B71" s="736" t="s">
        <v>104</v>
      </c>
      <c r="C71" s="712">
        <f>'d1'!C71-'d1-П'!C71</f>
        <v>0</v>
      </c>
      <c r="D71" s="712">
        <f>'d1'!D71-'d1-П'!D71</f>
        <v>0</v>
      </c>
      <c r="E71" s="712">
        <f>'d1'!E71-'d1-П'!E71</f>
        <v>0</v>
      </c>
      <c r="F71" s="712">
        <f>'d1'!F71-'d1-П'!F71</f>
        <v>0</v>
      </c>
      <c r="G71" s="14"/>
    </row>
    <row r="72" spans="1:7" ht="52.5" thickTop="1" thickBot="1" x14ac:dyDescent="0.3">
      <c r="A72" s="715">
        <v>22090100</v>
      </c>
      <c r="B72" s="731" t="s">
        <v>105</v>
      </c>
      <c r="C72" s="712">
        <f>'d1'!C72-'d1-П'!C72</f>
        <v>0</v>
      </c>
      <c r="D72" s="712">
        <f>'d1'!D72-'d1-П'!D72</f>
        <v>0</v>
      </c>
      <c r="E72" s="712">
        <f>'d1'!E72-'d1-П'!E72</f>
        <v>0</v>
      </c>
      <c r="F72" s="712">
        <f>'d1'!F72-'d1-П'!F72</f>
        <v>0</v>
      </c>
      <c r="G72" s="14"/>
    </row>
    <row r="73" spans="1:7" ht="39.75" thickTop="1" thickBot="1" x14ac:dyDescent="0.25">
      <c r="A73" s="715">
        <v>22090400</v>
      </c>
      <c r="B73" s="731" t="s">
        <v>106</v>
      </c>
      <c r="C73" s="712">
        <f>'d1'!C73-'d1-П'!C73</f>
        <v>0</v>
      </c>
      <c r="D73" s="712">
        <f>'d1'!D73-'d1-П'!D73</f>
        <v>0</v>
      </c>
      <c r="E73" s="712">
        <f>'d1'!E73-'d1-П'!E73</f>
        <v>0</v>
      </c>
      <c r="F73" s="712">
        <f>'d1'!F73-'d1-П'!F73</f>
        <v>0</v>
      </c>
      <c r="G73" s="16"/>
    </row>
    <row r="74" spans="1:7" ht="27" customHeight="1" thickTop="1" thickBot="1" x14ac:dyDescent="0.3">
      <c r="A74" s="710">
        <v>24000000</v>
      </c>
      <c r="B74" s="737" t="s">
        <v>107</v>
      </c>
      <c r="C74" s="712">
        <f>'d1'!C74-'d1-П'!C74</f>
        <v>0</v>
      </c>
      <c r="D74" s="712">
        <f>'d1'!D74-'d1-П'!D74</f>
        <v>0</v>
      </c>
      <c r="E74" s="712">
        <f>'d1'!E74-'d1-П'!E74</f>
        <v>0</v>
      </c>
      <c r="F74" s="712">
        <f>'d1'!F74-'d1-П'!F74</f>
        <v>0</v>
      </c>
      <c r="G74" s="14"/>
    </row>
    <row r="75" spans="1:7" ht="16.5" thickTop="1" thickBot="1" x14ac:dyDescent="0.3">
      <c r="A75" s="715">
        <v>24060300</v>
      </c>
      <c r="B75" s="716" t="s">
        <v>108</v>
      </c>
      <c r="C75" s="712">
        <f>'d1'!C75-'d1-П'!C75</f>
        <v>0</v>
      </c>
      <c r="D75" s="712">
        <f>'d1'!D75-'d1-П'!D75</f>
        <v>0</v>
      </c>
      <c r="E75" s="712">
        <f>'d1'!E75-'d1-П'!E75</f>
        <v>0</v>
      </c>
      <c r="F75" s="712">
        <f>'d1'!F75-'d1-П'!F75</f>
        <v>0</v>
      </c>
      <c r="G75" s="14"/>
    </row>
    <row r="76" spans="1:7" ht="65.25" thickTop="1" thickBot="1" x14ac:dyDescent="0.3">
      <c r="A76" s="715">
        <v>24062200</v>
      </c>
      <c r="B76" s="716" t="s">
        <v>402</v>
      </c>
      <c r="C76" s="712">
        <f>'d1'!C76-'d1-П'!C76</f>
        <v>0</v>
      </c>
      <c r="D76" s="712">
        <f>'d1'!D76-'d1-П'!D76</f>
        <v>0</v>
      </c>
      <c r="E76" s="712">
        <f>'d1'!E76-'d1-П'!E76</f>
        <v>0</v>
      </c>
      <c r="F76" s="712">
        <f>'d1'!F76-'d1-П'!F76</f>
        <v>0</v>
      </c>
      <c r="G76" s="14"/>
    </row>
    <row r="77" spans="1:7" ht="39.75" thickTop="1" thickBot="1" x14ac:dyDescent="0.3">
      <c r="A77" s="715">
        <v>24110700</v>
      </c>
      <c r="B77" s="738" t="s">
        <v>721</v>
      </c>
      <c r="C77" s="712">
        <f>'d1'!C77-'d1-П'!C77</f>
        <v>0</v>
      </c>
      <c r="D77" s="712">
        <f>'d1'!D77-'d1-П'!D77</f>
        <v>0</v>
      </c>
      <c r="E77" s="712">
        <f>'d1'!E77-'d1-П'!E77</f>
        <v>0</v>
      </c>
      <c r="F77" s="712">
        <f>'d1'!F77-'d1-П'!F77</f>
        <v>0</v>
      </c>
      <c r="G77" s="14"/>
    </row>
    <row r="78" spans="1:7" ht="27" thickTop="1" thickBot="1" x14ac:dyDescent="0.25">
      <c r="A78" s="715">
        <v>24170000</v>
      </c>
      <c r="B78" s="723" t="s">
        <v>109</v>
      </c>
      <c r="C78" s="712">
        <f>'d1'!C78-'d1-П'!C78</f>
        <v>0</v>
      </c>
      <c r="D78" s="712">
        <f>'d1'!D78-'d1-П'!D78</f>
        <v>0</v>
      </c>
      <c r="E78" s="712">
        <f>'d1'!E78-'d1-П'!E78</f>
        <v>0</v>
      </c>
      <c r="F78" s="712">
        <f>'d1'!F78-'d1-П'!F78</f>
        <v>0</v>
      </c>
      <c r="G78" s="15"/>
    </row>
    <row r="79" spans="1:7" ht="16.5" thickTop="1" thickBot="1" x14ac:dyDescent="0.3">
      <c r="A79" s="710">
        <v>25000000</v>
      </c>
      <c r="B79" s="711" t="s">
        <v>110</v>
      </c>
      <c r="C79" s="712">
        <f>'d1'!C79-'d1-П'!C79</f>
        <v>0</v>
      </c>
      <c r="D79" s="712">
        <f>'d1'!D79-'d1-П'!D79</f>
        <v>0</v>
      </c>
      <c r="E79" s="712">
        <f>'d1'!E79-'d1-П'!E79</f>
        <v>0</v>
      </c>
      <c r="F79" s="712">
        <f>'d1'!F79-'d1-П'!F79</f>
        <v>0</v>
      </c>
      <c r="G79" s="14"/>
    </row>
    <row r="80" spans="1:7" ht="42" thickTop="1" thickBot="1" x14ac:dyDescent="0.3">
      <c r="A80" s="713">
        <v>25010000</v>
      </c>
      <c r="B80" s="725" t="s">
        <v>111</v>
      </c>
      <c r="C80" s="712">
        <f>'d1'!C80-'d1-П'!C80</f>
        <v>0</v>
      </c>
      <c r="D80" s="712">
        <f>'d1'!D80-'d1-П'!D80</f>
        <v>0</v>
      </c>
      <c r="E80" s="712">
        <f>'d1'!E80-'d1-П'!E80</f>
        <v>0</v>
      </c>
      <c r="F80" s="712">
        <f>'d1'!F80-'d1-П'!F80</f>
        <v>0</v>
      </c>
      <c r="G80" s="14"/>
    </row>
    <row r="81" spans="1:7" ht="27" thickTop="1" thickBot="1" x14ac:dyDescent="0.3">
      <c r="A81" s="715">
        <v>25010100</v>
      </c>
      <c r="B81" s="723" t="s">
        <v>112</v>
      </c>
      <c r="C81" s="712">
        <f>'d1'!C81-'d1-П'!C81</f>
        <v>0</v>
      </c>
      <c r="D81" s="712">
        <f>'d1'!D81-'d1-П'!D81</f>
        <v>0</v>
      </c>
      <c r="E81" s="712">
        <f>'d1'!E81-'d1-П'!E81</f>
        <v>0</v>
      </c>
      <c r="F81" s="712">
        <f>'d1'!F81-'d1-П'!F81</f>
        <v>0</v>
      </c>
      <c r="G81" s="14"/>
    </row>
    <row r="82" spans="1:7" ht="27" thickTop="1" thickBot="1" x14ac:dyDescent="0.3">
      <c r="A82" s="715">
        <v>25010200</v>
      </c>
      <c r="B82" s="723" t="s">
        <v>113</v>
      </c>
      <c r="C82" s="712">
        <f>'d1'!C82-'d1-П'!C82</f>
        <v>0</v>
      </c>
      <c r="D82" s="712">
        <f>'d1'!D82-'d1-П'!D82</f>
        <v>0</v>
      </c>
      <c r="E82" s="712">
        <f>'d1'!E82-'d1-П'!E82</f>
        <v>0</v>
      </c>
      <c r="F82" s="712">
        <f>'d1'!F82-'d1-П'!F82</f>
        <v>0</v>
      </c>
      <c r="G82" s="14"/>
    </row>
    <row r="83" spans="1:7" ht="16.5" thickTop="1" thickBot="1" x14ac:dyDescent="0.3">
      <c r="A83" s="715">
        <v>25010300</v>
      </c>
      <c r="B83" s="723" t="s">
        <v>114</v>
      </c>
      <c r="C83" s="712">
        <f>'d1'!C83-'d1-П'!C83</f>
        <v>0</v>
      </c>
      <c r="D83" s="712">
        <f>'d1'!D83-'d1-П'!D83</f>
        <v>0</v>
      </c>
      <c r="E83" s="712">
        <f>'d1'!E83-'d1-П'!E83</f>
        <v>0</v>
      </c>
      <c r="F83" s="712">
        <f>'d1'!F83-'d1-П'!F83</f>
        <v>0</v>
      </c>
      <c r="G83" s="14"/>
    </row>
    <row r="84" spans="1:7" ht="39.75" thickTop="1" thickBot="1" x14ac:dyDescent="0.3">
      <c r="A84" s="715">
        <v>25010400</v>
      </c>
      <c r="B84" s="723" t="s">
        <v>115</v>
      </c>
      <c r="C84" s="712">
        <f>'d1'!C84-'d1-П'!C84</f>
        <v>0</v>
      </c>
      <c r="D84" s="712">
        <f>'d1'!D84-'d1-П'!D84</f>
        <v>0</v>
      </c>
      <c r="E84" s="712">
        <f>'d1'!E84-'d1-П'!E84</f>
        <v>0</v>
      </c>
      <c r="F84" s="712">
        <f>'d1'!F84-'d1-П'!F84</f>
        <v>0</v>
      </c>
      <c r="G84" s="14"/>
    </row>
    <row r="85" spans="1:7" ht="29.25" customHeight="1" thickTop="1" thickBot="1" x14ac:dyDescent="0.25">
      <c r="A85" s="708">
        <v>30000000</v>
      </c>
      <c r="B85" s="708" t="s">
        <v>116</v>
      </c>
      <c r="C85" s="709">
        <f t="shared" ref="C85" si="1">SUM(D85,E85)</f>
        <v>0</v>
      </c>
      <c r="D85" s="709">
        <f>SUM(D86)+D90</f>
        <v>0</v>
      </c>
      <c r="E85" s="709">
        <f>SUM(E86)+E90</f>
        <v>0</v>
      </c>
      <c r="F85" s="709">
        <f>SUM(F89:F90)</f>
        <v>0</v>
      </c>
      <c r="G85" s="16"/>
    </row>
    <row r="86" spans="1:7" ht="27" customHeight="1" thickTop="1" thickBot="1" x14ac:dyDescent="0.3">
      <c r="A86" s="710">
        <v>31000000</v>
      </c>
      <c r="B86" s="710" t="s">
        <v>117</v>
      </c>
      <c r="C86" s="712">
        <f>'d1'!C86-'d1-П'!C86</f>
        <v>0</v>
      </c>
      <c r="D86" s="712">
        <f>'d1'!D86-'d1-П'!D86</f>
        <v>0</v>
      </c>
      <c r="E86" s="712">
        <f>'d1'!E86-'d1-П'!E86</f>
        <v>0</v>
      </c>
      <c r="F86" s="712">
        <f>'d1'!F86-'d1-П'!F86</f>
        <v>0</v>
      </c>
      <c r="G86" s="14"/>
    </row>
    <row r="87" spans="1:7" ht="82.5" thickTop="1" thickBot="1" x14ac:dyDescent="0.3">
      <c r="A87" s="713">
        <v>3101000</v>
      </c>
      <c r="B87" s="714" t="s">
        <v>628</v>
      </c>
      <c r="C87" s="712">
        <f>'d1'!C87-'d1-П'!C87</f>
        <v>0</v>
      </c>
      <c r="D87" s="712">
        <f>'d1'!D87-'d1-П'!D87</f>
        <v>0</v>
      </c>
      <c r="E87" s="712">
        <f>'d1'!E87-'d1-П'!E87</f>
        <v>0</v>
      </c>
      <c r="F87" s="712">
        <f>'d1'!F87-'d1-П'!F87</f>
        <v>0</v>
      </c>
      <c r="G87" s="14"/>
    </row>
    <row r="88" spans="1:7" ht="78" thickTop="1" thickBot="1" x14ac:dyDescent="0.3">
      <c r="A88" s="715">
        <v>31010200</v>
      </c>
      <c r="B88" s="723" t="s">
        <v>118</v>
      </c>
      <c r="C88" s="712">
        <f>'d1'!C88-'d1-П'!C88</f>
        <v>0</v>
      </c>
      <c r="D88" s="712">
        <f>'d1'!D88-'d1-П'!D88</f>
        <v>0</v>
      </c>
      <c r="E88" s="712">
        <f>'d1'!E88-'d1-П'!E88</f>
        <v>0</v>
      </c>
      <c r="F88" s="712">
        <f>'d1'!F88-'d1-П'!F88</f>
        <v>0</v>
      </c>
      <c r="G88" s="14"/>
    </row>
    <row r="89" spans="1:7" ht="55.5" thickTop="1" thickBot="1" x14ac:dyDescent="0.3">
      <c r="A89" s="713">
        <v>31030000</v>
      </c>
      <c r="B89" s="725" t="s">
        <v>119</v>
      </c>
      <c r="C89" s="712">
        <f>'d1'!C89-'d1-П'!C89</f>
        <v>0</v>
      </c>
      <c r="D89" s="712">
        <f>'d1'!D89-'d1-П'!D89</f>
        <v>0</v>
      </c>
      <c r="E89" s="712">
        <f>'d1'!E89-'d1-П'!E89</f>
        <v>0</v>
      </c>
      <c r="F89" s="712">
        <f>'d1'!F89-'d1-П'!F89</f>
        <v>0</v>
      </c>
      <c r="G89" s="14"/>
    </row>
    <row r="90" spans="1:7" ht="27" thickTop="1" thickBot="1" x14ac:dyDescent="0.3">
      <c r="A90" s="710">
        <v>33000000</v>
      </c>
      <c r="B90" s="710" t="s">
        <v>120</v>
      </c>
      <c r="C90" s="712">
        <f>'d1'!C90-'d1-П'!C90</f>
        <v>0</v>
      </c>
      <c r="D90" s="712">
        <f>'d1'!D90-'d1-П'!D90</f>
        <v>0</v>
      </c>
      <c r="E90" s="712">
        <f>'d1'!E90-'d1-П'!E90</f>
        <v>0</v>
      </c>
      <c r="F90" s="712">
        <f>'d1'!F90-'d1-П'!F90</f>
        <v>0</v>
      </c>
      <c r="G90" s="14"/>
    </row>
    <row r="91" spans="1:7" ht="16.5" thickTop="1" thickBot="1" x14ac:dyDescent="0.3">
      <c r="A91" s="713">
        <v>33010000</v>
      </c>
      <c r="B91" s="714" t="s">
        <v>121</v>
      </c>
      <c r="C91" s="712">
        <f>'d1'!C91-'d1-П'!C91</f>
        <v>0</v>
      </c>
      <c r="D91" s="712">
        <f>'d1'!D91-'d1-П'!D91</f>
        <v>0</v>
      </c>
      <c r="E91" s="712">
        <f>'d1'!E91-'d1-П'!E91</f>
        <v>0</v>
      </c>
      <c r="F91" s="712">
        <f>'d1'!F91-'d1-П'!F91</f>
        <v>0</v>
      </c>
      <c r="G91" s="14"/>
    </row>
    <row r="92" spans="1:7" ht="52.5" thickTop="1" thickBot="1" x14ac:dyDescent="0.3">
      <c r="A92" s="715">
        <v>33010100</v>
      </c>
      <c r="B92" s="723" t="s">
        <v>368</v>
      </c>
      <c r="C92" s="712">
        <f>'d1'!C92-'d1-П'!C92</f>
        <v>0</v>
      </c>
      <c r="D92" s="712">
        <f>'d1'!D92-'d1-П'!D92</f>
        <v>0</v>
      </c>
      <c r="E92" s="712">
        <f>'d1'!E92-'d1-П'!E92</f>
        <v>0</v>
      </c>
      <c r="F92" s="712">
        <f>'d1'!F92-'d1-П'!F92</f>
        <v>0</v>
      </c>
      <c r="G92" s="14"/>
    </row>
    <row r="93" spans="1:7" ht="52.5" thickTop="1" thickBot="1" x14ac:dyDescent="0.3">
      <c r="A93" s="715">
        <v>33010200</v>
      </c>
      <c r="B93" s="723" t="s">
        <v>122</v>
      </c>
      <c r="C93" s="712">
        <f>'d1'!C93-'d1-П'!C93</f>
        <v>0</v>
      </c>
      <c r="D93" s="712">
        <f>'d1'!D93-'d1-П'!D93</f>
        <v>0</v>
      </c>
      <c r="E93" s="712">
        <f>'d1'!E93-'d1-П'!E93</f>
        <v>0</v>
      </c>
      <c r="F93" s="712">
        <f>'d1'!F93-'d1-П'!F93</f>
        <v>0</v>
      </c>
      <c r="G93" s="14"/>
    </row>
    <row r="94" spans="1:7" ht="27" customHeight="1" thickTop="1" thickBot="1" x14ac:dyDescent="0.3">
      <c r="A94" s="708">
        <v>50000000</v>
      </c>
      <c r="B94" s="708" t="s">
        <v>532</v>
      </c>
      <c r="C94" s="709">
        <f>SUM(D94,E94)</f>
        <v>0</v>
      </c>
      <c r="D94" s="709"/>
      <c r="E94" s="709">
        <f>SUM(E95)</f>
        <v>0</v>
      </c>
      <c r="F94" s="709"/>
      <c r="G94" s="14"/>
    </row>
    <row r="95" spans="1:7" ht="52.5" thickTop="1" thickBot="1" x14ac:dyDescent="0.3">
      <c r="A95" s="710">
        <v>50110000</v>
      </c>
      <c r="B95" s="724" t="s">
        <v>123</v>
      </c>
      <c r="C95" s="712">
        <f>'d1'!C95-'d1-П'!C95</f>
        <v>0</v>
      </c>
      <c r="D95" s="712">
        <f>'d1'!D95-'d1-П'!D95</f>
        <v>0</v>
      </c>
      <c r="E95" s="712">
        <f>'d1'!E95-'d1-П'!E95</f>
        <v>0</v>
      </c>
      <c r="F95" s="712">
        <f>'d1'!F95-'d1-П'!F95</f>
        <v>0</v>
      </c>
      <c r="G95" s="14"/>
    </row>
    <row r="96" spans="1:7" ht="45.75" customHeight="1" thickTop="1" thickBot="1" x14ac:dyDescent="0.25">
      <c r="A96" s="739"/>
      <c r="B96" s="742" t="s">
        <v>533</v>
      </c>
      <c r="C96" s="740">
        <f t="shared" ref="C96:C97" si="2">SUM(D96,E96)</f>
        <v>15439469</v>
      </c>
      <c r="D96" s="741">
        <f>D94+D85+D55+D11</f>
        <v>15439469</v>
      </c>
      <c r="E96" s="741">
        <f>E94+E85+E55+E11</f>
        <v>0</v>
      </c>
      <c r="F96" s="741">
        <f>F94+F85+F55+F11</f>
        <v>0</v>
      </c>
      <c r="G96" s="15"/>
    </row>
    <row r="97" spans="1:7" ht="34.5" customHeight="1" thickTop="1" thickBot="1" x14ac:dyDescent="0.25">
      <c r="A97" s="708">
        <v>40000000</v>
      </c>
      <c r="B97" s="708" t="s">
        <v>455</v>
      </c>
      <c r="C97" s="709">
        <f t="shared" si="2"/>
        <v>53778884</v>
      </c>
      <c r="D97" s="709">
        <f>SUM(D100,D98)</f>
        <v>53778884</v>
      </c>
      <c r="E97" s="709">
        <f>SUM(E100,E98)</f>
        <v>0</v>
      </c>
      <c r="F97" s="709">
        <f>SUM(F100,F98)</f>
        <v>0</v>
      </c>
      <c r="G97" s="15"/>
    </row>
    <row r="98" spans="1:7" ht="27" thickTop="1" thickBot="1" x14ac:dyDescent="0.25">
      <c r="A98" s="710">
        <v>41040000</v>
      </c>
      <c r="B98" s="729" t="s">
        <v>370</v>
      </c>
      <c r="C98" s="712">
        <f>'d1'!C98-'d1-П'!C98</f>
        <v>0</v>
      </c>
      <c r="D98" s="712">
        <f>'d1'!D98-'d1-П'!D98</f>
        <v>0</v>
      </c>
      <c r="E98" s="712">
        <f>'d1'!E98-'d1-П'!E98</f>
        <v>0</v>
      </c>
      <c r="F98" s="712">
        <f>'d1'!F98-'d1-П'!F98</f>
        <v>0</v>
      </c>
      <c r="G98" s="15"/>
    </row>
    <row r="99" spans="1:7" ht="65.25" thickTop="1" thickBot="1" x14ac:dyDescent="0.25">
      <c r="A99" s="715">
        <v>41040200</v>
      </c>
      <c r="B99" s="723" t="s">
        <v>369</v>
      </c>
      <c r="C99" s="712">
        <f>'d1'!C99-'d1-П'!C99</f>
        <v>0</v>
      </c>
      <c r="D99" s="712">
        <f>'d1'!D99-'d1-П'!D99</f>
        <v>0</v>
      </c>
      <c r="E99" s="712">
        <f>'d1'!E99-'d1-П'!E99</f>
        <v>0</v>
      </c>
      <c r="F99" s="712">
        <f>'d1'!F99-'d1-П'!F99</f>
        <v>0</v>
      </c>
      <c r="G99" s="15"/>
    </row>
    <row r="100" spans="1:7" ht="23.25" customHeight="1" thickTop="1" thickBot="1" x14ac:dyDescent="0.25">
      <c r="A100" s="710">
        <v>41000000</v>
      </c>
      <c r="B100" s="710" t="s">
        <v>124</v>
      </c>
      <c r="C100" s="712">
        <f>'d1'!C100-'d1-П'!C100</f>
        <v>53778884</v>
      </c>
      <c r="D100" s="712">
        <f>'d1'!D100-'d1-П'!D100</f>
        <v>53778884</v>
      </c>
      <c r="E100" s="712">
        <f>'d1'!E100-'d1-П'!E100</f>
        <v>0</v>
      </c>
      <c r="F100" s="712">
        <f>'d1'!F100-'d1-П'!F100</f>
        <v>0</v>
      </c>
      <c r="G100" s="15"/>
    </row>
    <row r="101" spans="1:7" ht="27" thickTop="1" thickBot="1" x14ac:dyDescent="0.3">
      <c r="A101" s="710">
        <v>41030000</v>
      </c>
      <c r="B101" s="711" t="s">
        <v>470</v>
      </c>
      <c r="C101" s="712">
        <f>'d1'!C101-'d1-П'!C101</f>
        <v>54155840</v>
      </c>
      <c r="D101" s="712">
        <f>'d1'!D101-'d1-П'!D101</f>
        <v>54155840</v>
      </c>
      <c r="E101" s="712">
        <f>'d1'!E101-'d1-П'!E101</f>
        <v>0</v>
      </c>
      <c r="F101" s="712">
        <f>'d1'!F101-'d1-П'!F101</f>
        <v>0</v>
      </c>
      <c r="G101" s="14"/>
    </row>
    <row r="102" spans="1:7" ht="52.5" thickTop="1" thickBot="1" x14ac:dyDescent="0.3">
      <c r="A102" s="715">
        <v>41032300</v>
      </c>
      <c r="B102" s="716" t="s">
        <v>1282</v>
      </c>
      <c r="C102" s="712">
        <f>'d1'!C102-'d1-П'!C102</f>
        <v>20000000</v>
      </c>
      <c r="D102" s="712">
        <f>'d1'!D102-'d1-П'!D102</f>
        <v>20000000</v>
      </c>
      <c r="E102" s="712">
        <f>'d1'!E102-'d1-П'!E102</f>
        <v>0</v>
      </c>
      <c r="F102" s="712">
        <f>'d1'!F102-'d1-П'!F102</f>
        <v>0</v>
      </c>
      <c r="G102" s="14"/>
    </row>
    <row r="103" spans="1:7" ht="52.5" thickTop="1" thickBot="1" x14ac:dyDescent="0.3">
      <c r="A103" s="715">
        <v>41033800</v>
      </c>
      <c r="B103" s="716" t="s">
        <v>1379</v>
      </c>
      <c r="C103" s="712">
        <f>'d1'!C103-'d1-П'!C103</f>
        <v>0</v>
      </c>
      <c r="D103" s="712">
        <f>'d1'!D103-'d1-П'!D103</f>
        <v>0</v>
      </c>
      <c r="E103" s="712">
        <f>'d1'!E103-'d1-П'!E103</f>
        <v>0</v>
      </c>
      <c r="F103" s="712">
        <f>'d1'!F103-'d1-П'!F103</f>
        <v>0</v>
      </c>
      <c r="G103" s="14"/>
    </row>
    <row r="104" spans="1:7" ht="27" thickTop="1" thickBot="1" x14ac:dyDescent="0.3">
      <c r="A104" s="715">
        <v>41033900</v>
      </c>
      <c r="B104" s="716" t="s">
        <v>125</v>
      </c>
      <c r="C104" s="712">
        <f>'d1'!C104-'d1-П'!C104</f>
        <v>0</v>
      </c>
      <c r="D104" s="712">
        <f>'d1'!D104-'d1-П'!D104</f>
        <v>0</v>
      </c>
      <c r="E104" s="712">
        <f>'d1'!E104-'d1-П'!E104</f>
        <v>0</v>
      </c>
      <c r="F104" s="712">
        <f>'d1'!F104-'d1-П'!F104</f>
        <v>0</v>
      </c>
      <c r="G104" s="14"/>
    </row>
    <row r="105" spans="1:7" ht="52.5" thickTop="1" thickBot="1" x14ac:dyDescent="0.3">
      <c r="A105" s="715">
        <v>41034500</v>
      </c>
      <c r="B105" s="716" t="s">
        <v>1380</v>
      </c>
      <c r="C105" s="712">
        <f>'d1'!C105-'d1-П'!C105</f>
        <v>1200000</v>
      </c>
      <c r="D105" s="712">
        <f>'d1'!D105-'d1-П'!D105</f>
        <v>1200000</v>
      </c>
      <c r="E105" s="712">
        <f>'d1'!E105-'d1-П'!E105</f>
        <v>0</v>
      </c>
      <c r="F105" s="712">
        <f>'d1'!F105-'d1-П'!F105</f>
        <v>0</v>
      </c>
      <c r="G105" s="14"/>
    </row>
    <row r="106" spans="1:7" ht="52.5" thickTop="1" thickBot="1" x14ac:dyDescent="0.3">
      <c r="A106" s="715">
        <v>41035500</v>
      </c>
      <c r="B106" s="716" t="s">
        <v>1284</v>
      </c>
      <c r="C106" s="712">
        <f>'d1'!C106-'d1-П'!C106</f>
        <v>0</v>
      </c>
      <c r="D106" s="712">
        <f>'d1'!D106-'d1-П'!D106</f>
        <v>0</v>
      </c>
      <c r="E106" s="712">
        <f>'d1'!E106-'d1-П'!E106</f>
        <v>0</v>
      </c>
      <c r="F106" s="712">
        <f>'d1'!F106-'d1-П'!F106</f>
        <v>0</v>
      </c>
      <c r="G106" s="14"/>
    </row>
    <row r="107" spans="1:7" ht="65.25" thickTop="1" thickBot="1" x14ac:dyDescent="0.3">
      <c r="A107" s="715">
        <v>41035600</v>
      </c>
      <c r="B107" s="716" t="s">
        <v>1325</v>
      </c>
      <c r="C107" s="712">
        <f>'d1'!C107-'d1-П'!C107</f>
        <v>0</v>
      </c>
      <c r="D107" s="712">
        <f>'d1'!D107-'d1-П'!D107</f>
        <v>0</v>
      </c>
      <c r="E107" s="712">
        <f>'d1'!E107-'d1-П'!E107</f>
        <v>0</v>
      </c>
      <c r="F107" s="712">
        <f>'d1'!F107-'d1-П'!F107</f>
        <v>0</v>
      </c>
      <c r="G107" s="14"/>
    </row>
    <row r="108" spans="1:7" ht="42.75" customHeight="1" thickTop="1" thickBot="1" x14ac:dyDescent="0.3">
      <c r="A108" s="715">
        <v>41035700</v>
      </c>
      <c r="B108" s="716" t="s">
        <v>1271</v>
      </c>
      <c r="C108" s="712">
        <f>'d1'!C108-'d1-П'!C108</f>
        <v>32955840</v>
      </c>
      <c r="D108" s="712">
        <f>'d1'!D108-'d1-П'!D108</f>
        <v>32955840</v>
      </c>
      <c r="E108" s="712">
        <f>'d1'!E108-'d1-П'!E108</f>
        <v>0</v>
      </c>
      <c r="F108" s="712">
        <f>'d1'!F108-'d1-П'!F108</f>
        <v>0</v>
      </c>
      <c r="G108" s="14"/>
    </row>
    <row r="109" spans="1:7" ht="36.75" customHeight="1" thickTop="1" thickBot="1" x14ac:dyDescent="0.3">
      <c r="A109" s="710">
        <v>41050000</v>
      </c>
      <c r="B109" s="711" t="s">
        <v>517</v>
      </c>
      <c r="C109" s="712">
        <f>'d1'!C109-'d1-П'!C109</f>
        <v>-376956</v>
      </c>
      <c r="D109" s="712">
        <f>'d1'!D109-'d1-П'!D109</f>
        <v>-376956</v>
      </c>
      <c r="E109" s="712">
        <f>'d1'!E109-'d1-П'!E109</f>
        <v>0</v>
      </c>
      <c r="F109" s="712">
        <f>'d1'!F109-'d1-П'!F109</f>
        <v>0</v>
      </c>
      <c r="G109" s="14"/>
    </row>
    <row r="110" spans="1:7" ht="256.5" thickTop="1" thickBot="1" x14ac:dyDescent="0.3">
      <c r="A110" s="715">
        <v>41050400</v>
      </c>
      <c r="B110" s="716" t="s">
        <v>1381</v>
      </c>
      <c r="C110" s="712">
        <f>'d1'!C110-'d1-П'!C110</f>
        <v>0</v>
      </c>
      <c r="D110" s="712">
        <f>'d1'!D110-'d1-П'!D110</f>
        <v>0</v>
      </c>
      <c r="E110" s="712">
        <f>'d1'!E110-'d1-П'!E110</f>
        <v>0</v>
      </c>
      <c r="F110" s="712">
        <f>'d1'!F110-'d1-П'!F110</f>
        <v>0</v>
      </c>
      <c r="G110" s="14"/>
    </row>
    <row r="111" spans="1:7" ht="218.25" thickTop="1" thickBot="1" x14ac:dyDescent="0.3">
      <c r="A111" s="715">
        <v>41050500</v>
      </c>
      <c r="B111" s="716" t="s">
        <v>1382</v>
      </c>
      <c r="C111" s="712">
        <f>'d1'!C111-'d1-П'!C111</f>
        <v>0</v>
      </c>
      <c r="D111" s="712">
        <f>'d1'!D111-'d1-П'!D111</f>
        <v>0</v>
      </c>
      <c r="E111" s="712">
        <f>'d1'!E111-'d1-П'!E111</f>
        <v>0</v>
      </c>
      <c r="F111" s="712">
        <f>'d1'!F111-'d1-П'!F111</f>
        <v>0</v>
      </c>
      <c r="G111" s="14"/>
    </row>
    <row r="112" spans="1:7" ht="320.25" thickTop="1" thickBot="1" x14ac:dyDescent="0.3">
      <c r="A112" s="715">
        <v>41050600</v>
      </c>
      <c r="B112" s="716" t="s">
        <v>1383</v>
      </c>
      <c r="C112" s="712">
        <f>'d1'!C112-'d1-П'!C112</f>
        <v>0</v>
      </c>
      <c r="D112" s="712">
        <f>'d1'!D112-'d1-П'!D112</f>
        <v>0</v>
      </c>
      <c r="E112" s="712">
        <f>'d1'!E112-'d1-П'!E112</f>
        <v>0</v>
      </c>
      <c r="F112" s="712">
        <f>'d1'!F112-'d1-П'!F112</f>
        <v>0</v>
      </c>
      <c r="G112" s="14"/>
    </row>
    <row r="113" spans="1:7" ht="116.25" thickTop="1" thickBot="1" x14ac:dyDescent="0.3">
      <c r="A113" s="715">
        <v>41050900</v>
      </c>
      <c r="B113" s="716" t="s">
        <v>1384</v>
      </c>
      <c r="C113" s="712">
        <f>'d1'!C113-'d1-П'!C113</f>
        <v>-376956</v>
      </c>
      <c r="D113" s="712">
        <f>'d1'!D113-'d1-П'!D113</f>
        <v>-376956</v>
      </c>
      <c r="E113" s="712">
        <f>'d1'!E113-'d1-П'!E113</f>
        <v>0</v>
      </c>
      <c r="F113" s="712">
        <f>'d1'!F113-'d1-П'!F113</f>
        <v>0</v>
      </c>
      <c r="G113" s="14"/>
    </row>
    <row r="114" spans="1:7" ht="39.75" thickTop="1" thickBot="1" x14ac:dyDescent="0.3">
      <c r="A114" s="715">
        <v>41051000</v>
      </c>
      <c r="B114" s="716" t="s">
        <v>518</v>
      </c>
      <c r="C114" s="712">
        <f>'d1'!C114-'d1-П'!C114</f>
        <v>0</v>
      </c>
      <c r="D114" s="712">
        <f>'d1'!D114-'d1-П'!D114</f>
        <v>0</v>
      </c>
      <c r="E114" s="712">
        <f>'d1'!E114-'d1-П'!E114</f>
        <v>0</v>
      </c>
      <c r="F114" s="712">
        <f>'d1'!F114-'d1-П'!F114</f>
        <v>0</v>
      </c>
      <c r="G114" s="14"/>
    </row>
    <row r="115" spans="1:7" ht="52.5" thickTop="1" thickBot="1" x14ac:dyDescent="0.3">
      <c r="A115" s="715">
        <v>41051200</v>
      </c>
      <c r="B115" s="716" t="s">
        <v>769</v>
      </c>
      <c r="C115" s="712">
        <f>'d1'!C115-'d1-П'!C115</f>
        <v>0</v>
      </c>
      <c r="D115" s="712">
        <f>'d1'!D115-'d1-П'!D115</f>
        <v>0</v>
      </c>
      <c r="E115" s="712">
        <f>'d1'!E115-'d1-П'!E115</f>
        <v>0</v>
      </c>
      <c r="F115" s="712">
        <f>'d1'!F115-'d1-П'!F115</f>
        <v>0</v>
      </c>
      <c r="G115" s="14"/>
    </row>
    <row r="116" spans="1:7" ht="65.25" thickTop="1" thickBot="1" x14ac:dyDescent="0.3">
      <c r="A116" s="715">
        <v>41051400</v>
      </c>
      <c r="B116" s="716" t="s">
        <v>1287</v>
      </c>
      <c r="C116" s="712">
        <f>'d1'!C116-'d1-П'!C116</f>
        <v>0</v>
      </c>
      <c r="D116" s="712">
        <f>'d1'!D116-'d1-П'!D116</f>
        <v>0</v>
      </c>
      <c r="E116" s="712">
        <f>'d1'!E116-'d1-П'!E116</f>
        <v>0</v>
      </c>
      <c r="F116" s="712">
        <f>'d1'!F116-'d1-П'!F116</f>
        <v>0</v>
      </c>
      <c r="G116" s="14"/>
    </row>
    <row r="117" spans="1:7" ht="65.25" thickTop="1" thickBot="1" x14ac:dyDescent="0.3">
      <c r="A117" s="715">
        <v>41051700</v>
      </c>
      <c r="B117" s="716" t="s">
        <v>1201</v>
      </c>
      <c r="C117" s="712">
        <f>'d1'!C117-'d1-П'!C117</f>
        <v>0</v>
      </c>
      <c r="D117" s="712">
        <f>'d1'!D117-'d1-П'!D117</f>
        <v>0</v>
      </c>
      <c r="E117" s="712">
        <f>'d1'!E117-'d1-П'!E117</f>
        <v>0</v>
      </c>
      <c r="F117" s="712">
        <f>'d1'!F117-'d1-П'!F117</f>
        <v>0</v>
      </c>
      <c r="G117" s="14"/>
    </row>
    <row r="118" spans="1:7" ht="90.75" hidden="1" thickTop="1" thickBot="1" x14ac:dyDescent="0.3">
      <c r="A118" s="715">
        <v>41056600</v>
      </c>
      <c r="B118" s="716" t="s">
        <v>1349</v>
      </c>
      <c r="C118" s="712">
        <f>'d1'!C118-'d1-П'!C118</f>
        <v>0</v>
      </c>
      <c r="D118" s="712">
        <f>'d1'!D118-'d1-П'!D118</f>
        <v>0</v>
      </c>
      <c r="E118" s="712">
        <f>'d1'!E118-'d1-П'!E118</f>
        <v>0</v>
      </c>
      <c r="F118" s="712">
        <f>'d1'!F118-'d1-П'!F118</f>
        <v>0</v>
      </c>
      <c r="G118" s="14"/>
    </row>
    <row r="119" spans="1:7" ht="52.5" thickTop="1" thickBot="1" x14ac:dyDescent="0.25">
      <c r="A119" s="715">
        <v>41055000</v>
      </c>
      <c r="B119" s="716" t="s">
        <v>1385</v>
      </c>
      <c r="C119" s="712">
        <f>'d1'!C119-'d1-П'!C119</f>
        <v>0</v>
      </c>
      <c r="D119" s="712">
        <f>'d1'!D119-'d1-П'!D119</f>
        <v>0</v>
      </c>
      <c r="E119" s="712">
        <f>'d1'!E119-'d1-П'!E119</f>
        <v>0</v>
      </c>
      <c r="F119" s="712">
        <f>'d1'!F119-'d1-П'!F119</f>
        <v>0</v>
      </c>
      <c r="G119" s="15"/>
    </row>
    <row r="120" spans="1:7" ht="27" thickTop="1" thickBot="1" x14ac:dyDescent="0.25">
      <c r="A120" s="715">
        <v>41053600</v>
      </c>
      <c r="B120" s="716" t="s">
        <v>1203</v>
      </c>
      <c r="C120" s="712">
        <f>'d1'!C120-'d1-П'!C120</f>
        <v>0</v>
      </c>
      <c r="D120" s="712">
        <f>'d1'!D120-'d1-П'!D120</f>
        <v>0</v>
      </c>
      <c r="E120" s="712">
        <f>'d1'!E120-'d1-П'!E120</f>
        <v>0</v>
      </c>
      <c r="F120" s="712">
        <f>'d1'!F120-'d1-П'!F120</f>
        <v>0</v>
      </c>
      <c r="G120" s="15"/>
    </row>
    <row r="121" spans="1:7" ht="205.5" thickTop="1" thickBot="1" x14ac:dyDescent="0.25">
      <c r="A121" s="715">
        <v>41054200</v>
      </c>
      <c r="B121" s="716" t="s">
        <v>1386</v>
      </c>
      <c r="C121" s="712">
        <f>'d1'!C121-'d1-П'!C121</f>
        <v>0</v>
      </c>
      <c r="D121" s="712">
        <f>'d1'!D121-'d1-П'!D121</f>
        <v>0</v>
      </c>
      <c r="E121" s="712">
        <f>'d1'!E121-'d1-П'!E121</f>
        <v>0</v>
      </c>
      <c r="F121" s="712">
        <f>'d1'!F121-'d1-П'!F121</f>
        <v>0</v>
      </c>
      <c r="G121" s="15"/>
    </row>
    <row r="122" spans="1:7" ht="27" thickTop="1" thickBot="1" x14ac:dyDescent="0.25">
      <c r="A122" s="715">
        <v>41053900</v>
      </c>
      <c r="B122" s="716" t="s">
        <v>1089</v>
      </c>
      <c r="C122" s="712">
        <f>'d1'!C122-'d1-П'!C122</f>
        <v>0</v>
      </c>
      <c r="D122" s="712">
        <f>'d1'!D122-'d1-П'!D122</f>
        <v>0</v>
      </c>
      <c r="E122" s="712">
        <f>'d1'!E122-'d1-П'!E122</f>
        <v>0</v>
      </c>
      <c r="F122" s="712">
        <f>'d1'!F122-'d1-П'!F122</f>
        <v>0</v>
      </c>
      <c r="G122" s="15"/>
    </row>
    <row r="123" spans="1:7" ht="15.75" thickTop="1" thickBot="1" x14ac:dyDescent="0.25">
      <c r="A123" s="715"/>
      <c r="B123" s="735" t="s">
        <v>1204</v>
      </c>
      <c r="C123" s="712">
        <f>'d1'!C123-'d1-П'!C123</f>
        <v>0</v>
      </c>
      <c r="D123" s="712">
        <f>'d1'!D123-'d1-П'!D123</f>
        <v>0</v>
      </c>
      <c r="E123" s="712">
        <f>'d1'!E123-'d1-П'!E123</f>
        <v>0</v>
      </c>
      <c r="F123" s="712">
        <f>'d1'!F123-'d1-П'!F123</f>
        <v>0</v>
      </c>
      <c r="G123" s="15"/>
    </row>
    <row r="124" spans="1:7" ht="39.75" thickTop="1" thickBot="1" x14ac:dyDescent="0.25">
      <c r="A124" s="715"/>
      <c r="B124" s="735" t="s">
        <v>1090</v>
      </c>
      <c r="C124" s="712">
        <f>'d1'!C124-'d1-П'!C124</f>
        <v>0</v>
      </c>
      <c r="D124" s="712">
        <f>'d1'!D124-'d1-П'!D124</f>
        <v>0</v>
      </c>
      <c r="E124" s="712">
        <f>'d1'!E124-'d1-П'!E124</f>
        <v>0</v>
      </c>
      <c r="F124" s="712">
        <f>'d1'!F124-'d1-П'!F124</f>
        <v>0</v>
      </c>
      <c r="G124" s="15"/>
    </row>
    <row r="125" spans="1:7" ht="52.5" thickTop="1" thickBot="1" x14ac:dyDescent="0.25">
      <c r="A125" s="715"/>
      <c r="B125" s="735" t="s">
        <v>1091</v>
      </c>
      <c r="C125" s="712">
        <f>'d1'!C125-'d1-П'!C125</f>
        <v>0</v>
      </c>
      <c r="D125" s="712">
        <f>'d1'!D125-'d1-П'!D125</f>
        <v>0</v>
      </c>
      <c r="E125" s="712">
        <f>'d1'!E125-'d1-П'!E125</f>
        <v>0</v>
      </c>
      <c r="F125" s="712">
        <f>'d1'!F125-'d1-П'!F125</f>
        <v>0</v>
      </c>
      <c r="G125" s="15"/>
    </row>
    <row r="126" spans="1:7" ht="27" thickTop="1" thickBot="1" x14ac:dyDescent="0.25">
      <c r="A126" s="715"/>
      <c r="B126" s="735" t="s">
        <v>1092</v>
      </c>
      <c r="C126" s="712">
        <f>'d1'!C126-'d1-П'!C126</f>
        <v>0</v>
      </c>
      <c r="D126" s="712">
        <f>'d1'!D126-'d1-П'!D126</f>
        <v>0</v>
      </c>
      <c r="E126" s="712">
        <f>'d1'!E126-'d1-П'!E126</f>
        <v>0</v>
      </c>
      <c r="F126" s="712">
        <f>'d1'!F126-'d1-П'!F126</f>
        <v>0</v>
      </c>
      <c r="G126" s="15"/>
    </row>
    <row r="127" spans="1:7" ht="39.75" thickTop="1" thickBot="1" x14ac:dyDescent="0.25">
      <c r="A127" s="715"/>
      <c r="B127" s="735" t="s">
        <v>1443</v>
      </c>
      <c r="C127" s="712">
        <f>'d1'!C127-'d1-П'!C127</f>
        <v>0</v>
      </c>
      <c r="D127" s="712">
        <f>'d1'!D127-'d1-П'!D127</f>
        <v>0</v>
      </c>
      <c r="E127" s="712">
        <f>'d1'!E127-'d1-П'!E127</f>
        <v>0</v>
      </c>
      <c r="F127" s="712">
        <f>'d1'!F127-'d1-П'!F127</f>
        <v>0</v>
      </c>
      <c r="G127" s="15"/>
    </row>
    <row r="128" spans="1:7" ht="27" thickTop="1" thickBot="1" x14ac:dyDescent="0.25">
      <c r="A128" s="715"/>
      <c r="B128" s="735" t="s">
        <v>1444</v>
      </c>
      <c r="C128" s="712">
        <f>'d1'!C128-'d1-П'!C128</f>
        <v>0</v>
      </c>
      <c r="D128" s="712">
        <f>'d1'!D128-'d1-П'!D128</f>
        <v>0</v>
      </c>
      <c r="E128" s="712">
        <f>'d1'!E128-'d1-П'!E128</f>
        <v>0</v>
      </c>
      <c r="F128" s="712">
        <f>'d1'!F128-'d1-П'!F128</f>
        <v>0</v>
      </c>
      <c r="G128" s="15"/>
    </row>
    <row r="129" spans="1:10" ht="41.25" customHeight="1" thickTop="1" thickBot="1" x14ac:dyDescent="0.3">
      <c r="A129" s="739"/>
      <c r="B129" s="742" t="s">
        <v>1373</v>
      </c>
      <c r="C129" s="740">
        <f>SUM(D129,E129)</f>
        <v>69218353</v>
      </c>
      <c r="D129" s="741">
        <f>SUM(D96,D97)</f>
        <v>69218353</v>
      </c>
      <c r="E129" s="741">
        <f>SUM(E96,E100)</f>
        <v>0</v>
      </c>
      <c r="F129" s="741">
        <f>SUM(F96,F100)</f>
        <v>0</v>
      </c>
      <c r="G129" s="707" t="b">
        <f>C129=C126+C125+C124+C123+C120+C119+C117+C116+C115+C110+C108+C107+C106+C104+C102+C99+C95+C93+C92+C89+C88+C84+C83+C82+C81+C78+C77+C76+C75+C73+C72+C70+C68+C67+C66+C63+C62+C61+C59+C58+C54+C53+C52+C49+C48+C47+C45+C44+C42+C41+C40+C39+C38+C37+C36+C35+C34+C33+C30+C29+C26+C24+C22+C19+C17+C16+C15+C14+C121+C113+C114+C112+C111+C105+C103+C127+C128</f>
        <v>1</v>
      </c>
      <c r="H129" s="707" t="b">
        <f>D129=D126+D125+D124+D123+D120+D119+D117+D116+D115+D110+D108+D107+D106+D104+D102+D99+D95+D93+D92+D89+D88+D84+D83+D82+D81+D78+D77+D76+D75+D73+D72+D70+D68+D67+D66+D63+D62+D61+D59+D58+D54+D53+D52+D49+D48+D47+D45+D44+D42+D41+D40+D39+D38+D37+D36+D35+D34+D33+D30+D29+D26+D24+D22+D19+D17+D16+D15+D14+D121+D113+D114+D112+D111+D105+D103+D127+D128</f>
        <v>1</v>
      </c>
      <c r="I129" s="707" t="b">
        <f>E129=E126+E125+E124+E123+E120+E119+E117+E116+E115+E110+E108+E107+E106+E104+E102+E99+E95+E93+E92+E89+E88+E84+E83+E82+E81+E78+E77+E76+E75+E73+E72+E70+E68+E67+E66+E63+E62+E61+E59+E58+E54+E53+E52+E49+E48+E47+E45+E44+E42+E41+E40+E39+E38+E37+E36+E35+E34+E33+E30+E29+E26+E24+E22+E19+E17+E16+E15+E14+E121+E113+E114+E112+E111+E105+E103+E127+E128</f>
        <v>1</v>
      </c>
      <c r="J129" s="707" t="b">
        <f>F129=F126+F125+F124+F123+F120+F119+F117+F116+F115+F110+F108+F107+F106+F104+F102+F99+F95+F93+F92+F89+F88+F84+F83+F82+F81+F78+F77+F76+F75+F73+F72+F70+F68+F67+F66+F63+F62+F61+F59+F58+F54+F53+F52+F49+F48+F47+F45+F44+F42+F41+F40+F39+F38+F37+F36+F35+F34+F33+F30+F29+F26+F24+F22+F19+F17+F16+F15+F14+F121+F113+F114+F112+F111+F105+F103+F127+F128</f>
        <v>1</v>
      </c>
    </row>
    <row r="130" spans="1:10" ht="13.5" thickTop="1" x14ac:dyDescent="0.2">
      <c r="B130" s="726"/>
      <c r="G130" s="706"/>
    </row>
    <row r="131" spans="1:10" ht="15.75" x14ac:dyDescent="0.25">
      <c r="B131" s="66"/>
      <c r="E131" s="66"/>
      <c r="G131" s="706"/>
    </row>
    <row r="132" spans="1:10" ht="15.75" x14ac:dyDescent="0.2">
      <c r="B132" s="860"/>
      <c r="C132" s="857"/>
      <c r="D132" s="857"/>
      <c r="E132" s="597"/>
      <c r="F132" s="860"/>
    </row>
    <row r="133" spans="1:10" ht="15.75" x14ac:dyDescent="0.25">
      <c r="B133" s="66"/>
      <c r="E133" s="66"/>
    </row>
    <row r="134" spans="1:10" ht="15.75" x14ac:dyDescent="0.25">
      <c r="A134" s="18"/>
      <c r="B134" s="66"/>
      <c r="C134" s="66"/>
      <c r="D134" s="66"/>
      <c r="E134" s="66"/>
      <c r="F134" s="18"/>
    </row>
    <row r="137" spans="1:10" x14ac:dyDescent="0.2">
      <c r="C137" s="706"/>
      <c r="D137" s="706"/>
      <c r="E137" s="706"/>
      <c r="F137" s="706"/>
    </row>
  </sheetData>
  <mergeCells count="10">
    <mergeCell ref="A8:A9"/>
    <mergeCell ref="B8:B9"/>
    <mergeCell ref="C8:C9"/>
    <mergeCell ref="D8:D9"/>
    <mergeCell ref="E8:F8"/>
    <mergeCell ref="D1:G1"/>
    <mergeCell ref="D2:G2"/>
    <mergeCell ref="D3:G3"/>
    <mergeCell ref="A4:E4"/>
    <mergeCell ref="A5:F5"/>
  </mergeCells>
  <hyperlinks>
    <hyperlink ref="B86" location="_ftn1" display="_ftn1" xr:uid="{00000000-0004-0000-0C00-000000000000}"/>
    <hyperlink ref="B85" location="_ftn1" display="_ftn1" xr:uid="{00000000-0004-0000-0C00-000001000000}"/>
    <hyperlink ref="B73" location="_ftn1" display="_ftn1" xr:uid="{00000000-0004-0000-0C00-000002000000}"/>
    <hyperlink ref="B16" location="_ftn1" display="_ftn1" xr:uid="{00000000-0004-0000-0C00-000003000000}"/>
    <hyperlink ref="B15" location="_ftn1" display="_ftn1" xr:uid="{00000000-0004-0000-0C00-000004000000}"/>
    <hyperlink ref="B53" location="_ftn1" display="_ftn1" xr:uid="{00000000-0004-0000-0C00-000005000000}"/>
    <hyperlink ref="B90" location="_ftn1" display="_ftn1" xr:uid="{00000000-0004-0000-0C00-000006000000}"/>
    <hyperlink ref="B91" location="_ftn1" display="_ftn1" xr:uid="{00000000-0004-0000-0C00-000007000000}"/>
    <hyperlink ref="B61" location="_ftn1" display="_ftn1" xr:uid="{00000000-0004-0000-0C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5" max="5" man="1"/>
    <brk id="8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38" zoomScaleSheetLayoutView="100" workbookViewId="0">
      <selection activeCell="F55" sqref="F55"/>
    </sheetView>
  </sheetViews>
  <sheetFormatPr defaultColWidth="9.140625" defaultRowHeight="12.75" x14ac:dyDescent="0.2"/>
  <cols>
    <col min="1" max="1" width="9.7109375" style="69" customWidth="1"/>
    <col min="2" max="3" width="22.140625" style="69" customWidth="1"/>
    <col min="4" max="4" width="14.140625" style="69" customWidth="1"/>
    <col min="5" max="5" width="14" style="69" customWidth="1"/>
    <col min="6" max="6" width="15.42578125" style="69" customWidth="1"/>
    <col min="7" max="7" width="15.140625" style="69" customWidth="1"/>
    <col min="8" max="8" width="16.42578125" style="69" customWidth="1"/>
    <col min="9" max="9" width="8.28515625" style="69" customWidth="1"/>
    <col min="10" max="10" width="9.140625" style="69"/>
    <col min="11" max="11" width="9.7109375" style="69" customWidth="1"/>
    <col min="12" max="12" width="9.140625" style="69"/>
    <col min="13" max="13" width="8.140625" style="69" customWidth="1"/>
    <col min="14" max="16384" width="9.140625" style="69"/>
  </cols>
  <sheetData>
    <row r="1" spans="1:17" x14ac:dyDescent="0.2">
      <c r="F1" s="19" t="s">
        <v>126</v>
      </c>
    </row>
    <row r="2" spans="1:17" x14ac:dyDescent="0.2">
      <c r="F2" s="19" t="s">
        <v>1237</v>
      </c>
    </row>
    <row r="3" spans="1:17" x14ac:dyDescent="0.2">
      <c r="F3" s="19" t="s">
        <v>1238</v>
      </c>
    </row>
    <row r="5" spans="1:17" ht="18.75" x14ac:dyDescent="0.2">
      <c r="A5" s="957" t="s">
        <v>688</v>
      </c>
      <c r="B5" s="957"/>
      <c r="C5" s="957"/>
      <c r="D5" s="957"/>
      <c r="E5" s="957"/>
      <c r="F5" s="957"/>
    </row>
    <row r="6" spans="1:17" ht="18.75" x14ac:dyDescent="0.2">
      <c r="A6" s="957" t="s">
        <v>689</v>
      </c>
      <c r="B6" s="957"/>
      <c r="C6" s="957"/>
      <c r="D6" s="957"/>
      <c r="E6" s="957"/>
      <c r="F6" s="957"/>
    </row>
    <row r="7" spans="1:17" ht="18.75" x14ac:dyDescent="0.2">
      <c r="A7" s="291"/>
      <c r="B7" s="291"/>
      <c r="C7" s="291"/>
      <c r="D7" s="291"/>
      <c r="E7" s="291"/>
      <c r="F7" s="291"/>
    </row>
    <row r="8" spans="1:17" x14ac:dyDescent="0.2">
      <c r="A8" s="958">
        <v>22564000000</v>
      </c>
      <c r="B8" s="959"/>
      <c r="C8" s="953"/>
      <c r="D8" s="953"/>
      <c r="E8" s="953"/>
      <c r="F8" s="953"/>
    </row>
    <row r="9" spans="1:17" ht="15" customHeight="1" x14ac:dyDescent="0.2">
      <c r="A9" s="960" t="s">
        <v>535</v>
      </c>
      <c r="B9" s="961"/>
      <c r="C9" s="953"/>
      <c r="D9" s="953"/>
      <c r="E9" s="953"/>
      <c r="F9" s="953"/>
    </row>
    <row r="10" spans="1:17" ht="13.5" thickBot="1" x14ac:dyDescent="0.25">
      <c r="A10" s="88"/>
      <c r="B10" s="88"/>
      <c r="F10" s="67" t="s">
        <v>431</v>
      </c>
    </row>
    <row r="11" spans="1:17" ht="14.25" thickTop="1" thickBot="1" x14ac:dyDescent="0.25">
      <c r="A11" s="962" t="s">
        <v>64</v>
      </c>
      <c r="B11" s="962" t="s">
        <v>405</v>
      </c>
      <c r="C11" s="962" t="s">
        <v>410</v>
      </c>
      <c r="D11" s="962" t="s">
        <v>12</v>
      </c>
      <c r="E11" s="962" t="s">
        <v>57</v>
      </c>
      <c r="F11" s="962"/>
    </row>
    <row r="12" spans="1:17" ht="35.450000000000003" customHeight="1" thickTop="1" thickBot="1" x14ac:dyDescent="0.25">
      <c r="A12" s="962"/>
      <c r="B12" s="962"/>
      <c r="C12" s="962"/>
      <c r="D12" s="963"/>
      <c r="E12" s="587" t="s">
        <v>411</v>
      </c>
      <c r="F12" s="587" t="s">
        <v>412</v>
      </c>
    </row>
    <row r="13" spans="1:17" ht="14.25" thickTop="1" thickBot="1" x14ac:dyDescent="0.25">
      <c r="A13" s="588">
        <v>1</v>
      </c>
      <c r="B13" s="588">
        <v>2</v>
      </c>
      <c r="C13" s="588">
        <v>3</v>
      </c>
      <c r="D13" s="588">
        <v>4</v>
      </c>
      <c r="E13" s="588">
        <v>5</v>
      </c>
      <c r="F13" s="588">
        <v>6</v>
      </c>
    </row>
    <row r="14" spans="1:17" ht="23.25" customHeight="1" thickTop="1" thickBot="1" x14ac:dyDescent="0.25">
      <c r="A14" s="964" t="s">
        <v>406</v>
      </c>
      <c r="B14" s="964"/>
      <c r="C14" s="965"/>
      <c r="D14" s="965"/>
      <c r="E14" s="965"/>
      <c r="F14" s="965"/>
    </row>
    <row r="15" spans="1:17" ht="14.25" thickTop="1" thickBot="1" x14ac:dyDescent="0.25">
      <c r="A15" s="589" t="s">
        <v>127</v>
      </c>
      <c r="B15" s="633" t="s">
        <v>128</v>
      </c>
      <c r="C15" s="621">
        <f>C16+C20</f>
        <v>142526641.19</v>
      </c>
      <c r="D15" s="621">
        <f>D16+D20</f>
        <v>-435555290.31000042</v>
      </c>
      <c r="E15" s="621">
        <f>E16+E20</f>
        <v>578081931.50000048</v>
      </c>
      <c r="F15" s="621">
        <f>F16+F20</f>
        <v>575820968.7300005</v>
      </c>
      <c r="G15" s="70">
        <f>E15-F15</f>
        <v>2260962.7699999809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17" ht="42" thickTop="1" thickBot="1" x14ac:dyDescent="0.25">
      <c r="A16" s="623">
        <v>202000</v>
      </c>
      <c r="B16" s="626" t="s">
        <v>1261</v>
      </c>
      <c r="C16" s="624">
        <f t="shared" ref="C16:C17" si="0">SUM(D16,E16)</f>
        <v>53888889</v>
      </c>
      <c r="D16" s="624">
        <f t="shared" ref="D16" si="1">D17</f>
        <v>0</v>
      </c>
      <c r="E16" s="624">
        <f>E17</f>
        <v>53888889</v>
      </c>
      <c r="F16" s="624">
        <f t="shared" ref="F16" si="2">F17</f>
        <v>53888889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</row>
    <row r="17" spans="1:17" ht="27" thickTop="1" thickBot="1" x14ac:dyDescent="0.25">
      <c r="A17" s="592">
        <v>202200</v>
      </c>
      <c r="B17" s="619" t="s">
        <v>1263</v>
      </c>
      <c r="C17" s="621">
        <f t="shared" si="0"/>
        <v>53888889</v>
      </c>
      <c r="D17" s="621">
        <f>SUM(D18:D19)</f>
        <v>0</v>
      </c>
      <c r="E17" s="621">
        <f>SUM(E18:E19)</f>
        <v>53888889</v>
      </c>
      <c r="F17" s="621">
        <f>SUM(F18:F19)</f>
        <v>53888889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</row>
    <row r="18" spans="1:17" ht="14.25" thickTop="1" thickBot="1" x14ac:dyDescent="0.25">
      <c r="A18" s="590">
        <v>202210</v>
      </c>
      <c r="B18" s="591" t="s">
        <v>1262</v>
      </c>
      <c r="C18" s="620">
        <f>SUM(D18,E18)</f>
        <v>60000000</v>
      </c>
      <c r="D18" s="621"/>
      <c r="E18" s="620">
        <v>60000000</v>
      </c>
      <c r="F18" s="620">
        <v>60000000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 ht="14.25" thickTop="1" thickBot="1" x14ac:dyDescent="0.25">
      <c r="A19" s="590">
        <v>202220</v>
      </c>
      <c r="B19" s="591" t="s">
        <v>385</v>
      </c>
      <c r="C19" s="620">
        <f>SUM(D19,E19)</f>
        <v>-6111111</v>
      </c>
      <c r="D19" s="621"/>
      <c r="E19" s="620">
        <f>(-1111111)-5000000</f>
        <v>-6111111</v>
      </c>
      <c r="F19" s="620">
        <f>(-1111111)-5000000</f>
        <v>-6111111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ht="42" thickTop="1" thickBot="1" x14ac:dyDescent="0.25">
      <c r="A20" s="623">
        <v>208000</v>
      </c>
      <c r="B20" s="634" t="s">
        <v>1265</v>
      </c>
      <c r="C20" s="624">
        <f>C21+C24+C22</f>
        <v>88637752.189999998</v>
      </c>
      <c r="D20" s="624">
        <f>D21+D24+D22</f>
        <v>-435555290.31000042</v>
      </c>
      <c r="E20" s="624">
        <f>E21+E24+E22</f>
        <v>524193042.50000042</v>
      </c>
      <c r="F20" s="624">
        <f>F21+F24+F22</f>
        <v>521932079.73000044</v>
      </c>
      <c r="G20" s="625">
        <f>E20-F20</f>
        <v>2260962.7699999809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ht="15.75" customHeight="1" thickTop="1" thickBot="1" x14ac:dyDescent="0.25">
      <c r="A21" s="623" t="s">
        <v>129</v>
      </c>
      <c r="B21" s="626" t="s">
        <v>130</v>
      </c>
      <c r="C21" s="624">
        <f>SUM(D21,E21)</f>
        <v>88637752.189999998</v>
      </c>
      <c r="D21" s="624">
        <v>82427581.670000002</v>
      </c>
      <c r="E21" s="624">
        <v>6210170.5199999996</v>
      </c>
      <c r="F21" s="624">
        <f>2956716.87+992490.88</f>
        <v>3949207.75</v>
      </c>
      <c r="G21" s="625"/>
      <c r="H21" s="70"/>
      <c r="I21" s="70"/>
      <c r="J21" s="70"/>
      <c r="K21" s="70"/>
      <c r="L21" s="70"/>
      <c r="M21" s="70"/>
      <c r="N21" s="70"/>
      <c r="O21" s="70"/>
      <c r="P21" s="70"/>
      <c r="Q21" s="70"/>
    </row>
    <row r="22" spans="1:17" ht="15" hidden="1" thickTop="1" thickBot="1" x14ac:dyDescent="0.25">
      <c r="A22" s="630">
        <v>208300</v>
      </c>
      <c r="B22" s="635" t="s">
        <v>1268</v>
      </c>
      <c r="C22" s="624">
        <f>SUM(D22,E22)</f>
        <v>0</v>
      </c>
      <c r="D22" s="624">
        <f>D23</f>
        <v>0</v>
      </c>
      <c r="E22" s="624">
        <f>E23</f>
        <v>0</v>
      </c>
      <c r="F22" s="624">
        <f>F23</f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17" ht="52.5" hidden="1" thickTop="1" thickBot="1" x14ac:dyDescent="0.25">
      <c r="A23" s="632">
        <v>208330</v>
      </c>
      <c r="B23" s="636" t="s">
        <v>1269</v>
      </c>
      <c r="C23" s="624">
        <f>SUM(D23,E23)</f>
        <v>0</v>
      </c>
      <c r="D23" s="620"/>
      <c r="E23" s="620">
        <f>-D23</f>
        <v>0</v>
      </c>
      <c r="F23" s="620">
        <f>E23</f>
        <v>0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7" ht="55.5" thickTop="1" thickBot="1" x14ac:dyDescent="0.25">
      <c r="A24" s="623">
        <v>208400</v>
      </c>
      <c r="B24" s="626" t="s">
        <v>131</v>
      </c>
      <c r="C24" s="624">
        <f>SUM(D24,E24)</f>
        <v>0</v>
      </c>
      <c r="D24" s="624">
        <f>'d3'!E359-'d1'!D129+'d4'!N17-D21</f>
        <v>-517982871.98000044</v>
      </c>
      <c r="E24" s="624">
        <f>-D24</f>
        <v>517982871.98000044</v>
      </c>
      <c r="F24" s="624">
        <f>E24</f>
        <v>517982871.98000044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spans="1:17" ht="14.25" thickTop="1" thickBot="1" x14ac:dyDescent="0.25">
      <c r="A25" s="592">
        <v>300000</v>
      </c>
      <c r="B25" s="619" t="s">
        <v>382</v>
      </c>
      <c r="C25" s="621">
        <f>C26</f>
        <v>13786494.58</v>
      </c>
      <c r="D25" s="621">
        <f>D26</f>
        <v>0</v>
      </c>
      <c r="E25" s="621">
        <f>E26</f>
        <v>13786494.58</v>
      </c>
      <c r="F25" s="621">
        <f>F26</f>
        <v>13786494.58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  <row r="26" spans="1:17" ht="42" thickTop="1" thickBot="1" x14ac:dyDescent="0.25">
      <c r="A26" s="623">
        <v>301000</v>
      </c>
      <c r="B26" s="626" t="s">
        <v>383</v>
      </c>
      <c r="C26" s="624">
        <f>C27+C28</f>
        <v>13786494.58</v>
      </c>
      <c r="D26" s="624">
        <f>D27+D28</f>
        <v>0</v>
      </c>
      <c r="E26" s="624">
        <f>E27+E28</f>
        <v>13786494.58</v>
      </c>
      <c r="F26" s="624">
        <f>F27+F28</f>
        <v>13786494.58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</row>
    <row r="27" spans="1:17" ht="14.25" thickTop="1" thickBot="1" x14ac:dyDescent="0.25">
      <c r="A27" s="590">
        <v>301100</v>
      </c>
      <c r="B27" s="591" t="s">
        <v>384</v>
      </c>
      <c r="C27" s="620">
        <f>SUM(D27,E27)</f>
        <v>16535522.58</v>
      </c>
      <c r="D27" s="620"/>
      <c r="E27" s="620">
        <f>(16535522.58)</f>
        <v>16535522.58</v>
      </c>
      <c r="F27" s="620">
        <f>(16535522.58)</f>
        <v>16535522.58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17" ht="14.25" thickTop="1" thickBot="1" x14ac:dyDescent="0.25">
      <c r="A28" s="590">
        <v>301200</v>
      </c>
      <c r="B28" s="591" t="s">
        <v>385</v>
      </c>
      <c r="C28" s="620">
        <f>SUM(D28,E28)</f>
        <v>-2749028</v>
      </c>
      <c r="D28" s="620"/>
      <c r="E28" s="620">
        <v>-2749028</v>
      </c>
      <c r="F28" s="620">
        <v>-2749028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7" ht="31.5" customHeight="1" thickTop="1" thickBot="1" x14ac:dyDescent="0.25">
      <c r="A29" s="627" t="s">
        <v>408</v>
      </c>
      <c r="B29" s="637" t="s">
        <v>407</v>
      </c>
      <c r="C29" s="628">
        <f>C15+C25</f>
        <v>156313135.77000001</v>
      </c>
      <c r="D29" s="628">
        <f>D15+D25</f>
        <v>-435555290.31000042</v>
      </c>
      <c r="E29" s="628">
        <f>E15+E25</f>
        <v>591868426.08000052</v>
      </c>
      <c r="F29" s="628">
        <f>F15+F25</f>
        <v>589607463.31000054</v>
      </c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7" ht="35.450000000000003" customHeight="1" thickTop="1" thickBot="1" x14ac:dyDescent="0.25">
      <c r="A30" s="964" t="s">
        <v>409</v>
      </c>
      <c r="B30" s="964"/>
      <c r="C30" s="965"/>
      <c r="D30" s="965"/>
      <c r="E30" s="965"/>
      <c r="F30" s="965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17" ht="27" thickTop="1" thickBot="1" x14ac:dyDescent="0.25">
      <c r="A31" s="592">
        <v>400000</v>
      </c>
      <c r="B31" s="619" t="s">
        <v>132</v>
      </c>
      <c r="C31" s="621">
        <f>C32+C37</f>
        <v>67675383.579999998</v>
      </c>
      <c r="D31" s="621">
        <f>D32+D37</f>
        <v>0</v>
      </c>
      <c r="E31" s="621">
        <f>E32+E37</f>
        <v>67675383.579999998</v>
      </c>
      <c r="F31" s="621">
        <f>F32+F37</f>
        <v>67675383.579999998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</row>
    <row r="32" spans="1:17" ht="15" thickTop="1" thickBot="1" x14ac:dyDescent="0.25">
      <c r="A32" s="623">
        <v>401000</v>
      </c>
      <c r="B32" s="626" t="s">
        <v>133</v>
      </c>
      <c r="C32" s="624">
        <f>C33+C35</f>
        <v>76535522.579999998</v>
      </c>
      <c r="D32" s="624">
        <f>D33+D35</f>
        <v>0</v>
      </c>
      <c r="E32" s="624">
        <f>E33+E35</f>
        <v>76535522.579999998</v>
      </c>
      <c r="F32" s="624">
        <f>F33+F35</f>
        <v>76535522.579999998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</row>
    <row r="33" spans="1:17" ht="14.25" thickTop="1" thickBot="1" x14ac:dyDescent="0.25">
      <c r="A33" s="622">
        <v>401100</v>
      </c>
      <c r="B33" s="638" t="s">
        <v>1264</v>
      </c>
      <c r="C33" s="629">
        <f>C34</f>
        <v>60000000</v>
      </c>
      <c r="D33" s="629">
        <f>D34</f>
        <v>0</v>
      </c>
      <c r="E33" s="629">
        <f>E34</f>
        <v>60000000</v>
      </c>
      <c r="F33" s="629">
        <f>F34</f>
        <v>60000000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</row>
    <row r="34" spans="1:17" ht="27" thickTop="1" thickBot="1" x14ac:dyDescent="0.25">
      <c r="A34" s="590">
        <v>401101</v>
      </c>
      <c r="B34" s="591" t="s">
        <v>1249</v>
      </c>
      <c r="C34" s="620">
        <f>SUM(D34,E34)</f>
        <v>60000000</v>
      </c>
      <c r="D34" s="621"/>
      <c r="E34" s="620">
        <v>60000000</v>
      </c>
      <c r="F34" s="620">
        <v>60000000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</row>
    <row r="35" spans="1:17" s="2" customFormat="1" ht="14.25" thickTop="1" thickBot="1" x14ac:dyDescent="0.25">
      <c r="A35" s="622">
        <v>401200</v>
      </c>
      <c r="B35" s="638" t="s">
        <v>386</v>
      </c>
      <c r="C35" s="629">
        <f>SUM(D35,E35)</f>
        <v>16535522.58</v>
      </c>
      <c r="D35" s="629"/>
      <c r="E35" s="629">
        <f>E36</f>
        <v>16535522.58</v>
      </c>
      <c r="F35" s="629">
        <f>F36</f>
        <v>16535522.58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7" ht="27" thickTop="1" thickBot="1" x14ac:dyDescent="0.25">
      <c r="A36" s="590">
        <v>401201</v>
      </c>
      <c r="B36" s="591" t="s">
        <v>1249</v>
      </c>
      <c r="C36" s="620">
        <f>SUM(D36,E36)</f>
        <v>16535522.58</v>
      </c>
      <c r="D36" s="621"/>
      <c r="E36" s="620">
        <f>(16535522.58)</f>
        <v>16535522.58</v>
      </c>
      <c r="F36" s="620">
        <f>(16535522.58)</f>
        <v>16535522.58</v>
      </c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</row>
    <row r="37" spans="1:17" s="2" customFormat="1" ht="15" thickTop="1" thickBot="1" x14ac:dyDescent="0.25">
      <c r="A37" s="630">
        <v>402000</v>
      </c>
      <c r="B37" s="635" t="s">
        <v>387</v>
      </c>
      <c r="C37" s="624">
        <f>C40+C38</f>
        <v>-8860139</v>
      </c>
      <c r="D37" s="624">
        <f>D40+D38</f>
        <v>0</v>
      </c>
      <c r="E37" s="624">
        <f>E40+E38</f>
        <v>-8860139</v>
      </c>
      <c r="F37" s="624">
        <f>F40+F38</f>
        <v>-8860139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7" s="2" customFormat="1" ht="14.25" thickTop="1" thickBot="1" x14ac:dyDescent="0.25">
      <c r="A38" s="631">
        <v>402100</v>
      </c>
      <c r="B38" s="639" t="s">
        <v>1345</v>
      </c>
      <c r="C38" s="629">
        <f>C39</f>
        <v>-6111111</v>
      </c>
      <c r="D38" s="629">
        <f>D39</f>
        <v>0</v>
      </c>
      <c r="E38" s="629">
        <f>E39</f>
        <v>-6111111</v>
      </c>
      <c r="F38" s="629">
        <f>F39</f>
        <v>-6111111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 s="2" customFormat="1" ht="27" thickTop="1" thickBot="1" x14ac:dyDescent="0.25">
      <c r="A39" s="632">
        <v>402101</v>
      </c>
      <c r="B39" s="636" t="s">
        <v>1249</v>
      </c>
      <c r="C39" s="620">
        <f>SUM(D39,E39)</f>
        <v>-6111111</v>
      </c>
      <c r="D39" s="621"/>
      <c r="E39" s="620">
        <f>(-1111111)-5000000</f>
        <v>-6111111</v>
      </c>
      <c r="F39" s="620">
        <f>(-1111111)-5000000</f>
        <v>-6111111</v>
      </c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spans="1:17" s="2" customFormat="1" ht="14.25" thickTop="1" thickBot="1" x14ac:dyDescent="0.25">
      <c r="A40" s="631">
        <v>402200</v>
      </c>
      <c r="B40" s="639" t="s">
        <v>1248</v>
      </c>
      <c r="C40" s="629">
        <f>SUM(C41,C42)</f>
        <v>-2749028</v>
      </c>
      <c r="D40" s="629"/>
      <c r="E40" s="629">
        <f>SUM(E41,E42)</f>
        <v>-2749028</v>
      </c>
      <c r="F40" s="629">
        <f>SUM(F41,F42)</f>
        <v>-2749028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17" s="2" customFormat="1" ht="27" hidden="1" thickTop="1" thickBot="1" x14ac:dyDescent="0.25">
      <c r="A41" s="632">
        <v>402201</v>
      </c>
      <c r="B41" s="636" t="s">
        <v>1249</v>
      </c>
      <c r="C41" s="621"/>
      <c r="D41" s="621"/>
      <c r="E41" s="620"/>
      <c r="F41" s="620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17" ht="25.5" customHeight="1" thickTop="1" thickBot="1" x14ac:dyDescent="0.25">
      <c r="A42" s="632">
        <v>402202</v>
      </c>
      <c r="B42" s="636" t="s">
        <v>1250</v>
      </c>
      <c r="C42" s="620">
        <f>SUM(D42,E42)</f>
        <v>-2749028</v>
      </c>
      <c r="D42" s="621"/>
      <c r="E42" s="620">
        <v>-2749028</v>
      </c>
      <c r="F42" s="620">
        <v>-2749028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1:17" ht="27" thickTop="1" thickBot="1" x14ac:dyDescent="0.25">
      <c r="A43" s="592" t="s">
        <v>134</v>
      </c>
      <c r="B43" s="619" t="s">
        <v>135</v>
      </c>
      <c r="C43" s="621">
        <f>C44</f>
        <v>88637752.189999998</v>
      </c>
      <c r="D43" s="621">
        <f>D44</f>
        <v>-435555290.31000042</v>
      </c>
      <c r="E43" s="621">
        <f t="shared" ref="E43:F43" si="3">E44</f>
        <v>524193042.50000042</v>
      </c>
      <c r="F43" s="621">
        <f t="shared" si="3"/>
        <v>521932079.73000044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</row>
    <row r="44" spans="1:17" ht="36" customHeight="1" thickTop="1" thickBot="1" x14ac:dyDescent="0.25">
      <c r="A44" s="623">
        <v>602000</v>
      </c>
      <c r="B44" s="626" t="s">
        <v>1266</v>
      </c>
      <c r="C44" s="624">
        <f>C45+C48+C46</f>
        <v>88637752.189999998</v>
      </c>
      <c r="D44" s="624">
        <f>D45+D48+D46</f>
        <v>-435555290.31000042</v>
      </c>
      <c r="E44" s="624">
        <f>E45+E48+E46</f>
        <v>524193042.50000042</v>
      </c>
      <c r="F44" s="624">
        <f>F45+F48+F46</f>
        <v>521932079.73000044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</row>
    <row r="45" spans="1:17" ht="27" customHeight="1" thickTop="1" thickBot="1" x14ac:dyDescent="0.25">
      <c r="A45" s="622">
        <v>602100</v>
      </c>
      <c r="B45" s="638" t="s">
        <v>1267</v>
      </c>
      <c r="C45" s="629">
        <f>SUM(D45,E45)</f>
        <v>88637752.189999998</v>
      </c>
      <c r="D45" s="629">
        <v>82427581.670000002</v>
      </c>
      <c r="E45" s="629">
        <v>6210170.5199999996</v>
      </c>
      <c r="F45" s="629">
        <f>2956716.87+992490.88</f>
        <v>3949207.75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1:17" ht="27" hidden="1" customHeight="1" thickTop="1" thickBot="1" x14ac:dyDescent="0.25">
      <c r="A46" s="622">
        <v>602300</v>
      </c>
      <c r="B46" s="638" t="s">
        <v>1268</v>
      </c>
      <c r="C46" s="629">
        <f>SUM(D46,E46)</f>
        <v>0</v>
      </c>
      <c r="D46" s="629">
        <f>D47</f>
        <v>0</v>
      </c>
      <c r="E46" s="629">
        <f>E47</f>
        <v>0</v>
      </c>
      <c r="F46" s="629">
        <f>E46</f>
        <v>0</v>
      </c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</row>
    <row r="47" spans="1:17" ht="63.75" hidden="1" customHeight="1" thickTop="1" thickBot="1" x14ac:dyDescent="0.25">
      <c r="A47" s="590">
        <v>602303</v>
      </c>
      <c r="B47" s="591" t="s">
        <v>1269</v>
      </c>
      <c r="C47" s="620">
        <f>SUM(D47,E47)</f>
        <v>0</v>
      </c>
      <c r="D47" s="620"/>
      <c r="E47" s="620">
        <f>-D47</f>
        <v>0</v>
      </c>
      <c r="F47" s="620">
        <f>E47</f>
        <v>0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</row>
    <row r="48" spans="1:17" ht="52.5" customHeight="1" thickTop="1" thickBot="1" x14ac:dyDescent="0.25">
      <c r="A48" s="622">
        <v>602400</v>
      </c>
      <c r="B48" s="638" t="s">
        <v>131</v>
      </c>
      <c r="C48" s="629">
        <f>SUM(D48,E48)</f>
        <v>0</v>
      </c>
      <c r="D48" s="629">
        <f>D24</f>
        <v>-517982871.98000044</v>
      </c>
      <c r="E48" s="629">
        <f>E24</f>
        <v>517982871.98000044</v>
      </c>
      <c r="F48" s="629">
        <f>F24</f>
        <v>517982871.98000044</v>
      </c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</row>
    <row r="49" spans="1:17" ht="30" customHeight="1" thickTop="1" thickBot="1" x14ac:dyDescent="0.25">
      <c r="A49" s="627" t="s">
        <v>408</v>
      </c>
      <c r="B49" s="637" t="s">
        <v>407</v>
      </c>
      <c r="C49" s="628">
        <f>C31+C43</f>
        <v>156313135.76999998</v>
      </c>
      <c r="D49" s="628">
        <f>D31+D43</f>
        <v>-435555290.31000042</v>
      </c>
      <c r="E49" s="628">
        <f>E31+E43</f>
        <v>591868426.0800004</v>
      </c>
      <c r="F49" s="628">
        <f>F31+F43</f>
        <v>589607463.31000042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spans="1:17" ht="13.5" thickTop="1" x14ac:dyDescent="0.2">
      <c r="A50" s="40"/>
      <c r="B50" s="40"/>
      <c r="C50" s="40"/>
      <c r="D50" s="40"/>
      <c r="E50" s="40"/>
      <c r="F50" s="40"/>
      <c r="G50" s="40"/>
      <c r="H50" s="40"/>
      <c r="I50" s="40"/>
    </row>
    <row r="51" spans="1:17" ht="45.75" hidden="1" x14ac:dyDescent="0.65">
      <c r="A51" s="40"/>
      <c r="B51" s="954"/>
      <c r="C51" s="954"/>
      <c r="D51" s="954"/>
      <c r="E51" s="954"/>
      <c r="F51" s="954"/>
      <c r="G51" s="954"/>
      <c r="H51" s="954"/>
      <c r="I51" s="954"/>
      <c r="J51" s="954"/>
      <c r="K51" s="954"/>
      <c r="L51" s="954"/>
      <c r="M51" s="954"/>
      <c r="N51" s="954"/>
      <c r="O51" s="954"/>
    </row>
    <row r="52" spans="1:17" ht="16.5" customHeight="1" x14ac:dyDescent="0.65">
      <c r="A52" s="40"/>
      <c r="B52" s="697" t="s">
        <v>1532</v>
      </c>
      <c r="C52" s="692"/>
      <c r="D52" s="692"/>
      <c r="E52" s="597"/>
      <c r="F52" s="597" t="s">
        <v>1534</v>
      </c>
      <c r="G52" s="290"/>
      <c r="H52" s="290"/>
      <c r="I52" s="290"/>
      <c r="J52" s="290"/>
      <c r="K52" s="290"/>
      <c r="L52" s="290"/>
      <c r="M52" s="290"/>
      <c r="N52" s="290"/>
      <c r="O52" s="290"/>
    </row>
    <row r="53" spans="1:17" ht="15.75" hidden="1" x14ac:dyDescent="0.25">
      <c r="A53" s="40"/>
      <c r="B53" s="955" t="s">
        <v>606</v>
      </c>
      <c r="C53" s="955"/>
      <c r="D53" s="956"/>
      <c r="E53" s="40"/>
      <c r="F53" s="41" t="s">
        <v>607</v>
      </c>
      <c r="G53" s="40"/>
      <c r="H53" s="40"/>
      <c r="I53" s="40"/>
    </row>
    <row r="54" spans="1:17" ht="15.75" x14ac:dyDescent="0.25">
      <c r="A54" s="40"/>
      <c r="B54" s="613"/>
      <c r="C54" s="613"/>
      <c r="D54" s="614"/>
      <c r="E54" s="40"/>
      <c r="F54" s="41"/>
      <c r="G54" s="40"/>
      <c r="H54" s="40"/>
      <c r="I54" s="40"/>
    </row>
    <row r="55" spans="1:17" ht="15.75" x14ac:dyDescent="0.25">
      <c r="B55" s="66"/>
      <c r="F55" s="66"/>
    </row>
  </sheetData>
  <mergeCells count="13"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388"/>
  <sheetViews>
    <sheetView tabSelected="1" view="pageBreakPreview" zoomScale="10" zoomScaleNormal="25" zoomScaleSheetLayoutView="10" zoomScalePageLayoutView="10" workbookViewId="0">
      <pane ySplit="15" topLeftCell="A325" activePane="bottomLeft" state="frozen"/>
      <selection activeCell="F175" sqref="F175"/>
      <selection pane="bottomLeft" activeCell="G239" sqref="G239:G240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184" customWidth="1"/>
    <col min="18" max="18" width="33.85546875" style="184" customWidth="1"/>
    <col min="19" max="19" width="40.140625" style="132" bestFit="1" customWidth="1"/>
    <col min="20" max="20" width="43.5703125" style="132" bestFit="1" customWidth="1"/>
    <col min="21" max="16384" width="9.140625" style="132"/>
  </cols>
  <sheetData>
    <row r="2" spans="1:18" ht="45.75" x14ac:dyDescent="0.2">
      <c r="D2" s="134"/>
      <c r="E2" s="135"/>
      <c r="F2" s="133"/>
      <c r="G2" s="135"/>
      <c r="H2" s="135"/>
      <c r="I2" s="135"/>
      <c r="J2" s="135"/>
      <c r="K2" s="135"/>
      <c r="L2" s="135"/>
      <c r="M2" s="135"/>
      <c r="N2" s="1000" t="s">
        <v>538</v>
      </c>
      <c r="O2" s="951"/>
      <c r="P2" s="951"/>
      <c r="Q2" s="951"/>
    </row>
    <row r="3" spans="1:18" ht="45.75" x14ac:dyDescent="0.2">
      <c r="A3" s="134"/>
      <c r="B3" s="134"/>
      <c r="C3" s="134"/>
      <c r="D3" s="134"/>
      <c r="E3" s="135"/>
      <c r="F3" s="133"/>
      <c r="G3" s="135"/>
      <c r="H3" s="135"/>
      <c r="I3" s="135"/>
      <c r="J3" s="135"/>
      <c r="K3" s="135"/>
      <c r="L3" s="135"/>
      <c r="M3" s="135"/>
      <c r="N3" s="1000" t="s">
        <v>1239</v>
      </c>
      <c r="O3" s="1001"/>
      <c r="P3" s="1001"/>
      <c r="Q3" s="1001"/>
    </row>
    <row r="4" spans="1:18" ht="40.700000000000003" customHeight="1" x14ac:dyDescent="0.2">
      <c r="A4" s="157"/>
      <c r="B4" s="157"/>
      <c r="C4" s="157"/>
      <c r="D4" s="157"/>
      <c r="E4" s="164"/>
      <c r="F4" s="156"/>
      <c r="G4" s="164"/>
      <c r="H4" s="164"/>
      <c r="I4" s="164"/>
      <c r="J4" s="164"/>
      <c r="K4" s="164"/>
      <c r="L4" s="164"/>
      <c r="M4" s="164"/>
      <c r="N4" s="164"/>
      <c r="O4" s="1000"/>
      <c r="P4" s="1002"/>
    </row>
    <row r="5" spans="1:18" ht="45.75" hidden="1" x14ac:dyDescent="0.2">
      <c r="A5" s="157"/>
      <c r="B5" s="157"/>
      <c r="C5" s="157"/>
      <c r="D5" s="157"/>
      <c r="E5" s="164"/>
      <c r="F5" s="156"/>
      <c r="G5" s="164"/>
      <c r="H5" s="164"/>
      <c r="I5" s="164"/>
      <c r="J5" s="164"/>
      <c r="K5" s="164"/>
      <c r="L5" s="164"/>
      <c r="M5" s="164"/>
      <c r="N5" s="164"/>
      <c r="O5" s="157"/>
      <c r="P5" s="156"/>
    </row>
    <row r="6" spans="1:18" ht="45" x14ac:dyDescent="0.2">
      <c r="A6" s="1003" t="s">
        <v>679</v>
      </c>
      <c r="B6" s="1003"/>
      <c r="C6" s="1003"/>
      <c r="D6" s="1003"/>
      <c r="E6" s="1003"/>
      <c r="F6" s="1003"/>
      <c r="G6" s="1003"/>
      <c r="H6" s="1003"/>
      <c r="I6" s="1003"/>
      <c r="J6" s="1003"/>
      <c r="K6" s="1003"/>
      <c r="L6" s="1003"/>
      <c r="M6" s="1003"/>
      <c r="N6" s="1003"/>
      <c r="O6" s="1003"/>
      <c r="P6" s="1003"/>
    </row>
    <row r="7" spans="1:18" ht="45" x14ac:dyDescent="0.2">
      <c r="A7" s="1003" t="s">
        <v>678</v>
      </c>
      <c r="B7" s="1003"/>
      <c r="C7" s="1003"/>
      <c r="D7" s="1003"/>
      <c r="E7" s="1003"/>
      <c r="F7" s="1003"/>
      <c r="G7" s="1003"/>
      <c r="H7" s="1003"/>
      <c r="I7" s="1003"/>
      <c r="J7" s="1003"/>
      <c r="K7" s="1003"/>
      <c r="L7" s="1003"/>
      <c r="M7" s="1003"/>
      <c r="N7" s="1003"/>
      <c r="O7" s="1003"/>
      <c r="P7" s="1003"/>
    </row>
    <row r="8" spans="1:18" ht="4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8" ht="45.75" x14ac:dyDescent="0.65">
      <c r="A9" s="1004">
        <v>22564000000</v>
      </c>
      <c r="B9" s="100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  <row r="10" spans="1:18" ht="45.75" x14ac:dyDescent="0.2">
      <c r="A10" s="1009" t="s">
        <v>535</v>
      </c>
      <c r="B10" s="1010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</row>
    <row r="11" spans="1:18" ht="53.45" customHeight="1" thickBot="1" x14ac:dyDescent="0.25">
      <c r="A11" s="135"/>
      <c r="B11" s="135"/>
      <c r="C11" s="135"/>
      <c r="D11" s="135"/>
      <c r="E11" s="135"/>
      <c r="F11" s="133"/>
      <c r="G11" s="135"/>
      <c r="H11" s="135"/>
      <c r="I11" s="135"/>
      <c r="J11" s="135"/>
      <c r="K11" s="135"/>
      <c r="L11" s="135"/>
      <c r="M11" s="135"/>
      <c r="N11" s="135"/>
      <c r="O11" s="135"/>
      <c r="P11" s="6" t="s">
        <v>431</v>
      </c>
    </row>
    <row r="12" spans="1:18" ht="62.45" customHeight="1" thickTop="1" thickBot="1" x14ac:dyDescent="0.25">
      <c r="A12" s="1008" t="s">
        <v>536</v>
      </c>
      <c r="B12" s="1008" t="s">
        <v>537</v>
      </c>
      <c r="C12" s="1008" t="s">
        <v>417</v>
      </c>
      <c r="D12" s="1008" t="s">
        <v>690</v>
      </c>
      <c r="E12" s="1006" t="s">
        <v>12</v>
      </c>
      <c r="F12" s="1006"/>
      <c r="G12" s="1006"/>
      <c r="H12" s="1006"/>
      <c r="I12" s="1006"/>
      <c r="J12" s="1006" t="s">
        <v>57</v>
      </c>
      <c r="K12" s="1006"/>
      <c r="L12" s="1006"/>
      <c r="M12" s="1006"/>
      <c r="N12" s="1006"/>
      <c r="O12" s="1007"/>
      <c r="P12" s="1006" t="s">
        <v>11</v>
      </c>
    </row>
    <row r="13" spans="1:18" ht="96" customHeight="1" thickTop="1" thickBot="1" x14ac:dyDescent="0.25">
      <c r="A13" s="1006"/>
      <c r="B13" s="1011"/>
      <c r="C13" s="1011"/>
      <c r="D13" s="1006"/>
      <c r="E13" s="1008" t="s">
        <v>411</v>
      </c>
      <c r="F13" s="1008" t="s">
        <v>58</v>
      </c>
      <c r="G13" s="1008" t="s">
        <v>13</v>
      </c>
      <c r="H13" s="1008"/>
      <c r="I13" s="1008" t="s">
        <v>60</v>
      </c>
      <c r="J13" s="1008" t="s">
        <v>411</v>
      </c>
      <c r="K13" s="1008" t="s">
        <v>412</v>
      </c>
      <c r="L13" s="1008" t="s">
        <v>58</v>
      </c>
      <c r="M13" s="1008" t="s">
        <v>13</v>
      </c>
      <c r="N13" s="1008"/>
      <c r="O13" s="1008" t="s">
        <v>60</v>
      </c>
      <c r="P13" s="1006"/>
    </row>
    <row r="14" spans="1:18" ht="328.5" customHeight="1" thickTop="1" thickBot="1" x14ac:dyDescent="0.25">
      <c r="A14" s="1011"/>
      <c r="B14" s="1011"/>
      <c r="C14" s="1011"/>
      <c r="D14" s="1011"/>
      <c r="E14" s="1008"/>
      <c r="F14" s="1008"/>
      <c r="G14" s="169" t="s">
        <v>59</v>
      </c>
      <c r="H14" s="169" t="s">
        <v>15</v>
      </c>
      <c r="I14" s="1008"/>
      <c r="J14" s="1008"/>
      <c r="K14" s="1008"/>
      <c r="L14" s="1008"/>
      <c r="M14" s="169" t="s">
        <v>59</v>
      </c>
      <c r="N14" s="169" t="s">
        <v>15</v>
      </c>
      <c r="O14" s="1008"/>
      <c r="P14" s="1006"/>
    </row>
    <row r="15" spans="1:18" s="2" customFormat="1" ht="47.25" thickTop="1" thickBot="1" x14ac:dyDescent="0.25">
      <c r="A15" s="170" t="s">
        <v>2</v>
      </c>
      <c r="B15" s="170" t="s">
        <v>3</v>
      </c>
      <c r="C15" s="170" t="s">
        <v>14</v>
      </c>
      <c r="D15" s="170" t="s">
        <v>5</v>
      </c>
      <c r="E15" s="170" t="s">
        <v>419</v>
      </c>
      <c r="F15" s="170" t="s">
        <v>420</v>
      </c>
      <c r="G15" s="170" t="s">
        <v>421</v>
      </c>
      <c r="H15" s="170" t="s">
        <v>422</v>
      </c>
      <c r="I15" s="170" t="s">
        <v>423</v>
      </c>
      <c r="J15" s="170" t="s">
        <v>424</v>
      </c>
      <c r="K15" s="170" t="s">
        <v>425</v>
      </c>
      <c r="L15" s="170" t="s">
        <v>426</v>
      </c>
      <c r="M15" s="170" t="s">
        <v>427</v>
      </c>
      <c r="N15" s="170" t="s">
        <v>428</v>
      </c>
      <c r="O15" s="170" t="s">
        <v>429</v>
      </c>
      <c r="P15" s="170" t="s">
        <v>430</v>
      </c>
      <c r="Q15" s="185"/>
      <c r="R15" s="186"/>
    </row>
    <row r="16" spans="1:18" s="2" customFormat="1" ht="136.5" thickTop="1" thickBot="1" x14ac:dyDescent="0.25">
      <c r="A16" s="825" t="s">
        <v>162</v>
      </c>
      <c r="B16" s="825"/>
      <c r="C16" s="825"/>
      <c r="D16" s="826" t="s">
        <v>164</v>
      </c>
      <c r="E16" s="827">
        <f>E17</f>
        <v>133640191.59</v>
      </c>
      <c r="F16" s="828">
        <f t="shared" ref="F16:N16" si="0">F17</f>
        <v>133640191.59</v>
      </c>
      <c r="G16" s="828">
        <f t="shared" si="0"/>
        <v>86532671.030000001</v>
      </c>
      <c r="H16" s="828">
        <f t="shared" si="0"/>
        <v>3218900</v>
      </c>
      <c r="I16" s="828">
        <f t="shared" si="0"/>
        <v>0</v>
      </c>
      <c r="J16" s="827">
        <f t="shared" si="0"/>
        <v>10069544.58</v>
      </c>
      <c r="K16" s="828">
        <f t="shared" si="0"/>
        <v>6394900</v>
      </c>
      <c r="L16" s="828">
        <f t="shared" si="0"/>
        <v>3529644.58</v>
      </c>
      <c r="M16" s="828">
        <f t="shared" si="0"/>
        <v>0</v>
      </c>
      <c r="N16" s="828">
        <f t="shared" si="0"/>
        <v>0</v>
      </c>
      <c r="O16" s="827">
        <f>O17</f>
        <v>6539900</v>
      </c>
      <c r="P16" s="828">
        <f t="shared" ref="P16" si="1">P17</f>
        <v>143709736.17000002</v>
      </c>
      <c r="Q16" s="187"/>
      <c r="R16" s="187"/>
    </row>
    <row r="17" spans="1:18" s="2" customFormat="1" ht="136.5" thickTop="1" thickBot="1" x14ac:dyDescent="0.25">
      <c r="A17" s="829" t="s">
        <v>163</v>
      </c>
      <c r="B17" s="829"/>
      <c r="C17" s="829"/>
      <c r="D17" s="830" t="s">
        <v>165</v>
      </c>
      <c r="E17" s="831">
        <f>E18+E23+E33+E36</f>
        <v>133640191.59</v>
      </c>
      <c r="F17" s="831">
        <f>F18+F23+F33+F36</f>
        <v>133640191.59</v>
      </c>
      <c r="G17" s="831">
        <f t="shared" ref="G17:I17" si="2">G18+G23+G33+G36</f>
        <v>86532671.030000001</v>
      </c>
      <c r="H17" s="831">
        <f t="shared" si="2"/>
        <v>3218900</v>
      </c>
      <c r="I17" s="831">
        <f t="shared" si="2"/>
        <v>0</v>
      </c>
      <c r="J17" s="831">
        <f>L17+O17</f>
        <v>10069544.58</v>
      </c>
      <c r="K17" s="831">
        <f>K18+K23+K33+K36</f>
        <v>6394900</v>
      </c>
      <c r="L17" s="831">
        <f>L18+L23+L33+L36</f>
        <v>3529644.58</v>
      </c>
      <c r="M17" s="831">
        <f t="shared" ref="M17:N17" si="3">M18+M23+M33+M36</f>
        <v>0</v>
      </c>
      <c r="N17" s="831">
        <f t="shared" si="3"/>
        <v>0</v>
      </c>
      <c r="O17" s="831">
        <f>O18+O23+O33+O36</f>
        <v>6539900</v>
      </c>
      <c r="P17" s="831">
        <f>E17+J17</f>
        <v>143709736.17000002</v>
      </c>
      <c r="Q17" s="124" t="b">
        <f>P17=P19+P20+P21+P22+P25+P28+P30+P35+P38+P39+P32+P40+P26</f>
        <v>1</v>
      </c>
      <c r="R17" s="124" t="b">
        <f>K17='d6'!J12</f>
        <v>1</v>
      </c>
    </row>
    <row r="18" spans="1:18" s="377" customFormat="1" ht="47.25" thickTop="1" thickBot="1" x14ac:dyDescent="0.25">
      <c r="A18" s="422" t="s">
        <v>839</v>
      </c>
      <c r="B18" s="422" t="s">
        <v>840</v>
      </c>
      <c r="C18" s="422"/>
      <c r="D18" s="422" t="s">
        <v>841</v>
      </c>
      <c r="E18" s="804">
        <f>SUM(E19:E22)</f>
        <v>116577649</v>
      </c>
      <c r="F18" s="804">
        <f>SUM(F19:F22)</f>
        <v>116577649</v>
      </c>
      <c r="G18" s="804">
        <f t="shared" ref="G18:P18" si="4">SUM(G19:G22)</f>
        <v>86532671.030000001</v>
      </c>
      <c r="H18" s="804">
        <f t="shared" si="4"/>
        <v>3218900</v>
      </c>
      <c r="I18" s="804">
        <f t="shared" si="4"/>
        <v>0</v>
      </c>
      <c r="J18" s="804">
        <f t="shared" si="4"/>
        <v>3206500</v>
      </c>
      <c r="K18" s="804">
        <f t="shared" si="4"/>
        <v>3206500</v>
      </c>
      <c r="L18" s="804">
        <f t="shared" si="4"/>
        <v>0</v>
      </c>
      <c r="M18" s="804">
        <f t="shared" si="4"/>
        <v>0</v>
      </c>
      <c r="N18" s="804">
        <f t="shared" si="4"/>
        <v>0</v>
      </c>
      <c r="O18" s="804">
        <f t="shared" si="4"/>
        <v>3206500</v>
      </c>
      <c r="P18" s="804">
        <f t="shared" si="4"/>
        <v>119784149</v>
      </c>
      <c r="Q18" s="348"/>
      <c r="R18" s="348"/>
    </row>
    <row r="19" spans="1:18" ht="321.75" thickTop="1" thickBot="1" x14ac:dyDescent="0.25">
      <c r="A19" s="808" t="s">
        <v>250</v>
      </c>
      <c r="B19" s="808" t="s">
        <v>251</v>
      </c>
      <c r="C19" s="808" t="s">
        <v>252</v>
      </c>
      <c r="D19" s="808" t="s">
        <v>249</v>
      </c>
      <c r="E19" s="804">
        <f t="shared" ref="E19:E38" si="5">F19</f>
        <v>109487900</v>
      </c>
      <c r="F19" s="167">
        <f>-178100+(6884000+500000-200000-200000+250000-30000-300000+180000+(5000+6000+67000+((77782670+17112190+1242480+3766300+30000+1650000+50000+1400000+159900+80000+800000)-1948540)+80000+49000+250000))</f>
        <v>109487900</v>
      </c>
      <c r="G19" s="167">
        <f>200000+(((77782670)-1597170)+6884000)</f>
        <v>83269500</v>
      </c>
      <c r="H19" s="167">
        <f>-100000+2000-10000-180000+(250000-30000-300000+180000+((1650000+50000+1400000+159900+80000)+67000))</f>
        <v>3218900</v>
      </c>
      <c r="I19" s="167"/>
      <c r="J19" s="804">
        <f t="shared" ref="J19:J28" si="6">L19+O19</f>
        <v>3206500</v>
      </c>
      <c r="K19" s="167">
        <f>369667-17667+((977200+330000+15000+241300)+336000+900000+55000)</f>
        <v>3206500</v>
      </c>
      <c r="L19" s="761"/>
      <c r="M19" s="762"/>
      <c r="N19" s="762"/>
      <c r="O19" s="810">
        <f t="shared" ref="O19:O28" si="7">K19</f>
        <v>3206500</v>
      </c>
      <c r="P19" s="804">
        <f>+J19+E19</f>
        <v>112694400</v>
      </c>
      <c r="Q19" s="189"/>
      <c r="R19" s="202" t="b">
        <f>K19='d6'!J14+'d6'!J15</f>
        <v>1</v>
      </c>
    </row>
    <row r="20" spans="1:18" s="233" customFormat="1" ht="230.25" thickTop="1" thickBot="1" x14ac:dyDescent="0.25">
      <c r="A20" s="808" t="s">
        <v>706</v>
      </c>
      <c r="B20" s="808" t="s">
        <v>254</v>
      </c>
      <c r="C20" s="808" t="s">
        <v>252</v>
      </c>
      <c r="D20" s="808" t="s">
        <v>253</v>
      </c>
      <c r="E20" s="804">
        <f t="shared" ref="E20" si="8">F20</f>
        <v>4104999</v>
      </c>
      <c r="F20" s="167">
        <f>(4305000+1948540)-2148541</f>
        <v>4104999</v>
      </c>
      <c r="G20" s="167">
        <f>((2460000)+1597170)-793998.97</f>
        <v>3263171.0300000003</v>
      </c>
      <c r="H20" s="167"/>
      <c r="I20" s="167"/>
      <c r="J20" s="804">
        <f t="shared" ref="J20" si="9">L20+O20</f>
        <v>0</v>
      </c>
      <c r="K20" s="167"/>
      <c r="L20" s="761"/>
      <c r="M20" s="762"/>
      <c r="N20" s="762"/>
      <c r="O20" s="810">
        <f t="shared" si="7"/>
        <v>0</v>
      </c>
      <c r="P20" s="804">
        <f>+J20+E20</f>
        <v>4104999</v>
      </c>
      <c r="Q20" s="189"/>
      <c r="R20" s="202"/>
    </row>
    <row r="21" spans="1:18" s="294" customFormat="1" ht="184.5" thickTop="1" thickBot="1" x14ac:dyDescent="0.25">
      <c r="A21" s="806" t="s">
        <v>774</v>
      </c>
      <c r="B21" s="806" t="s">
        <v>388</v>
      </c>
      <c r="C21" s="806" t="s">
        <v>775</v>
      </c>
      <c r="D21" s="806" t="s">
        <v>776</v>
      </c>
      <c r="E21" s="807">
        <f t="shared" ref="E21" si="10">F21</f>
        <v>49000</v>
      </c>
      <c r="F21" s="300">
        <v>49000</v>
      </c>
      <c r="G21" s="300"/>
      <c r="H21" s="300"/>
      <c r="I21" s="300"/>
      <c r="J21" s="807">
        <f t="shared" ref="J21" si="11">L21+O21</f>
        <v>0</v>
      </c>
      <c r="K21" s="300"/>
      <c r="L21" s="763"/>
      <c r="M21" s="764"/>
      <c r="N21" s="764"/>
      <c r="O21" s="765">
        <f t="shared" si="7"/>
        <v>0</v>
      </c>
      <c r="P21" s="807">
        <f>+J21+E21</f>
        <v>49000</v>
      </c>
      <c r="Q21" s="189"/>
      <c r="R21" s="188"/>
    </row>
    <row r="22" spans="1:18" ht="93" thickTop="1" thickBot="1" x14ac:dyDescent="0.25">
      <c r="A22" s="806" t="s">
        <v>265</v>
      </c>
      <c r="B22" s="806" t="s">
        <v>45</v>
      </c>
      <c r="C22" s="806" t="s">
        <v>44</v>
      </c>
      <c r="D22" s="806" t="s">
        <v>266</v>
      </c>
      <c r="E22" s="807">
        <f t="shared" si="5"/>
        <v>2935750</v>
      </c>
      <c r="F22" s="301">
        <f>-200000+((3159750-49000)+25000)</f>
        <v>2935750</v>
      </c>
      <c r="G22" s="301"/>
      <c r="H22" s="301"/>
      <c r="I22" s="301"/>
      <c r="J22" s="807">
        <f t="shared" si="6"/>
        <v>0</v>
      </c>
      <c r="K22" s="301"/>
      <c r="L22" s="301"/>
      <c r="M22" s="301"/>
      <c r="N22" s="301"/>
      <c r="O22" s="765">
        <f t="shared" si="7"/>
        <v>0</v>
      </c>
      <c r="P22" s="807">
        <f>E22+J22</f>
        <v>2935750</v>
      </c>
      <c r="Q22" s="189"/>
      <c r="R22" s="188"/>
    </row>
    <row r="23" spans="1:18" s="377" customFormat="1" ht="47.25" thickTop="1" thickBot="1" x14ac:dyDescent="0.3">
      <c r="A23" s="422" t="s">
        <v>904</v>
      </c>
      <c r="B23" s="421" t="s">
        <v>905</v>
      </c>
      <c r="C23" s="421"/>
      <c r="D23" s="421" t="s">
        <v>906</v>
      </c>
      <c r="E23" s="807">
        <f t="shared" ref="E23:P23" si="12">SUM(E24:E32)-E24-E27-E29</f>
        <v>6533142.5899999999</v>
      </c>
      <c r="F23" s="807">
        <f t="shared" si="12"/>
        <v>6533142.5899999999</v>
      </c>
      <c r="G23" s="807">
        <f t="shared" si="12"/>
        <v>0</v>
      </c>
      <c r="H23" s="807">
        <f t="shared" si="12"/>
        <v>0</v>
      </c>
      <c r="I23" s="807">
        <f t="shared" si="12"/>
        <v>0</v>
      </c>
      <c r="J23" s="807">
        <f t="shared" si="12"/>
        <v>5174644.58</v>
      </c>
      <c r="K23" s="807">
        <f t="shared" si="12"/>
        <v>1500000</v>
      </c>
      <c r="L23" s="807">
        <f t="shared" si="12"/>
        <v>3529644.58</v>
      </c>
      <c r="M23" s="807">
        <f t="shared" si="12"/>
        <v>0</v>
      </c>
      <c r="N23" s="807">
        <f t="shared" si="12"/>
        <v>0</v>
      </c>
      <c r="O23" s="807">
        <f t="shared" si="12"/>
        <v>1645000</v>
      </c>
      <c r="P23" s="807">
        <f t="shared" si="12"/>
        <v>11707787.170000004</v>
      </c>
      <c r="Q23" s="423"/>
      <c r="R23" s="424"/>
    </row>
    <row r="24" spans="1:18" s="39" customFormat="1" ht="91.5" thickTop="1" thickBot="1" x14ac:dyDescent="0.25">
      <c r="A24" s="379" t="s">
        <v>842</v>
      </c>
      <c r="B24" s="379" t="s">
        <v>843</v>
      </c>
      <c r="C24" s="379"/>
      <c r="D24" s="379" t="s">
        <v>844</v>
      </c>
      <c r="E24" s="346">
        <f t="shared" ref="E24:P24" si="13">SUM(E25:E26)</f>
        <v>4642400</v>
      </c>
      <c r="F24" s="346">
        <f t="shared" si="13"/>
        <v>4642400</v>
      </c>
      <c r="G24" s="346">
        <f t="shared" si="13"/>
        <v>0</v>
      </c>
      <c r="H24" s="346">
        <f t="shared" si="13"/>
        <v>0</v>
      </c>
      <c r="I24" s="346">
        <f t="shared" si="13"/>
        <v>0</v>
      </c>
      <c r="J24" s="346">
        <f t="shared" si="13"/>
        <v>1500000</v>
      </c>
      <c r="K24" s="346">
        <f t="shared" si="13"/>
        <v>1500000</v>
      </c>
      <c r="L24" s="346">
        <f t="shared" si="13"/>
        <v>0</v>
      </c>
      <c r="M24" s="346">
        <f t="shared" si="13"/>
        <v>0</v>
      </c>
      <c r="N24" s="346">
        <f t="shared" si="13"/>
        <v>0</v>
      </c>
      <c r="O24" s="346">
        <f t="shared" si="13"/>
        <v>1500000</v>
      </c>
      <c r="P24" s="346">
        <f t="shared" si="13"/>
        <v>6142400</v>
      </c>
      <c r="Q24" s="425"/>
      <c r="R24" s="426"/>
    </row>
    <row r="25" spans="1:18" ht="93" thickTop="1" thickBot="1" x14ac:dyDescent="0.25">
      <c r="A25" s="806" t="s">
        <v>256</v>
      </c>
      <c r="B25" s="806" t="s">
        <v>257</v>
      </c>
      <c r="C25" s="806" t="s">
        <v>258</v>
      </c>
      <c r="D25" s="806" t="s">
        <v>255</v>
      </c>
      <c r="E25" s="807">
        <f t="shared" si="5"/>
        <v>4392400</v>
      </c>
      <c r="F25" s="301">
        <v>4392400</v>
      </c>
      <c r="G25" s="301"/>
      <c r="H25" s="301"/>
      <c r="I25" s="301"/>
      <c r="J25" s="807">
        <f t="shared" si="6"/>
        <v>1500000</v>
      </c>
      <c r="K25" s="301">
        <v>1500000</v>
      </c>
      <c r="L25" s="301"/>
      <c r="M25" s="301"/>
      <c r="N25" s="301"/>
      <c r="O25" s="765">
        <f t="shared" si="7"/>
        <v>1500000</v>
      </c>
      <c r="P25" s="807">
        <f>+J25+E25</f>
        <v>5892400</v>
      </c>
      <c r="Q25" s="189"/>
      <c r="R25" s="202" t="b">
        <f>K25='d6'!J16</f>
        <v>1</v>
      </c>
    </row>
    <row r="26" spans="1:18" s="643" customFormat="1" ht="230.25" thickTop="1" thickBot="1" x14ac:dyDescent="0.25">
      <c r="A26" s="806" t="s">
        <v>1276</v>
      </c>
      <c r="B26" s="806" t="s">
        <v>1277</v>
      </c>
      <c r="C26" s="806" t="s">
        <v>258</v>
      </c>
      <c r="D26" s="806" t="s">
        <v>1278</v>
      </c>
      <c r="E26" s="807">
        <f t="shared" si="5"/>
        <v>250000</v>
      </c>
      <c r="F26" s="301">
        <v>250000</v>
      </c>
      <c r="G26" s="301"/>
      <c r="H26" s="301"/>
      <c r="I26" s="301"/>
      <c r="J26" s="807">
        <f t="shared" si="6"/>
        <v>0</v>
      </c>
      <c r="K26" s="301"/>
      <c r="L26" s="301"/>
      <c r="M26" s="301"/>
      <c r="N26" s="301"/>
      <c r="O26" s="765"/>
      <c r="P26" s="807">
        <f>+J26+E26</f>
        <v>250000</v>
      </c>
      <c r="Q26" s="189"/>
      <c r="R26" s="202"/>
    </row>
    <row r="27" spans="1:18" s="79" customFormat="1" ht="136.5" thickTop="1" thickBot="1" x14ac:dyDescent="0.25">
      <c r="A27" s="380" t="s">
        <v>846</v>
      </c>
      <c r="B27" s="380" t="s">
        <v>847</v>
      </c>
      <c r="C27" s="380"/>
      <c r="D27" s="380" t="s">
        <v>845</v>
      </c>
      <c r="E27" s="346">
        <f>SUM(E28)+E29</f>
        <v>1890742.59</v>
      </c>
      <c r="F27" s="346">
        <f t="shared" ref="F27:P27" si="14">SUM(F28)+F29</f>
        <v>1890742.59</v>
      </c>
      <c r="G27" s="346">
        <f t="shared" si="14"/>
        <v>0</v>
      </c>
      <c r="H27" s="346">
        <f t="shared" si="14"/>
        <v>0</v>
      </c>
      <c r="I27" s="346">
        <f t="shared" si="14"/>
        <v>0</v>
      </c>
      <c r="J27" s="346">
        <f t="shared" si="14"/>
        <v>3674644.58</v>
      </c>
      <c r="K27" s="346">
        <f t="shared" si="14"/>
        <v>0</v>
      </c>
      <c r="L27" s="346">
        <f t="shared" si="14"/>
        <v>3529644.58</v>
      </c>
      <c r="M27" s="346">
        <f t="shared" si="14"/>
        <v>0</v>
      </c>
      <c r="N27" s="346">
        <f t="shared" si="14"/>
        <v>0</v>
      </c>
      <c r="O27" s="346">
        <f t="shared" si="14"/>
        <v>145000</v>
      </c>
      <c r="P27" s="346">
        <f t="shared" si="14"/>
        <v>5565387.1699999999</v>
      </c>
      <c r="Q27" s="383"/>
      <c r="R27" s="427"/>
    </row>
    <row r="28" spans="1:18" ht="138.75" thickTop="1" thickBot="1" x14ac:dyDescent="0.25">
      <c r="A28" s="806" t="s">
        <v>318</v>
      </c>
      <c r="B28" s="806" t="s">
        <v>319</v>
      </c>
      <c r="C28" s="806" t="s">
        <v>184</v>
      </c>
      <c r="D28" s="806" t="s">
        <v>475</v>
      </c>
      <c r="E28" s="807">
        <f t="shared" si="5"/>
        <v>290200</v>
      </c>
      <c r="F28" s="301">
        <v>290200</v>
      </c>
      <c r="G28" s="301"/>
      <c r="H28" s="301"/>
      <c r="I28" s="301"/>
      <c r="J28" s="807">
        <f t="shared" si="6"/>
        <v>0</v>
      </c>
      <c r="K28" s="301"/>
      <c r="L28" s="301"/>
      <c r="M28" s="301"/>
      <c r="N28" s="301"/>
      <c r="O28" s="765">
        <f t="shared" si="7"/>
        <v>0</v>
      </c>
      <c r="P28" s="807">
        <f>+J28+E28</f>
        <v>290200</v>
      </c>
      <c r="Q28" s="189"/>
      <c r="R28" s="188"/>
    </row>
    <row r="29" spans="1:18" s="79" customFormat="1" ht="48" thickTop="1" thickBot="1" x14ac:dyDescent="0.25">
      <c r="A29" s="378" t="s">
        <v>849</v>
      </c>
      <c r="B29" s="378" t="s">
        <v>850</v>
      </c>
      <c r="C29" s="378"/>
      <c r="D29" s="381" t="s">
        <v>848</v>
      </c>
      <c r="E29" s="347">
        <f>SUM(E30:E32)</f>
        <v>1600542.59</v>
      </c>
      <c r="F29" s="347">
        <f t="shared" ref="F29:O29" si="15">SUM(F30:F32)</f>
        <v>1600542.59</v>
      </c>
      <c r="G29" s="347">
        <f t="shared" si="15"/>
        <v>0</v>
      </c>
      <c r="H29" s="347">
        <f t="shared" si="15"/>
        <v>0</v>
      </c>
      <c r="I29" s="347">
        <f t="shared" si="15"/>
        <v>0</v>
      </c>
      <c r="J29" s="347">
        <f t="shared" si="15"/>
        <v>3674644.58</v>
      </c>
      <c r="K29" s="347">
        <f t="shared" si="15"/>
        <v>0</v>
      </c>
      <c r="L29" s="347">
        <f t="shared" si="15"/>
        <v>3529644.58</v>
      </c>
      <c r="M29" s="347">
        <f t="shared" si="15"/>
        <v>0</v>
      </c>
      <c r="N29" s="347">
        <f t="shared" si="15"/>
        <v>0</v>
      </c>
      <c r="O29" s="347">
        <f t="shared" si="15"/>
        <v>145000</v>
      </c>
      <c r="P29" s="347">
        <f>E29+J29</f>
        <v>5275187.17</v>
      </c>
      <c r="Q29" s="383"/>
      <c r="R29" s="384"/>
    </row>
    <row r="30" spans="1:18" s="39" customFormat="1" ht="361.5" customHeight="1" thickTop="1" thickBot="1" x14ac:dyDescent="0.7">
      <c r="A30" s="990" t="s">
        <v>364</v>
      </c>
      <c r="B30" s="990" t="s">
        <v>363</v>
      </c>
      <c r="C30" s="990" t="s">
        <v>184</v>
      </c>
      <c r="D30" s="303" t="s">
        <v>473</v>
      </c>
      <c r="E30" s="1018">
        <f t="shared" si="5"/>
        <v>0</v>
      </c>
      <c r="F30" s="988"/>
      <c r="G30" s="988"/>
      <c r="H30" s="988"/>
      <c r="I30" s="988"/>
      <c r="J30" s="1019">
        <f>L30+O30</f>
        <v>3674644.58</v>
      </c>
      <c r="K30" s="988"/>
      <c r="L30" s="988">
        <f>-46000+(((1308600+69000+601000+1471600)+1155966.58)-450000-580522)</f>
        <v>3529644.58</v>
      </c>
      <c r="M30" s="988"/>
      <c r="N30" s="988"/>
      <c r="O30" s="1014">
        <f>46000+((49000)+50000)</f>
        <v>145000</v>
      </c>
      <c r="P30" s="1016">
        <f>E30+J30</f>
        <v>3674644.58</v>
      </c>
      <c r="Q30" s="190"/>
      <c r="R30" s="191"/>
    </row>
    <row r="31" spans="1:18" s="39" customFormat="1" ht="184.5" thickTop="1" thickBot="1" x14ac:dyDescent="0.25">
      <c r="A31" s="992"/>
      <c r="B31" s="991"/>
      <c r="C31" s="992"/>
      <c r="D31" s="304" t="s">
        <v>474</v>
      </c>
      <c r="E31" s="992"/>
      <c r="F31" s="989"/>
      <c r="G31" s="989"/>
      <c r="H31" s="989"/>
      <c r="I31" s="989"/>
      <c r="J31" s="1020"/>
      <c r="K31" s="989"/>
      <c r="L31" s="989"/>
      <c r="M31" s="989"/>
      <c r="N31" s="989"/>
      <c r="O31" s="1015"/>
      <c r="P31" s="1017"/>
      <c r="Q31" s="191"/>
      <c r="R31" s="191"/>
    </row>
    <row r="32" spans="1:18" s="39" customFormat="1" ht="93" thickTop="1" thickBot="1" x14ac:dyDescent="0.25">
      <c r="A32" s="808" t="s">
        <v>1119</v>
      </c>
      <c r="B32" s="808" t="s">
        <v>275</v>
      </c>
      <c r="C32" s="808" t="s">
        <v>184</v>
      </c>
      <c r="D32" s="808" t="s">
        <v>273</v>
      </c>
      <c r="E32" s="807">
        <f>F32</f>
        <v>1600542.59</v>
      </c>
      <c r="F32" s="301">
        <v>1600542.59</v>
      </c>
      <c r="G32" s="301"/>
      <c r="H32" s="301"/>
      <c r="I32" s="301"/>
      <c r="J32" s="807">
        <f>L32+O32</f>
        <v>0</v>
      </c>
      <c r="K32" s="301"/>
      <c r="L32" s="301"/>
      <c r="M32" s="301"/>
      <c r="N32" s="301"/>
      <c r="O32" s="765"/>
      <c r="P32" s="807">
        <f>E32+J32</f>
        <v>1600542.59</v>
      </c>
      <c r="Q32" s="191"/>
      <c r="R32" s="191"/>
    </row>
    <row r="33" spans="1:20" s="39" customFormat="1" ht="46.5" customHeight="1" thickTop="1" thickBot="1" x14ac:dyDescent="0.25">
      <c r="A33" s="422" t="s">
        <v>851</v>
      </c>
      <c r="B33" s="422" t="s">
        <v>852</v>
      </c>
      <c r="C33" s="422"/>
      <c r="D33" s="422" t="s">
        <v>853</v>
      </c>
      <c r="E33" s="804">
        <f>E34</f>
        <v>6359300</v>
      </c>
      <c r="F33" s="804">
        <f t="shared" ref="F33:O33" si="16">F34</f>
        <v>6359300</v>
      </c>
      <c r="G33" s="804">
        <f t="shared" si="16"/>
        <v>0</v>
      </c>
      <c r="H33" s="804">
        <f t="shared" si="16"/>
        <v>0</v>
      </c>
      <c r="I33" s="804">
        <f t="shared" si="16"/>
        <v>0</v>
      </c>
      <c r="J33" s="804">
        <f t="shared" si="16"/>
        <v>0</v>
      </c>
      <c r="K33" s="804">
        <f t="shared" si="16"/>
        <v>0</v>
      </c>
      <c r="L33" s="804">
        <f t="shared" si="16"/>
        <v>0</v>
      </c>
      <c r="M33" s="804">
        <f t="shared" si="16"/>
        <v>0</v>
      </c>
      <c r="N33" s="804">
        <f t="shared" si="16"/>
        <v>0</v>
      </c>
      <c r="O33" s="804">
        <f t="shared" si="16"/>
        <v>0</v>
      </c>
      <c r="P33" s="804">
        <f>P34</f>
        <v>6359300</v>
      </c>
      <c r="Q33" s="191"/>
      <c r="R33" s="191"/>
    </row>
    <row r="34" spans="1:20" s="39" customFormat="1" ht="47.25" thickTop="1" thickBot="1" x14ac:dyDescent="0.25">
      <c r="A34" s="379" t="s">
        <v>854</v>
      </c>
      <c r="B34" s="379" t="s">
        <v>855</v>
      </c>
      <c r="C34" s="379"/>
      <c r="D34" s="379" t="s">
        <v>856</v>
      </c>
      <c r="E34" s="346">
        <f>SUM(E35)</f>
        <v>6359300</v>
      </c>
      <c r="F34" s="346">
        <f t="shared" ref="F34:P34" si="17">SUM(F35)</f>
        <v>6359300</v>
      </c>
      <c r="G34" s="346">
        <f t="shared" si="17"/>
        <v>0</v>
      </c>
      <c r="H34" s="346">
        <f t="shared" si="17"/>
        <v>0</v>
      </c>
      <c r="I34" s="346">
        <f t="shared" si="17"/>
        <v>0</v>
      </c>
      <c r="J34" s="346">
        <f t="shared" si="17"/>
        <v>0</v>
      </c>
      <c r="K34" s="346">
        <f t="shared" si="17"/>
        <v>0</v>
      </c>
      <c r="L34" s="346">
        <f t="shared" si="17"/>
        <v>0</v>
      </c>
      <c r="M34" s="346">
        <f t="shared" si="17"/>
        <v>0</v>
      </c>
      <c r="N34" s="346">
        <f t="shared" si="17"/>
        <v>0</v>
      </c>
      <c r="O34" s="346">
        <f t="shared" si="17"/>
        <v>0</v>
      </c>
      <c r="P34" s="346">
        <f t="shared" si="17"/>
        <v>6359300</v>
      </c>
    </row>
    <row r="35" spans="1:20" ht="93" thickTop="1" thickBot="1" x14ac:dyDescent="0.25">
      <c r="A35" s="806" t="s">
        <v>259</v>
      </c>
      <c r="B35" s="806" t="s">
        <v>260</v>
      </c>
      <c r="C35" s="806" t="s">
        <v>261</v>
      </c>
      <c r="D35" s="806" t="s">
        <v>262</v>
      </c>
      <c r="E35" s="807">
        <f>F35</f>
        <v>6359300</v>
      </c>
      <c r="F35" s="301">
        <v>6359300</v>
      </c>
      <c r="G35" s="301"/>
      <c r="H35" s="301"/>
      <c r="I35" s="301"/>
      <c r="J35" s="807">
        <f>L35+O35</f>
        <v>0</v>
      </c>
      <c r="K35" s="301"/>
      <c r="L35" s="301"/>
      <c r="M35" s="301"/>
      <c r="N35" s="301"/>
      <c r="O35" s="765">
        <f>K35</f>
        <v>0</v>
      </c>
      <c r="P35" s="807">
        <f>E35+J35</f>
        <v>6359300</v>
      </c>
    </row>
    <row r="36" spans="1:20" s="361" customFormat="1" ht="47.25" thickTop="1" thickBot="1" x14ac:dyDescent="0.25">
      <c r="A36" s="422" t="s">
        <v>857</v>
      </c>
      <c r="B36" s="422" t="s">
        <v>858</v>
      </c>
      <c r="C36" s="422"/>
      <c r="D36" s="422" t="s">
        <v>859</v>
      </c>
      <c r="E36" s="804">
        <f t="shared" ref="E36:P36" si="18">E37+E40</f>
        <v>4170100</v>
      </c>
      <c r="F36" s="804">
        <f t="shared" si="18"/>
        <v>4170100</v>
      </c>
      <c r="G36" s="804">
        <f t="shared" si="18"/>
        <v>0</v>
      </c>
      <c r="H36" s="804">
        <f t="shared" si="18"/>
        <v>0</v>
      </c>
      <c r="I36" s="804">
        <f t="shared" si="18"/>
        <v>0</v>
      </c>
      <c r="J36" s="804">
        <f t="shared" si="18"/>
        <v>1688400</v>
      </c>
      <c r="K36" s="804">
        <f t="shared" si="18"/>
        <v>1688400</v>
      </c>
      <c r="L36" s="804">
        <f t="shared" si="18"/>
        <v>0</v>
      </c>
      <c r="M36" s="804">
        <f t="shared" si="18"/>
        <v>0</v>
      </c>
      <c r="N36" s="804">
        <f t="shared" si="18"/>
        <v>0</v>
      </c>
      <c r="O36" s="804">
        <f t="shared" si="18"/>
        <v>1688400</v>
      </c>
      <c r="P36" s="804">
        <f t="shared" si="18"/>
        <v>5858500</v>
      </c>
      <c r="Q36" s="366"/>
      <c r="R36" s="366"/>
    </row>
    <row r="37" spans="1:20" s="39" customFormat="1" ht="271.5" thickTop="1" thickBot="1" x14ac:dyDescent="0.25">
      <c r="A37" s="379" t="s">
        <v>860</v>
      </c>
      <c r="B37" s="379" t="s">
        <v>861</v>
      </c>
      <c r="C37" s="379"/>
      <c r="D37" s="379" t="s">
        <v>862</v>
      </c>
      <c r="E37" s="346">
        <f>SUM(E38:E39)</f>
        <v>420100</v>
      </c>
      <c r="F37" s="346">
        <f t="shared" ref="F37:P37" si="19">SUM(F38:F39)</f>
        <v>420100</v>
      </c>
      <c r="G37" s="346">
        <f t="shared" si="19"/>
        <v>0</v>
      </c>
      <c r="H37" s="346">
        <f t="shared" si="19"/>
        <v>0</v>
      </c>
      <c r="I37" s="346">
        <f t="shared" si="19"/>
        <v>0</v>
      </c>
      <c r="J37" s="346">
        <f t="shared" si="19"/>
        <v>0</v>
      </c>
      <c r="K37" s="346">
        <f t="shared" si="19"/>
        <v>0</v>
      </c>
      <c r="L37" s="346">
        <f t="shared" si="19"/>
        <v>0</v>
      </c>
      <c r="M37" s="346">
        <f t="shared" si="19"/>
        <v>0</v>
      </c>
      <c r="N37" s="346">
        <f t="shared" si="19"/>
        <v>0</v>
      </c>
      <c r="O37" s="346">
        <f t="shared" si="19"/>
        <v>0</v>
      </c>
      <c r="P37" s="346">
        <f t="shared" si="19"/>
        <v>420100</v>
      </c>
      <c r="Q37" s="191"/>
      <c r="R37" s="191"/>
    </row>
    <row r="38" spans="1:20" ht="276" thickTop="1" thickBot="1" x14ac:dyDescent="0.25">
      <c r="A38" s="808" t="s">
        <v>263</v>
      </c>
      <c r="B38" s="808" t="s">
        <v>264</v>
      </c>
      <c r="C38" s="808" t="s">
        <v>45</v>
      </c>
      <c r="D38" s="808" t="s">
        <v>476</v>
      </c>
      <c r="E38" s="804">
        <f t="shared" si="5"/>
        <v>300000</v>
      </c>
      <c r="F38" s="305">
        <v>300000</v>
      </c>
      <c r="G38" s="305"/>
      <c r="H38" s="305"/>
      <c r="I38" s="305"/>
      <c r="J38" s="804">
        <f>L38+O38</f>
        <v>0</v>
      </c>
      <c r="K38" s="305"/>
      <c r="L38" s="305"/>
      <c r="M38" s="305"/>
      <c r="N38" s="305"/>
      <c r="O38" s="810">
        <f>K38</f>
        <v>0</v>
      </c>
      <c r="P38" s="804">
        <f>E38+J38</f>
        <v>300000</v>
      </c>
    </row>
    <row r="39" spans="1:20" s="182" customFormat="1" ht="93" thickTop="1" thickBot="1" x14ac:dyDescent="0.25">
      <c r="A39" s="808" t="s">
        <v>694</v>
      </c>
      <c r="B39" s="808" t="s">
        <v>389</v>
      </c>
      <c r="C39" s="808" t="s">
        <v>45</v>
      </c>
      <c r="D39" s="808" t="s">
        <v>390</v>
      </c>
      <c r="E39" s="804">
        <f t="shared" ref="E39:E40" si="20">F39</f>
        <v>120100</v>
      </c>
      <c r="F39" s="305">
        <v>120100</v>
      </c>
      <c r="G39" s="305"/>
      <c r="H39" s="305"/>
      <c r="I39" s="305"/>
      <c r="J39" s="804">
        <f>L39+O39</f>
        <v>0</v>
      </c>
      <c r="K39" s="305"/>
      <c r="L39" s="305"/>
      <c r="M39" s="305"/>
      <c r="N39" s="305"/>
      <c r="O39" s="810">
        <f>K39</f>
        <v>0</v>
      </c>
      <c r="P39" s="804">
        <f>E39+J39</f>
        <v>120100</v>
      </c>
      <c r="Q39" s="206"/>
      <c r="R39" s="206"/>
    </row>
    <row r="40" spans="1:20" s="545" customFormat="1" ht="271.5" thickTop="1" thickBot="1" x14ac:dyDescent="0.25">
      <c r="A40" s="379" t="s">
        <v>560</v>
      </c>
      <c r="B40" s="379" t="s">
        <v>561</v>
      </c>
      <c r="C40" s="379" t="s">
        <v>45</v>
      </c>
      <c r="D40" s="379" t="s">
        <v>562</v>
      </c>
      <c r="E40" s="346">
        <f t="shared" si="20"/>
        <v>3750000</v>
      </c>
      <c r="F40" s="346">
        <f>120000+(500000+300000+80000+50000+(500000+400000+80000+400000+80000+60000+200000+80000+300000+500000+100000))</f>
        <v>3750000</v>
      </c>
      <c r="G40" s="346"/>
      <c r="H40" s="346"/>
      <c r="I40" s="346"/>
      <c r="J40" s="346">
        <f>L40+O40</f>
        <v>1688400</v>
      </c>
      <c r="K40" s="301">
        <f>348400+(380000+(80000+300000+500000+80000))</f>
        <v>1688400</v>
      </c>
      <c r="L40" s="346"/>
      <c r="M40" s="346"/>
      <c r="N40" s="346"/>
      <c r="O40" s="346">
        <f>K40</f>
        <v>1688400</v>
      </c>
      <c r="P40" s="346">
        <f>E40+J40</f>
        <v>5438400</v>
      </c>
      <c r="Q40" s="553"/>
      <c r="R40" s="124" t="b">
        <f>K40='d6'!J19+'d6'!J18+'d6'!J17</f>
        <v>1</v>
      </c>
    </row>
    <row r="41" spans="1:20" ht="136.5" thickTop="1" thickBot="1" x14ac:dyDescent="0.25">
      <c r="A41" s="825" t="s">
        <v>166</v>
      </c>
      <c r="B41" s="825"/>
      <c r="C41" s="825"/>
      <c r="D41" s="826" t="s">
        <v>0</v>
      </c>
      <c r="E41" s="827">
        <f>E42</f>
        <v>1613809580.29</v>
      </c>
      <c r="F41" s="828">
        <f t="shared" ref="F41" si="21">F42</f>
        <v>1613809580.29</v>
      </c>
      <c r="G41" s="828">
        <f>G42</f>
        <v>1110150054.47</v>
      </c>
      <c r="H41" s="828">
        <f>H42</f>
        <v>121088373.78999999</v>
      </c>
      <c r="I41" s="828">
        <f t="shared" ref="I41" si="22">I42</f>
        <v>0</v>
      </c>
      <c r="J41" s="827">
        <f>J42</f>
        <v>208417854.91</v>
      </c>
      <c r="K41" s="828">
        <f>K42</f>
        <v>60952190.910000004</v>
      </c>
      <c r="L41" s="828">
        <f>L42</f>
        <v>145883030</v>
      </c>
      <c r="M41" s="828">
        <f t="shared" ref="M41" si="23">M42</f>
        <v>42570629</v>
      </c>
      <c r="N41" s="828">
        <f>N42</f>
        <v>13750931.09</v>
      </c>
      <c r="O41" s="827">
        <f>O42</f>
        <v>62534824.910000004</v>
      </c>
      <c r="P41" s="828">
        <f t="shared" ref="P41" si="24">P42</f>
        <v>1822227435.2</v>
      </c>
    </row>
    <row r="42" spans="1:20" ht="136.5" thickTop="1" thickBot="1" x14ac:dyDescent="0.25">
      <c r="A42" s="829" t="s">
        <v>167</v>
      </c>
      <c r="B42" s="829"/>
      <c r="C42" s="829"/>
      <c r="D42" s="830" t="s">
        <v>1</v>
      </c>
      <c r="E42" s="831">
        <f>E43+E74+E85+E79</f>
        <v>1613809580.29</v>
      </c>
      <c r="F42" s="831">
        <f>F43+F74+F85+F79</f>
        <v>1613809580.29</v>
      </c>
      <c r="G42" s="831">
        <f>G43+G74+G85+G79</f>
        <v>1110150054.47</v>
      </c>
      <c r="H42" s="831">
        <f>H43+H74+H85+H79</f>
        <v>121088373.78999999</v>
      </c>
      <c r="I42" s="831">
        <f>I43+I74+I85+I79</f>
        <v>0</v>
      </c>
      <c r="J42" s="831">
        <f>L42+O42</f>
        <v>208417854.91</v>
      </c>
      <c r="K42" s="831">
        <f>K43+K74+K85+K79</f>
        <v>60952190.910000004</v>
      </c>
      <c r="L42" s="831">
        <f>L43+L74+L85+L79</f>
        <v>145883030</v>
      </c>
      <c r="M42" s="831">
        <f>M43+M74+M85+M79</f>
        <v>42570629</v>
      </c>
      <c r="N42" s="831">
        <f>N43+N74+N85+N79</f>
        <v>13750931.09</v>
      </c>
      <c r="O42" s="831">
        <f>O43+O74+O85+O79</f>
        <v>62534824.910000004</v>
      </c>
      <c r="P42" s="831">
        <f>E42+J42</f>
        <v>1822227435.2</v>
      </c>
      <c r="Q42" s="124" t="b">
        <f>P42=P44+P46+P47+P50+P54+P56+P57+P59+P60+P62+P63+P64+P66+P72+P75+P53+P73+P48+P67+P69+P77+P70+P87+P78+P82+P84</f>
        <v>1</v>
      </c>
      <c r="R42" s="124" t="b">
        <f>K42='d6'!J21</f>
        <v>1</v>
      </c>
    </row>
    <row r="43" spans="1:20" s="361" customFormat="1" ht="47.25" thickTop="1" thickBot="1" x14ac:dyDescent="0.25">
      <c r="A43" s="422" t="s">
        <v>863</v>
      </c>
      <c r="B43" s="422" t="s">
        <v>864</v>
      </c>
      <c r="C43" s="422"/>
      <c r="D43" s="422" t="s">
        <v>865</v>
      </c>
      <c r="E43" s="804">
        <f>E44+E45+E49+E54+E55+E58+E61+E64+E65+E72+E51+E73+E68+E76</f>
        <v>1613725403.29</v>
      </c>
      <c r="F43" s="804">
        <f t="shared" ref="F43:P43" si="25">F44+F45+F49+F54+F55+F58+F61+F64+F65+F72+F51+F73+F68+F76</f>
        <v>1613725403.29</v>
      </c>
      <c r="G43" s="804">
        <f t="shared" si="25"/>
        <v>1110150054.47</v>
      </c>
      <c r="H43" s="804">
        <f t="shared" si="25"/>
        <v>121088373.78999999</v>
      </c>
      <c r="I43" s="804">
        <f t="shared" si="25"/>
        <v>0</v>
      </c>
      <c r="J43" s="804">
        <f t="shared" si="25"/>
        <v>203514866.91000003</v>
      </c>
      <c r="K43" s="804">
        <f t="shared" si="25"/>
        <v>56049202.910000004</v>
      </c>
      <c r="L43" s="804">
        <f t="shared" si="25"/>
        <v>145883030</v>
      </c>
      <c r="M43" s="804">
        <f t="shared" si="25"/>
        <v>42570629</v>
      </c>
      <c r="N43" s="804">
        <f t="shared" si="25"/>
        <v>13750931.09</v>
      </c>
      <c r="O43" s="804">
        <f t="shared" si="25"/>
        <v>57631836.910000004</v>
      </c>
      <c r="P43" s="804">
        <f t="shared" si="25"/>
        <v>1817240270.2</v>
      </c>
      <c r="Q43" s="124"/>
      <c r="R43" s="124"/>
    </row>
    <row r="44" spans="1:20" ht="99" customHeight="1" thickTop="1" thickBot="1" x14ac:dyDescent="0.6">
      <c r="A44" s="808" t="s">
        <v>216</v>
      </c>
      <c r="B44" s="808" t="s">
        <v>217</v>
      </c>
      <c r="C44" s="808" t="s">
        <v>219</v>
      </c>
      <c r="D44" s="808" t="s">
        <v>220</v>
      </c>
      <c r="E44" s="804">
        <f>F44</f>
        <v>467866315</v>
      </c>
      <c r="F44" s="305">
        <f>86803+49999+493300-5352100+(-1892800-1941400-1919329+845000+(186032+29939+130281+49999+9245600+48500+200000+864900+8600-3000000-140000+(236775-228977.94+274310.94+46235+566500+40000+5100+37560+((372491460+6155150+631440+29930200+2557000+20309300+734740+914480+6850060+1542435+90625+530000+37683.94+102316.06+90274+29393+150000+101020+33980+1000000+18794374+1868908)-1600000-400000+14500+180000+1400000-19760+20000)+3760945+85400+18800+490764)))</f>
        <v>467866315</v>
      </c>
      <c r="G44" s="305">
        <f>-5287400+(-1892800+((((305204300+12733230+1420850)-1600000)+3760945+85400)-3000000))</f>
        <v>311424525</v>
      </c>
      <c r="H44" s="305">
        <f>493300+845000+(9245600+48500+200000+864900+8600+((20309300+734740+914480+6850060+1542435+1159227+80427)+1400000-19760)+613864+30400+246500-200000-200000)</f>
        <v>45167573</v>
      </c>
      <c r="I44" s="305"/>
      <c r="J44" s="804">
        <f t="shared" ref="J44:J67" si="26">L44+O44</f>
        <v>73496597.370000005</v>
      </c>
      <c r="K44" s="305">
        <f>49950+613287-41055+(1000000-45333+((800000+3100000+160000+440000+130000+30333+15000+300000+1172122-1172122)+48000+542134.23+700000+500000+500000+59561.14+49000))</f>
        <v>8950877.370000001</v>
      </c>
      <c r="L44" s="305">
        <f>-19221-4519-100016-1600-1723318-78200-5650-2000-5800+2000000+(69500+12950-19800-38600-1650-400+(12568180+2758370+5329340+76070+37006700+2376280+17030+812980+26200+2000+18400+2848150))</f>
        <v>63921376</v>
      </c>
      <c r="M44" s="305">
        <f>-19221+(69500+(12568180+803420))</f>
        <v>13421879</v>
      </c>
      <c r="N44" s="305">
        <v>2884249.13</v>
      </c>
      <c r="O44" s="810">
        <f>-59676+(-22000+(K44+667020+39000))</f>
        <v>9575221.370000001</v>
      </c>
      <c r="P44" s="804">
        <f t="shared" ref="P44:P56" si="27">E44+J44</f>
        <v>541362912.37</v>
      </c>
      <c r="Q44" s="192"/>
      <c r="R44" s="124" t="b">
        <f>K44='d6'!J22+'d6'!J23+'d6'!J24+'d6'!J25+'d6'!J26+'d6'!J27+'d6'!J28+'d6'!J29+'d6'!J30+'d6'!J31+'d6'!J32</f>
        <v>1</v>
      </c>
    </row>
    <row r="45" spans="1:20" s="79" customFormat="1" ht="138.75" thickTop="1" thickBot="1" x14ac:dyDescent="0.6">
      <c r="A45" s="345" t="s">
        <v>221</v>
      </c>
      <c r="B45" s="345" t="s">
        <v>218</v>
      </c>
      <c r="C45" s="345"/>
      <c r="D45" s="345" t="s">
        <v>799</v>
      </c>
      <c r="E45" s="347">
        <f>E46+E47+E48</f>
        <v>326816325.95999998</v>
      </c>
      <c r="F45" s="347">
        <f t="shared" ref="F45:I45" si="28">F46+F47+F48</f>
        <v>326816325.95999998</v>
      </c>
      <c r="G45" s="347">
        <f t="shared" si="28"/>
        <v>171461877</v>
      </c>
      <c r="H45" s="347">
        <f t="shared" si="28"/>
        <v>57869170.789999999</v>
      </c>
      <c r="I45" s="347">
        <f t="shared" si="28"/>
        <v>0</v>
      </c>
      <c r="J45" s="347">
        <f t="shared" ref="J45" si="29">J46+J47+J48</f>
        <v>79272136.550000012</v>
      </c>
      <c r="K45" s="347">
        <f t="shared" ref="K45" si="30">K46+K47+K48</f>
        <v>26475216.550000004</v>
      </c>
      <c r="L45" s="347">
        <f t="shared" ref="L45" si="31">L46+L47+L48</f>
        <v>52179630</v>
      </c>
      <c r="M45" s="347">
        <f t="shared" ref="M45" si="32">M46+M47+M48</f>
        <v>19898430</v>
      </c>
      <c r="N45" s="347">
        <f t="shared" ref="N45" si="33">N46+N47+N48</f>
        <v>1868951.96</v>
      </c>
      <c r="O45" s="347">
        <f t="shared" ref="O45" si="34">O46+O47+O48</f>
        <v>27092506.550000004</v>
      </c>
      <c r="P45" s="347">
        <f>E45+J45</f>
        <v>406088462.50999999</v>
      </c>
      <c r="Q45" s="192"/>
      <c r="R45" s="48"/>
    </row>
    <row r="46" spans="1:20" ht="138.75" thickTop="1" thickBot="1" x14ac:dyDescent="0.6">
      <c r="A46" s="808" t="s">
        <v>796</v>
      </c>
      <c r="B46" s="808" t="s">
        <v>797</v>
      </c>
      <c r="C46" s="808" t="s">
        <v>222</v>
      </c>
      <c r="D46" s="808" t="s">
        <v>798</v>
      </c>
      <c r="E46" s="804">
        <f t="shared" ref="E46:E56" si="35">F46</f>
        <v>296784261.13999999</v>
      </c>
      <c r="F46" s="305">
        <f>39800+23898+386000+(1919329+560000+(-186032+87835+45127+93550+49933+28685+190802-27700-9262+9262-11926+11926-43880+199000+49900+262000+58000+650010+6700+29730+302720+2562+4500+2680-47400+11682900+16400-1400000+1795700+67000-9200000+(5100+46200+199000-10500+90000-90000-12600-99400+250000+((293431677)+314737.33-3489794.54-2700000-2424285.65+35000+199620+70000+155500+5000+5000+85000+126230+99400+45000+150000+50000+20000+40000+49900+662500+80000+34010+1101400+17170-165000-635000+200000+795970)-410000-90000+46650+751028+100000)))</f>
        <v>296784261.13999999</v>
      </c>
      <c r="G46" s="305">
        <f>262000-6000000+((665932900-12733230-496181500)-410000)</f>
        <v>150870170</v>
      </c>
      <c r="H46" s="305">
        <f>386000+(560000+(302720+2562+4500+2680+11682900+16400-1400000+1795700+67000+((28409070+505115+696000+1555400+9873130+1177895-1159227+6058967)+314737.33-3489794.54-2700000+662500-165000-635000+200000)+46000+977800-200000-200000+127228))</f>
        <v>55475282.789999999</v>
      </c>
      <c r="I46" s="305"/>
      <c r="J46" s="804">
        <f t="shared" si="26"/>
        <v>78354783.550000012</v>
      </c>
      <c r="K46" s="305">
        <f>349522.79+612796.87-224451+(900000+17667+343190+81373+13800-93500-250000+37800+1000000+32821-160000-33000-176100+40000+(4930406+10500+93500+12600+86900+274000-73565+69862+((548818+750000+750000+1000000+200000+750000+400000+2000000+3000000+1970000+500000+500000+50000+50000+300000+92450+1224076-1224076-1970000)+400000+17500+75000+42000+48000+1738790+1007090+500000+292490.88+49000+110000+78000+220000+250000+250000+49000+49000+1261682+92850.01+291970)))</f>
        <v>25609763.550000004</v>
      </c>
      <c r="L46" s="305">
        <f>-9400-8730-184120-5000-260450-55000-25750-8100-1500+894130+(450580+91432-275800-180000-28937-1405-2000-1070+(20260670+4446400+3714280+69930+22978640+1904840+107920+944650+28110+4600+143360-2848150)-16400)</f>
        <v>52127730</v>
      </c>
      <c r="M46" s="305">
        <f>-9400+(450580+(20260670-803420))</f>
        <v>19898430</v>
      </c>
      <c r="N46" s="305">
        <v>1838351.96</v>
      </c>
      <c r="O46" s="810">
        <f>-148110-52800+((K46+840800-39000)+16400)</f>
        <v>26227053.550000004</v>
      </c>
      <c r="P46" s="804">
        <f t="shared" si="27"/>
        <v>375139044.69</v>
      </c>
      <c r="Q46" s="192"/>
      <c r="R46" s="124" t="b">
        <f>K46='d6'!J33+'d6'!J35+'d6'!J36+'d6'!J37+'d6'!J38+'d6'!J40+'d6'!J41+'d6'!J42+'d6'!J43+'d6'!J44+'d6'!J45+'d6'!J46+'d6'!J47+'d6'!J48+'d6'!J49+'d6'!J50+'d6'!J51+'d6'!J52+'d6'!J39+'d6'!J54+'d6'!J55+'d6'!J56+'d6'!J57+'d6'!J58+'d6'!J59+'d6'!J60+'d6'!J61+'d6'!J64+'d6'!J65+'d6'!J34+'d6'!J53+'d6'!J62+'d6'!J63</f>
        <v>1</v>
      </c>
      <c r="T46" s="232"/>
    </row>
    <row r="47" spans="1:20" ht="276" thickTop="1" thickBot="1" x14ac:dyDescent="0.25">
      <c r="A47" s="808" t="s">
        <v>806</v>
      </c>
      <c r="B47" s="808" t="s">
        <v>807</v>
      </c>
      <c r="C47" s="808" t="s">
        <v>225</v>
      </c>
      <c r="D47" s="808" t="s">
        <v>543</v>
      </c>
      <c r="E47" s="804">
        <f t="shared" si="35"/>
        <v>22427332</v>
      </c>
      <c r="F47" s="305">
        <f>1717500+362100+12000+(1950+145500-2813600+(((21983082)+14000-38115-8385)+818000+193300+30000+10000))</f>
        <v>22427332</v>
      </c>
      <c r="G47" s="305">
        <f>1717500+(-150000-2178000+(((18140130-1420850)-38115)+818000))</f>
        <v>16888665</v>
      </c>
      <c r="H47" s="305">
        <f>12000+(161500-10000-6000+(((779700+14900+108615+22080-80427)+14000)+192900+400))</f>
        <v>1209668</v>
      </c>
      <c r="I47" s="305"/>
      <c r="J47" s="804">
        <f t="shared" si="26"/>
        <v>917353</v>
      </c>
      <c r="K47" s="305">
        <f>-29400+(-54288+((300000+100000+120000+38430+59425+30000-30000)+16386+314900))</f>
        <v>865453</v>
      </c>
      <c r="L47" s="305">
        <f>(10100+6900+2500+30600+1800)</f>
        <v>51900</v>
      </c>
      <c r="M47" s="305"/>
      <c r="N47" s="305">
        <f>(18600+800+10600+600)</f>
        <v>30600</v>
      </c>
      <c r="O47" s="810">
        <f>K47</f>
        <v>865453</v>
      </c>
      <c r="P47" s="804">
        <f t="shared" si="27"/>
        <v>23344685</v>
      </c>
      <c r="R47" s="348" t="b">
        <f>K47='d6'!J66+'d6'!J67</f>
        <v>1</v>
      </c>
    </row>
    <row r="48" spans="1:20" s="649" customFormat="1" ht="184.5" thickTop="1" thickBot="1" x14ac:dyDescent="0.25">
      <c r="A48" s="808" t="s">
        <v>1306</v>
      </c>
      <c r="B48" s="808" t="s">
        <v>1307</v>
      </c>
      <c r="C48" s="808" t="s">
        <v>225</v>
      </c>
      <c r="D48" s="808" t="s">
        <v>1308</v>
      </c>
      <c r="E48" s="804">
        <f t="shared" ref="E48" si="36">F48</f>
        <v>7604732.8200000003</v>
      </c>
      <c r="F48" s="305">
        <f>-750000-300000+(2676050+583050+393085+1755+12377+687450+1005+20870+3555+650+(1626992+355000+25000+1600+1764440+13500+293420+37415+137520+2985+28053.82-11040))</f>
        <v>7604732.8200000003</v>
      </c>
      <c r="G48" s="305">
        <f>-600000+(1626992+2676050)</f>
        <v>3703042</v>
      </c>
      <c r="H48" s="305">
        <f>687450+1005+20870+3555+(293420+37415+137520+2985)</f>
        <v>1184220</v>
      </c>
      <c r="I48" s="305"/>
      <c r="J48" s="804">
        <f t="shared" ref="J48" si="37">L48+O48</f>
        <v>0</v>
      </c>
      <c r="K48" s="305"/>
      <c r="L48" s="305"/>
      <c r="M48" s="305"/>
      <c r="N48" s="305"/>
      <c r="O48" s="810">
        <f>K48</f>
        <v>0</v>
      </c>
      <c r="P48" s="804">
        <f t="shared" ref="P48" si="38">E48+J48</f>
        <v>7604732.8200000003</v>
      </c>
      <c r="Q48" s="656"/>
      <c r="R48" s="348"/>
    </row>
    <row r="49" spans="1:18" s="79" customFormat="1" ht="138.75" thickTop="1" thickBot="1" x14ac:dyDescent="0.25">
      <c r="A49" s="345" t="s">
        <v>544</v>
      </c>
      <c r="B49" s="345" t="s">
        <v>223</v>
      </c>
      <c r="C49" s="345"/>
      <c r="D49" s="345" t="s">
        <v>814</v>
      </c>
      <c r="E49" s="347">
        <f>E50</f>
        <v>608795058</v>
      </c>
      <c r="F49" s="347">
        <f>F50</f>
        <v>608795058</v>
      </c>
      <c r="G49" s="347">
        <f t="shared" ref="G49:P49" si="39">G50</f>
        <v>496181500</v>
      </c>
      <c r="H49" s="347">
        <f t="shared" si="39"/>
        <v>0</v>
      </c>
      <c r="I49" s="347">
        <f t="shared" si="39"/>
        <v>0</v>
      </c>
      <c r="J49" s="347">
        <f t="shared" si="39"/>
        <v>0</v>
      </c>
      <c r="K49" s="347">
        <f t="shared" si="39"/>
        <v>0</v>
      </c>
      <c r="L49" s="347">
        <f t="shared" si="39"/>
        <v>0</v>
      </c>
      <c r="M49" s="347">
        <f t="shared" si="39"/>
        <v>0</v>
      </c>
      <c r="N49" s="347">
        <f t="shared" si="39"/>
        <v>0</v>
      </c>
      <c r="O49" s="347">
        <f t="shared" si="39"/>
        <v>0</v>
      </c>
      <c r="P49" s="347">
        <f t="shared" si="39"/>
        <v>608795058</v>
      </c>
      <c r="Q49" s="366"/>
      <c r="R49" s="384"/>
    </row>
    <row r="50" spans="1:18" s="328" customFormat="1" ht="138.75" thickTop="1" thickBot="1" x14ac:dyDescent="0.25">
      <c r="A50" s="808" t="s">
        <v>815</v>
      </c>
      <c r="B50" s="808" t="s">
        <v>816</v>
      </c>
      <c r="C50" s="808" t="s">
        <v>222</v>
      </c>
      <c r="D50" s="808" t="s">
        <v>798</v>
      </c>
      <c r="E50" s="804">
        <f t="shared" ref="E50" si="40">F50</f>
        <v>608795058</v>
      </c>
      <c r="F50" s="305">
        <v>608795058</v>
      </c>
      <c r="G50" s="305">
        <v>496181500</v>
      </c>
      <c r="H50" s="305"/>
      <c r="I50" s="305"/>
      <c r="J50" s="804">
        <f t="shared" ref="J50" si="41">L50+O50</f>
        <v>0</v>
      </c>
      <c r="K50" s="305"/>
      <c r="L50" s="305"/>
      <c r="M50" s="305"/>
      <c r="N50" s="305"/>
      <c r="O50" s="810">
        <f>K50</f>
        <v>0</v>
      </c>
      <c r="P50" s="804">
        <f t="shared" ref="P50:P53" si="42">E50+J50</f>
        <v>608795058</v>
      </c>
      <c r="Q50" s="331"/>
      <c r="R50" s="188"/>
    </row>
    <row r="51" spans="1:18" s="533" customFormat="1" ht="409.6" thickTop="1" x14ac:dyDescent="0.65">
      <c r="A51" s="999" t="s">
        <v>1157</v>
      </c>
      <c r="B51" s="999" t="s">
        <v>52</v>
      </c>
      <c r="C51" s="999"/>
      <c r="D51" s="542" t="s">
        <v>1160</v>
      </c>
      <c r="E51" s="986">
        <f t="shared" ref="E51:O51" si="43">E53</f>
        <v>0</v>
      </c>
      <c r="F51" s="986">
        <f t="shared" si="43"/>
        <v>0</v>
      </c>
      <c r="G51" s="986">
        <f t="shared" si="43"/>
        <v>0</v>
      </c>
      <c r="H51" s="986">
        <f t="shared" si="43"/>
        <v>0</v>
      </c>
      <c r="I51" s="986">
        <f t="shared" si="43"/>
        <v>0</v>
      </c>
      <c r="J51" s="986">
        <f t="shared" si="43"/>
        <v>6197509.9900000002</v>
      </c>
      <c r="K51" s="986">
        <f t="shared" si="43"/>
        <v>6197509.9900000002</v>
      </c>
      <c r="L51" s="986">
        <f t="shared" si="43"/>
        <v>0</v>
      </c>
      <c r="M51" s="986">
        <f t="shared" si="43"/>
        <v>0</v>
      </c>
      <c r="N51" s="986">
        <f t="shared" si="43"/>
        <v>0</v>
      </c>
      <c r="O51" s="986">
        <f t="shared" si="43"/>
        <v>6197509.9900000002</v>
      </c>
      <c r="P51" s="986">
        <f>E51+J51</f>
        <v>6197509.9900000002</v>
      </c>
      <c r="Q51" s="541"/>
      <c r="R51" s="188"/>
    </row>
    <row r="52" spans="1:18" s="533" customFormat="1" ht="183.75" thickBot="1" x14ac:dyDescent="0.25">
      <c r="A52" s="968"/>
      <c r="B52" s="968"/>
      <c r="C52" s="968"/>
      <c r="D52" s="543" t="s">
        <v>1161</v>
      </c>
      <c r="E52" s="968"/>
      <c r="F52" s="968"/>
      <c r="G52" s="968"/>
      <c r="H52" s="968"/>
      <c r="I52" s="968"/>
      <c r="J52" s="968"/>
      <c r="K52" s="968"/>
      <c r="L52" s="968"/>
      <c r="M52" s="968"/>
      <c r="N52" s="968"/>
      <c r="O52" s="968"/>
      <c r="P52" s="968"/>
      <c r="Q52" s="541"/>
      <c r="R52" s="188"/>
    </row>
    <row r="53" spans="1:18" s="533" customFormat="1" ht="138.75" thickTop="1" thickBot="1" x14ac:dyDescent="0.25">
      <c r="A53" s="808" t="s">
        <v>1158</v>
      </c>
      <c r="B53" s="808" t="s">
        <v>1159</v>
      </c>
      <c r="C53" s="808" t="s">
        <v>222</v>
      </c>
      <c r="D53" s="808" t="s">
        <v>1162</v>
      </c>
      <c r="E53" s="804">
        <f t="shared" ref="E53" si="44">F53</f>
        <v>0</v>
      </c>
      <c r="F53" s="305"/>
      <c r="G53" s="305"/>
      <c r="H53" s="305"/>
      <c r="I53" s="305"/>
      <c r="J53" s="804">
        <f t="shared" ref="J53" si="45">L53+O53</f>
        <v>6197509.9900000002</v>
      </c>
      <c r="K53" s="305">
        <f>700000+700000+2000000+700000+500000+107149.99+400000+400000+690360</f>
        <v>6197509.9900000002</v>
      </c>
      <c r="L53" s="305"/>
      <c r="M53" s="305"/>
      <c r="N53" s="305"/>
      <c r="O53" s="810">
        <f>K53</f>
        <v>6197509.9900000002</v>
      </c>
      <c r="P53" s="804">
        <f t="shared" si="42"/>
        <v>6197509.9900000002</v>
      </c>
      <c r="Q53" s="541"/>
      <c r="R53" s="124" t="b">
        <f>K53='d6'!J68+'d6'!J69+'d6'!J70+'d6'!J71+'d6'!J72+'d6'!J73+'d6'!J74+'d6'!J75+'d6'!J76</f>
        <v>1</v>
      </c>
    </row>
    <row r="54" spans="1:18" ht="184.5" thickTop="1" thickBot="1" x14ac:dyDescent="0.25">
      <c r="A54" s="808" t="s">
        <v>817</v>
      </c>
      <c r="B54" s="808" t="s">
        <v>224</v>
      </c>
      <c r="C54" s="808" t="s">
        <v>199</v>
      </c>
      <c r="D54" s="808" t="s">
        <v>545</v>
      </c>
      <c r="E54" s="804">
        <f t="shared" si="35"/>
        <v>32384358</v>
      </c>
      <c r="F54" s="305">
        <f>58400+(120300+150000+(-6110-60810-321070-159054-1511+370725-1070000+(36000-31000+198000+43600+210+3420+16600+3720+(((27590745+205730+10500+221500+130820+1620460+33365+388480+37100+8875+121133)+56500+75000+918750+1201665+264366+22418+49800+391485+31000+93850+328696)-542300-257700+30700))))</f>
        <v>32384358</v>
      </c>
      <c r="G54" s="305">
        <f>120300+(-890000+((((22671115)+1201665)-542300)+198000))</f>
        <v>22758780</v>
      </c>
      <c r="H54" s="305">
        <f>58400+(150000+(459700-100000+9525+1500+((((1620460+33365+388480+37100)+56500)+30700)+210+3420+16600)))</f>
        <v>2765960</v>
      </c>
      <c r="I54" s="305"/>
      <c r="J54" s="804">
        <f t="shared" si="26"/>
        <v>7068644</v>
      </c>
      <c r="K54" s="305">
        <f>-60256+(-87345-1000000+(-352450+31000+((761045)+177100+2000000)))</f>
        <v>1469094</v>
      </c>
      <c r="L54" s="305">
        <f>(1398310+307720+983700+48960+1732500+659140+33260+245150+4900+64910)</f>
        <v>5478550</v>
      </c>
      <c r="M54" s="305">
        <v>1398310</v>
      </c>
      <c r="N54" s="305">
        <f>(14930+1030+228040+1150)+74960</f>
        <v>320110</v>
      </c>
      <c r="O54" s="810">
        <f>K54+121000</f>
        <v>1590094</v>
      </c>
      <c r="P54" s="804">
        <f t="shared" si="27"/>
        <v>39453002</v>
      </c>
      <c r="R54" s="124" t="b">
        <f>K54='d6'!J77+'d6'!J78</f>
        <v>1</v>
      </c>
    </row>
    <row r="55" spans="1:18" s="79" customFormat="1" ht="184.5" thickTop="1" thickBot="1" x14ac:dyDescent="0.25">
      <c r="A55" s="345" t="s">
        <v>226</v>
      </c>
      <c r="B55" s="345" t="s">
        <v>209</v>
      </c>
      <c r="C55" s="345"/>
      <c r="D55" s="345" t="s">
        <v>547</v>
      </c>
      <c r="E55" s="347">
        <f>E56+E57</f>
        <v>129410930.33</v>
      </c>
      <c r="F55" s="347">
        <f t="shared" ref="F55:O55" si="46">F56+F57</f>
        <v>129410930.33</v>
      </c>
      <c r="G55" s="347">
        <f t="shared" si="46"/>
        <v>79071648.469999999</v>
      </c>
      <c r="H55" s="347">
        <f t="shared" si="46"/>
        <v>14249550</v>
      </c>
      <c r="I55" s="347">
        <f t="shared" si="46"/>
        <v>0</v>
      </c>
      <c r="J55" s="347">
        <f t="shared" si="46"/>
        <v>26215591</v>
      </c>
      <c r="K55" s="347">
        <f t="shared" si="46"/>
        <v>2106717</v>
      </c>
      <c r="L55" s="347">
        <f t="shared" si="46"/>
        <v>23888874</v>
      </c>
      <c r="M55" s="347">
        <f t="shared" si="46"/>
        <v>7659590</v>
      </c>
      <c r="N55" s="347">
        <f t="shared" si="46"/>
        <v>8619380</v>
      </c>
      <c r="O55" s="347">
        <f t="shared" si="46"/>
        <v>2326717</v>
      </c>
      <c r="P55" s="347">
        <f t="shared" si="27"/>
        <v>155626521.32999998</v>
      </c>
      <c r="Q55" s="366"/>
      <c r="R55" s="384"/>
    </row>
    <row r="56" spans="1:18" ht="230.25" thickTop="1" thickBot="1" x14ac:dyDescent="0.25">
      <c r="A56" s="808" t="s">
        <v>818</v>
      </c>
      <c r="B56" s="808" t="s">
        <v>819</v>
      </c>
      <c r="C56" s="808" t="s">
        <v>227</v>
      </c>
      <c r="D56" s="808" t="s">
        <v>820</v>
      </c>
      <c r="E56" s="804">
        <f t="shared" si="35"/>
        <v>111639830.33</v>
      </c>
      <c r="F56" s="305">
        <f>37.34+115900+(4610-9290-1145000-80000-205500+(49000-500000-500000+3200000-19200+138400-4000+5030340+1339000+(((99149586)+227750+30185+47050+160945+1806575+765263-2155895.53-398189.48-455467-6740-34278-840305)+4460413+788636+680005)))</f>
        <v>111639830.33</v>
      </c>
      <c r="G56" s="305">
        <f>5030340+(((71786791-14686900)-2155895.53)+4460413)</f>
        <v>64434748.469999999</v>
      </c>
      <c r="H56" s="305">
        <f>-205500+(3200000-19200+138400-4000+((6850730+76600+19000+3448900+561100)-455467-6740-34278)+680005)</f>
        <v>14249550</v>
      </c>
      <c r="I56" s="305"/>
      <c r="J56" s="804">
        <f>L56+O56</f>
        <v>26215591</v>
      </c>
      <c r="K56" s="305">
        <f>49000+9500+(20000+(300000+(1170637+15000+542580)))</f>
        <v>2106717</v>
      </c>
      <c r="L56" s="305">
        <f>10000+500-20000-22000-12000-6000+237000+21500+45300+605000+216880+275000+20000+13600+530000+79500+((((6797480+1421290+1203730+12000+1235200+849000+70500+6568900+81500+2101880+60940+71000)+95000)+332110+74064)+320000+300000+290290+9710)</f>
        <v>23888874</v>
      </c>
      <c r="M56" s="305">
        <f>530000+((6797480)+332110)</f>
        <v>7659590</v>
      </c>
      <c r="N56" s="305">
        <f>605000+216880+275000+20000+13600+(3761200+749500+1883100+35000+140100)+320000+300000+290290+9710</f>
        <v>8619380</v>
      </c>
      <c r="O56" s="810">
        <f>60000+(K56+160000)</f>
        <v>2326717</v>
      </c>
      <c r="P56" s="804">
        <f t="shared" si="27"/>
        <v>137855421.32999998</v>
      </c>
      <c r="R56" s="124" t="b">
        <f>K56='d6'!J79+'d6'!J80+'d6'!J81+'d6'!J82</f>
        <v>1</v>
      </c>
    </row>
    <row r="57" spans="1:18" s="328" customFormat="1" ht="230.25" thickTop="1" thickBot="1" x14ac:dyDescent="0.25">
      <c r="A57" s="808" t="s">
        <v>822</v>
      </c>
      <c r="B57" s="808" t="s">
        <v>821</v>
      </c>
      <c r="C57" s="808" t="s">
        <v>227</v>
      </c>
      <c r="D57" s="808" t="s">
        <v>823</v>
      </c>
      <c r="E57" s="804">
        <f t="shared" ref="E57" si="47">F57</f>
        <v>17771100</v>
      </c>
      <c r="F57" s="305">
        <v>17771100</v>
      </c>
      <c r="G57" s="305">
        <f>(14686900)-50000</f>
        <v>14636900</v>
      </c>
      <c r="H57" s="305"/>
      <c r="I57" s="305"/>
      <c r="J57" s="804">
        <f>L57+O57</f>
        <v>0</v>
      </c>
      <c r="K57" s="305"/>
      <c r="L57" s="305"/>
      <c r="M57" s="305"/>
      <c r="N57" s="305"/>
      <c r="O57" s="810"/>
      <c r="P57" s="804">
        <f t="shared" ref="P57" si="48">E57+J57</f>
        <v>17771100</v>
      </c>
      <c r="Q57" s="331"/>
      <c r="R57" s="188"/>
    </row>
    <row r="58" spans="1:18" s="79" customFormat="1" ht="93" thickTop="1" thickBot="1" x14ac:dyDescent="0.25">
      <c r="A58" s="345" t="s">
        <v>825</v>
      </c>
      <c r="B58" s="345" t="s">
        <v>824</v>
      </c>
      <c r="C58" s="345"/>
      <c r="D58" s="345" t="s">
        <v>826</v>
      </c>
      <c r="E58" s="347">
        <f>E59+E60</f>
        <v>27067782</v>
      </c>
      <c r="F58" s="347">
        <f t="shared" ref="F58:O58" si="49">F59+F60</f>
        <v>27067782</v>
      </c>
      <c r="G58" s="347">
        <f t="shared" si="49"/>
        <v>19676062</v>
      </c>
      <c r="H58" s="347">
        <f t="shared" si="49"/>
        <v>988365</v>
      </c>
      <c r="I58" s="347">
        <f t="shared" si="49"/>
        <v>0</v>
      </c>
      <c r="J58" s="347">
        <f t="shared" si="49"/>
        <v>414600</v>
      </c>
      <c r="K58" s="347">
        <f t="shared" si="49"/>
        <v>0</v>
      </c>
      <c r="L58" s="347">
        <f t="shared" si="49"/>
        <v>414600</v>
      </c>
      <c r="M58" s="347">
        <f t="shared" si="49"/>
        <v>192420</v>
      </c>
      <c r="N58" s="347">
        <f t="shared" si="49"/>
        <v>58240</v>
      </c>
      <c r="O58" s="347">
        <f t="shared" si="49"/>
        <v>0</v>
      </c>
      <c r="P58" s="347">
        <f>E58+J58</f>
        <v>27482382</v>
      </c>
      <c r="Q58" s="366"/>
      <c r="R58" s="384"/>
    </row>
    <row r="59" spans="1:18" s="328" customFormat="1" ht="93" thickTop="1" thickBot="1" x14ac:dyDescent="0.25">
      <c r="A59" s="808" t="s">
        <v>827</v>
      </c>
      <c r="B59" s="808" t="s">
        <v>828</v>
      </c>
      <c r="C59" s="808" t="s">
        <v>228</v>
      </c>
      <c r="D59" s="808" t="s">
        <v>548</v>
      </c>
      <c r="E59" s="804">
        <f>F59</f>
        <v>26860542</v>
      </c>
      <c r="F59" s="305">
        <f>452100+(7000-20000+145610-1815000+(((27876650+503000+1370+1193900+45500+638560+11800+2700+192610+15890+5070+2700+300+50000-2996350)+53000+151800+63100+20000)+97700+95700+29200+25000+11632))</f>
        <v>26860542</v>
      </c>
      <c r="G59" s="305">
        <f>387400+(-1380000+(22849710-2181048))</f>
        <v>19676062</v>
      </c>
      <c r="H59" s="305">
        <f>4940+(141300+2110+2200+((638560+11800+2700+192610+15890-174445)+53000)+17000+2600+77000+1100)</f>
        <v>988365</v>
      </c>
      <c r="I59" s="305"/>
      <c r="J59" s="804">
        <f>L59+O59</f>
        <v>414600</v>
      </c>
      <c r="K59" s="305"/>
      <c r="L59" s="305">
        <f>(192420+42340+66010+2500+46010+1210+51910+3000+9200)</f>
        <v>414600</v>
      </c>
      <c r="M59" s="305">
        <v>192420</v>
      </c>
      <c r="N59" s="305">
        <v>58240</v>
      </c>
      <c r="O59" s="810">
        <f>K59</f>
        <v>0</v>
      </c>
      <c r="P59" s="804">
        <f>E59+J59</f>
        <v>27275142</v>
      </c>
      <c r="Q59" s="331"/>
      <c r="R59" s="188"/>
    </row>
    <row r="60" spans="1:18" s="328" customFormat="1" ht="93" thickTop="1" thickBot="1" x14ac:dyDescent="0.25">
      <c r="A60" s="808" t="s">
        <v>829</v>
      </c>
      <c r="B60" s="808" t="s">
        <v>830</v>
      </c>
      <c r="C60" s="808" t="s">
        <v>228</v>
      </c>
      <c r="D60" s="808" t="s">
        <v>362</v>
      </c>
      <c r="E60" s="804">
        <f>F60</f>
        <v>207240</v>
      </c>
      <c r="F60" s="305">
        <f>(200000)+7240</f>
        <v>207240</v>
      </c>
      <c r="G60" s="305"/>
      <c r="H60" s="305"/>
      <c r="I60" s="305"/>
      <c r="J60" s="804">
        <f>L60+O60</f>
        <v>0</v>
      </c>
      <c r="K60" s="305"/>
      <c r="L60" s="305"/>
      <c r="M60" s="305"/>
      <c r="N60" s="305"/>
      <c r="O60" s="810">
        <f>K60</f>
        <v>0</v>
      </c>
      <c r="P60" s="804">
        <f>E60+J60</f>
        <v>207240</v>
      </c>
      <c r="Q60" s="331"/>
      <c r="R60" s="188"/>
    </row>
    <row r="61" spans="1:18" s="79" customFormat="1" ht="93" thickTop="1" thickBot="1" x14ac:dyDescent="0.25">
      <c r="A61" s="345" t="s">
        <v>831</v>
      </c>
      <c r="B61" s="345" t="s">
        <v>832</v>
      </c>
      <c r="C61" s="345"/>
      <c r="D61" s="345" t="s">
        <v>459</v>
      </c>
      <c r="E61" s="347">
        <f>E62+E63</f>
        <v>4964785</v>
      </c>
      <c r="F61" s="347">
        <f>F62+F63</f>
        <v>4964785</v>
      </c>
      <c r="G61" s="347">
        <f t="shared" ref="G61:O61" si="50">G62+G63</f>
        <v>3741490</v>
      </c>
      <c r="H61" s="347">
        <f t="shared" si="50"/>
        <v>47755</v>
      </c>
      <c r="I61" s="347">
        <f t="shared" si="50"/>
        <v>0</v>
      </c>
      <c r="J61" s="347">
        <f t="shared" si="50"/>
        <v>50000</v>
      </c>
      <c r="K61" s="347">
        <f t="shared" si="50"/>
        <v>50000</v>
      </c>
      <c r="L61" s="347">
        <f t="shared" si="50"/>
        <v>0</v>
      </c>
      <c r="M61" s="347">
        <f t="shared" si="50"/>
        <v>0</v>
      </c>
      <c r="N61" s="347">
        <f t="shared" si="50"/>
        <v>0</v>
      </c>
      <c r="O61" s="347">
        <f t="shared" si="50"/>
        <v>50000</v>
      </c>
      <c r="P61" s="347">
        <f>E61+J61</f>
        <v>5014785</v>
      </c>
      <c r="Q61" s="366"/>
      <c r="R61" s="384"/>
    </row>
    <row r="62" spans="1:18" s="328" customFormat="1" ht="184.5" thickTop="1" thickBot="1" x14ac:dyDescent="0.25">
      <c r="A62" s="808" t="s">
        <v>833</v>
      </c>
      <c r="B62" s="808" t="s">
        <v>834</v>
      </c>
      <c r="C62" s="808" t="s">
        <v>228</v>
      </c>
      <c r="D62" s="808" t="s">
        <v>835</v>
      </c>
      <c r="E62" s="804">
        <f>F62</f>
        <v>1077985</v>
      </c>
      <c r="F62" s="305">
        <f>-40000+(55000+12300+(-97000+((708190+179200+39200+15020+76200+1430+6000+4125+2320)+116000)))</f>
        <v>1077985</v>
      </c>
      <c r="G62" s="305">
        <f>55000+(-80000+(580490))</f>
        <v>555490</v>
      </c>
      <c r="H62" s="305">
        <f>-40000+((76200+1430+6000+4125))</f>
        <v>47755</v>
      </c>
      <c r="I62" s="305"/>
      <c r="J62" s="804">
        <f>L62+O62</f>
        <v>50000</v>
      </c>
      <c r="K62" s="305">
        <v>50000</v>
      </c>
      <c r="L62" s="305"/>
      <c r="M62" s="305"/>
      <c r="N62" s="305"/>
      <c r="O62" s="810">
        <f>K62</f>
        <v>50000</v>
      </c>
      <c r="P62" s="804">
        <f>E62+J62</f>
        <v>1127985</v>
      </c>
      <c r="Q62" s="331"/>
      <c r="R62" s="124" t="b">
        <f>K62='d6'!J83</f>
        <v>1</v>
      </c>
    </row>
    <row r="63" spans="1:18" s="328" customFormat="1" ht="138.75" thickTop="1" thickBot="1" x14ac:dyDescent="0.25">
      <c r="A63" s="808" t="s">
        <v>836</v>
      </c>
      <c r="B63" s="808" t="s">
        <v>837</v>
      </c>
      <c r="C63" s="808" t="s">
        <v>228</v>
      </c>
      <c r="D63" s="808" t="s">
        <v>838</v>
      </c>
      <c r="E63" s="804">
        <f>F63</f>
        <v>3886800</v>
      </c>
      <c r="F63" s="305">
        <f>(3886800)</f>
        <v>3886800</v>
      </c>
      <c r="G63" s="305">
        <f>(3186000)</f>
        <v>3186000</v>
      </c>
      <c r="H63" s="305"/>
      <c r="I63" s="305"/>
      <c r="J63" s="804">
        <f t="shared" ref="J63" si="51">L63+O63</f>
        <v>0</v>
      </c>
      <c r="K63" s="305"/>
      <c r="L63" s="305"/>
      <c r="M63" s="305"/>
      <c r="N63" s="305"/>
      <c r="O63" s="810">
        <f t="shared" ref="O63" si="52">K63</f>
        <v>0</v>
      </c>
      <c r="P63" s="804">
        <f t="shared" ref="P63" si="53">E63+J63</f>
        <v>3886800</v>
      </c>
      <c r="Q63" s="331"/>
      <c r="R63" s="188"/>
    </row>
    <row r="64" spans="1:18" s="324" customFormat="1" ht="138.75" thickTop="1" thickBot="1" x14ac:dyDescent="0.25">
      <c r="A64" s="808" t="s">
        <v>803</v>
      </c>
      <c r="B64" s="808" t="s">
        <v>804</v>
      </c>
      <c r="C64" s="808" t="s">
        <v>228</v>
      </c>
      <c r="D64" s="808" t="s">
        <v>805</v>
      </c>
      <c r="E64" s="804">
        <f t="shared" ref="E64" si="54">F64</f>
        <v>1282865</v>
      </c>
      <c r="F64" s="305">
        <f>-82750+(-485000+(-209800+((2996350)-692000-152240-80795-2000-8900)))</f>
        <v>1282865</v>
      </c>
      <c r="G64" s="305">
        <f>-400000+(-172000+((2181048)-692000))</f>
        <v>917048</v>
      </c>
      <c r="H64" s="305">
        <f>-82750+((174445)-80795-2000-8900)</f>
        <v>0</v>
      </c>
      <c r="I64" s="305"/>
      <c r="J64" s="804">
        <f t="shared" ref="J64" si="55">L64+O64</f>
        <v>50000</v>
      </c>
      <c r="K64" s="305">
        <v>50000</v>
      </c>
      <c r="L64" s="305"/>
      <c r="M64" s="305"/>
      <c r="N64" s="305"/>
      <c r="O64" s="810">
        <f t="shared" ref="O64" si="56">K64</f>
        <v>50000</v>
      </c>
      <c r="P64" s="804">
        <f t="shared" ref="P64" si="57">E64+J64</f>
        <v>1332865</v>
      </c>
      <c r="Q64" s="327"/>
      <c r="R64" s="124" t="b">
        <f>K64='d6'!J84</f>
        <v>1</v>
      </c>
    </row>
    <row r="65" spans="1:18" s="39" customFormat="1" ht="230.25" thickTop="1" thickBot="1" x14ac:dyDescent="0.25">
      <c r="A65" s="345" t="s">
        <v>808</v>
      </c>
      <c r="B65" s="345" t="s">
        <v>809</v>
      </c>
      <c r="C65" s="345"/>
      <c r="D65" s="345" t="s">
        <v>810</v>
      </c>
      <c r="E65" s="347">
        <f t="shared" ref="E65:E78" si="58">F65</f>
        <v>9043301</v>
      </c>
      <c r="F65" s="347">
        <f>SUM(F66:F67)</f>
        <v>9043301</v>
      </c>
      <c r="G65" s="347">
        <f t="shared" ref="G65:I65" si="59">SUM(G66:G67)</f>
        <v>0</v>
      </c>
      <c r="H65" s="347">
        <f t="shared" si="59"/>
        <v>0</v>
      </c>
      <c r="I65" s="347">
        <f t="shared" si="59"/>
        <v>0</v>
      </c>
      <c r="J65" s="347">
        <f t="shared" si="26"/>
        <v>3500200</v>
      </c>
      <c r="K65" s="347">
        <f>SUM(K66:K67)</f>
        <v>3500200</v>
      </c>
      <c r="L65" s="347">
        <f t="shared" ref="L65:N65" si="60">SUM(L66:L67)</f>
        <v>0</v>
      </c>
      <c r="M65" s="347">
        <f t="shared" si="60"/>
        <v>0</v>
      </c>
      <c r="N65" s="347">
        <f t="shared" si="60"/>
        <v>0</v>
      </c>
      <c r="O65" s="347">
        <f>SUM(O66:O67)</f>
        <v>3500200</v>
      </c>
      <c r="P65" s="347">
        <f t="shared" ref="P65:P70" si="61">E65+J65</f>
        <v>12543501</v>
      </c>
      <c r="Q65" s="191"/>
      <c r="R65" s="48"/>
    </row>
    <row r="66" spans="1:18" s="39" customFormat="1" ht="367.5" thickTop="1" thickBot="1" x14ac:dyDescent="0.25">
      <c r="A66" s="808" t="s">
        <v>811</v>
      </c>
      <c r="B66" s="808" t="s">
        <v>812</v>
      </c>
      <c r="C66" s="808" t="s">
        <v>228</v>
      </c>
      <c r="D66" s="808" t="s">
        <v>813</v>
      </c>
      <c r="E66" s="804">
        <f t="shared" si="58"/>
        <v>4362735</v>
      </c>
      <c r="F66" s="305">
        <f>(2300000+600000)+1462735</f>
        <v>4362735</v>
      </c>
      <c r="G66" s="305"/>
      <c r="H66" s="305"/>
      <c r="I66" s="305"/>
      <c r="J66" s="804">
        <f t="shared" si="26"/>
        <v>2117071</v>
      </c>
      <c r="K66" s="305">
        <f>117071+(2000000)</f>
        <v>2117071</v>
      </c>
      <c r="L66" s="305"/>
      <c r="M66" s="305"/>
      <c r="N66" s="305"/>
      <c r="O66" s="810">
        <f t="shared" ref="O66:O67" si="62">K66</f>
        <v>2117071</v>
      </c>
      <c r="P66" s="804">
        <f t="shared" si="61"/>
        <v>6479806</v>
      </c>
      <c r="Q66" s="191"/>
      <c r="R66" s="124" t="b">
        <f>K66='d6'!J85</f>
        <v>1</v>
      </c>
    </row>
    <row r="67" spans="1:18" s="39" customFormat="1" ht="367.5" thickTop="1" thickBot="1" x14ac:dyDescent="0.25">
      <c r="A67" s="808" t="s">
        <v>1279</v>
      </c>
      <c r="B67" s="808" t="s">
        <v>1280</v>
      </c>
      <c r="C67" s="808" t="s">
        <v>228</v>
      </c>
      <c r="D67" s="808" t="s">
        <v>1281</v>
      </c>
      <c r="E67" s="804">
        <f t="shared" si="58"/>
        <v>4680566</v>
      </c>
      <c r="F67" s="305">
        <v>4680566</v>
      </c>
      <c r="G67" s="305"/>
      <c r="H67" s="305"/>
      <c r="I67" s="305"/>
      <c r="J67" s="804">
        <f t="shared" si="26"/>
        <v>1383129</v>
      </c>
      <c r="K67" s="305">
        <v>1383129</v>
      </c>
      <c r="L67" s="305"/>
      <c r="M67" s="305"/>
      <c r="N67" s="305"/>
      <c r="O67" s="810">
        <f t="shared" si="62"/>
        <v>1383129</v>
      </c>
      <c r="P67" s="804">
        <f t="shared" si="61"/>
        <v>6063695</v>
      </c>
      <c r="Q67" s="191"/>
      <c r="R67" s="124" t="b">
        <f>K67='d6'!J86</f>
        <v>1</v>
      </c>
    </row>
    <row r="68" spans="1:18" s="39" customFormat="1" ht="409.6" hidden="1" thickTop="1" thickBot="1" x14ac:dyDescent="0.25">
      <c r="A68" s="819" t="s">
        <v>1309</v>
      </c>
      <c r="B68" s="819" t="s">
        <v>1311</v>
      </c>
      <c r="C68" s="819"/>
      <c r="D68" s="819" t="s">
        <v>1313</v>
      </c>
      <c r="E68" s="817">
        <f>E69+E70</f>
        <v>0</v>
      </c>
      <c r="F68" s="817">
        <f>F69+F70</f>
        <v>0</v>
      </c>
      <c r="G68" s="817">
        <f t="shared" ref="G68:I68" si="63">G69+G70</f>
        <v>0</v>
      </c>
      <c r="H68" s="817">
        <f t="shared" si="63"/>
        <v>0</v>
      </c>
      <c r="I68" s="817">
        <f t="shared" si="63"/>
        <v>0</v>
      </c>
      <c r="J68" s="817">
        <f>L68+O68</f>
        <v>0</v>
      </c>
      <c r="K68" s="817">
        <f t="shared" ref="K68:O68" si="64">K69+K70</f>
        <v>0</v>
      </c>
      <c r="L68" s="817">
        <f t="shared" si="64"/>
        <v>0</v>
      </c>
      <c r="M68" s="817">
        <f t="shared" si="64"/>
        <v>0</v>
      </c>
      <c r="N68" s="817">
        <f t="shared" si="64"/>
        <v>0</v>
      </c>
      <c r="O68" s="817">
        <f t="shared" si="64"/>
        <v>0</v>
      </c>
      <c r="P68" s="817">
        <f t="shared" si="61"/>
        <v>0</v>
      </c>
      <c r="Q68" s="191"/>
      <c r="R68" s="124"/>
    </row>
    <row r="69" spans="1:18" s="39" customFormat="1" ht="409.6" hidden="1" thickTop="1" thickBot="1" x14ac:dyDescent="0.25">
      <c r="A69" s="814" t="s">
        <v>1310</v>
      </c>
      <c r="B69" s="814" t="s">
        <v>1312</v>
      </c>
      <c r="C69" s="814" t="s">
        <v>228</v>
      </c>
      <c r="D69" s="814" t="s">
        <v>1314</v>
      </c>
      <c r="E69" s="813">
        <f t="shared" ref="E69" si="65">F69</f>
        <v>0</v>
      </c>
      <c r="F69" s="818"/>
      <c r="G69" s="818"/>
      <c r="H69" s="818"/>
      <c r="I69" s="818"/>
      <c r="J69" s="813">
        <f t="shared" ref="J69" si="66">L69+O69</f>
        <v>0</v>
      </c>
      <c r="K69" s="818">
        <f>4547046.18-4547046.18</f>
        <v>0</v>
      </c>
      <c r="L69" s="818"/>
      <c r="M69" s="818"/>
      <c r="N69" s="818"/>
      <c r="O69" s="816">
        <f t="shared" ref="O69" si="67">K69</f>
        <v>0</v>
      </c>
      <c r="P69" s="813">
        <f t="shared" si="61"/>
        <v>0</v>
      </c>
      <c r="Q69" s="191"/>
      <c r="R69" s="124" t="b">
        <f>K69='d6'!J87</f>
        <v>1</v>
      </c>
    </row>
    <row r="70" spans="1:18" s="39" customFormat="1" ht="312" hidden="1" customHeight="1" thickTop="1" x14ac:dyDescent="0.2">
      <c r="A70" s="995" t="s">
        <v>1337</v>
      </c>
      <c r="B70" s="995" t="s">
        <v>1338</v>
      </c>
      <c r="C70" s="995" t="s">
        <v>228</v>
      </c>
      <c r="D70" s="995" t="s">
        <v>1339</v>
      </c>
      <c r="E70" s="979">
        <f t="shared" ref="E70" si="68">F70</f>
        <v>0</v>
      </c>
      <c r="F70" s="979"/>
      <c r="G70" s="979"/>
      <c r="H70" s="979"/>
      <c r="I70" s="979"/>
      <c r="J70" s="979">
        <f t="shared" ref="J70" si="69">L70+O70</f>
        <v>0</v>
      </c>
      <c r="K70" s="981">
        <f>10623233.82-10623233.82</f>
        <v>0</v>
      </c>
      <c r="L70" s="979"/>
      <c r="M70" s="979"/>
      <c r="N70" s="979"/>
      <c r="O70" s="981">
        <f t="shared" ref="O70" si="70">K70</f>
        <v>0</v>
      </c>
      <c r="P70" s="979">
        <f t="shared" si="61"/>
        <v>0</v>
      </c>
      <c r="Q70" s="191"/>
      <c r="R70" s="124" t="b">
        <f>K70='d6'!J88</f>
        <v>1</v>
      </c>
    </row>
    <row r="71" spans="1:18" s="39" customFormat="1" ht="195" hidden="1" customHeight="1" thickBot="1" x14ac:dyDescent="0.25">
      <c r="A71" s="980"/>
      <c r="B71" s="980"/>
      <c r="C71" s="980"/>
      <c r="D71" s="980"/>
      <c r="E71" s="980"/>
      <c r="F71" s="980"/>
      <c r="G71" s="980"/>
      <c r="H71" s="980"/>
      <c r="I71" s="980"/>
      <c r="J71" s="980"/>
      <c r="K71" s="982"/>
      <c r="L71" s="980"/>
      <c r="M71" s="980"/>
      <c r="N71" s="980"/>
      <c r="O71" s="982"/>
      <c r="P71" s="980"/>
      <c r="Q71" s="191"/>
      <c r="R71" s="124"/>
    </row>
    <row r="72" spans="1:18" s="39" customFormat="1" ht="321.75" thickTop="1" thickBot="1" x14ac:dyDescent="0.25">
      <c r="A72" s="808" t="s">
        <v>800</v>
      </c>
      <c r="B72" s="808" t="s">
        <v>801</v>
      </c>
      <c r="C72" s="808" t="s">
        <v>228</v>
      </c>
      <c r="D72" s="808" t="s">
        <v>802</v>
      </c>
      <c r="E72" s="804">
        <f t="shared" si="58"/>
        <v>4721984</v>
      </c>
      <c r="F72" s="305">
        <f>4721984</f>
        <v>4721984</v>
      </c>
      <c r="G72" s="305">
        <f>(1855198+1937278)</f>
        <v>3792476</v>
      </c>
      <c r="H72" s="305"/>
      <c r="I72" s="305"/>
      <c r="J72" s="804">
        <f t="shared" ref="J72" si="71">L72+O72</f>
        <v>2396198</v>
      </c>
      <c r="K72" s="305">
        <v>2396198</v>
      </c>
      <c r="L72" s="305"/>
      <c r="M72" s="305"/>
      <c r="N72" s="305"/>
      <c r="O72" s="810">
        <f t="shared" ref="O72" si="72">K72</f>
        <v>2396198</v>
      </c>
      <c r="P72" s="804">
        <f t="shared" ref="P72" si="73">E72+J72</f>
        <v>7118182</v>
      </c>
      <c r="Q72" s="191"/>
      <c r="R72" s="124" t="b">
        <f>K72='d6'!J90</f>
        <v>1</v>
      </c>
    </row>
    <row r="73" spans="1:18" s="39" customFormat="1" ht="321.75" thickTop="1" thickBot="1" x14ac:dyDescent="0.25">
      <c r="A73" s="808" t="s">
        <v>1195</v>
      </c>
      <c r="B73" s="808" t="s">
        <v>1196</v>
      </c>
      <c r="C73" s="808" t="s">
        <v>228</v>
      </c>
      <c r="D73" s="808" t="s">
        <v>1197</v>
      </c>
      <c r="E73" s="804">
        <f t="shared" ref="E73" si="74">F73</f>
        <v>1371699</v>
      </c>
      <c r="F73" s="305">
        <f>(879350+193085)+245298+53966</f>
        <v>1371699</v>
      </c>
      <c r="G73" s="305">
        <f>(879350)+245298</f>
        <v>1124648</v>
      </c>
      <c r="H73" s="305"/>
      <c r="I73" s="305"/>
      <c r="J73" s="804">
        <f t="shared" ref="J73" si="75">L73+O73</f>
        <v>748890</v>
      </c>
      <c r="K73" s="305">
        <f>(576190)+172700</f>
        <v>748890</v>
      </c>
      <c r="L73" s="305"/>
      <c r="M73" s="305"/>
      <c r="N73" s="305"/>
      <c r="O73" s="810">
        <f t="shared" ref="O73" si="76">K73</f>
        <v>748890</v>
      </c>
      <c r="P73" s="804">
        <f t="shared" ref="P73" si="77">E73+J73</f>
        <v>2120589</v>
      </c>
      <c r="Q73" s="191"/>
      <c r="R73" s="124" t="b">
        <f>K73='d6'!J91</f>
        <v>1</v>
      </c>
    </row>
    <row r="74" spans="1:18" s="39" customFormat="1" ht="91.5" hidden="1" thickTop="1" thickBot="1" x14ac:dyDescent="0.25">
      <c r="A74" s="422" t="s">
        <v>866</v>
      </c>
      <c r="B74" s="422" t="s">
        <v>867</v>
      </c>
      <c r="C74" s="422"/>
      <c r="D74" s="422" t="s">
        <v>868</v>
      </c>
      <c r="E74" s="804">
        <f>SUM(E75)</f>
        <v>0</v>
      </c>
      <c r="F74" s="804">
        <f t="shared" ref="F74:O74" si="78">SUM(F75)</f>
        <v>0</v>
      </c>
      <c r="G74" s="804">
        <f t="shared" si="78"/>
        <v>0</v>
      </c>
      <c r="H74" s="804">
        <f t="shared" si="78"/>
        <v>0</v>
      </c>
      <c r="I74" s="804">
        <f t="shared" si="78"/>
        <v>0</v>
      </c>
      <c r="J74" s="804">
        <f t="shared" si="78"/>
        <v>0</v>
      </c>
      <c r="K74" s="804">
        <f t="shared" si="78"/>
        <v>0</v>
      </c>
      <c r="L74" s="804">
        <f t="shared" si="78"/>
        <v>0</v>
      </c>
      <c r="M74" s="804">
        <f t="shared" si="78"/>
        <v>0</v>
      </c>
      <c r="N74" s="804">
        <f t="shared" si="78"/>
        <v>0</v>
      </c>
      <c r="O74" s="804">
        <f t="shared" si="78"/>
        <v>0</v>
      </c>
      <c r="P74" s="804">
        <f>SUM(P75)</f>
        <v>0</v>
      </c>
      <c r="Q74" s="191"/>
      <c r="R74" s="124"/>
    </row>
    <row r="75" spans="1:18" s="39" customFormat="1" ht="367.5" hidden="1" thickTop="1" thickBot="1" x14ac:dyDescent="0.25">
      <c r="A75" s="808" t="s">
        <v>461</v>
      </c>
      <c r="B75" s="808" t="s">
        <v>462</v>
      </c>
      <c r="C75" s="808" t="s">
        <v>203</v>
      </c>
      <c r="D75" s="808" t="s">
        <v>460</v>
      </c>
      <c r="E75" s="804">
        <f t="shared" si="58"/>
        <v>0</v>
      </c>
      <c r="F75" s="305">
        <f>(2688000)-2688000</f>
        <v>0</v>
      </c>
      <c r="G75" s="305"/>
      <c r="H75" s="305"/>
      <c r="I75" s="305"/>
      <c r="J75" s="804">
        <f>L75+O75</f>
        <v>0</v>
      </c>
      <c r="K75" s="305"/>
      <c r="L75" s="305"/>
      <c r="M75" s="305"/>
      <c r="N75" s="305"/>
      <c r="O75" s="810">
        <f>K75</f>
        <v>0</v>
      </c>
      <c r="P75" s="804">
        <f>E75+J75</f>
        <v>0</v>
      </c>
      <c r="Q75" s="191"/>
      <c r="R75" s="193"/>
    </row>
    <row r="76" spans="1:18" s="39" customFormat="1" ht="230.25" thickTop="1" thickBot="1" x14ac:dyDescent="0.25">
      <c r="A76" s="345" t="s">
        <v>1315</v>
      </c>
      <c r="B76" s="345" t="s">
        <v>1317</v>
      </c>
      <c r="C76" s="345"/>
      <c r="D76" s="345" t="s">
        <v>1319</v>
      </c>
      <c r="E76" s="347">
        <f t="shared" si="58"/>
        <v>0</v>
      </c>
      <c r="F76" s="347">
        <f>SUM(F77:F78)</f>
        <v>0</v>
      </c>
      <c r="G76" s="347">
        <f>SUM(G77:G78)</f>
        <v>0</v>
      </c>
      <c r="H76" s="347">
        <f>SUM(H77:H78)</f>
        <v>0</v>
      </c>
      <c r="I76" s="347">
        <f>SUM(I77:I78)</f>
        <v>0</v>
      </c>
      <c r="J76" s="347">
        <f>L76+O76</f>
        <v>4104500</v>
      </c>
      <c r="K76" s="347">
        <f>SUM(K77:K78)</f>
        <v>4104500</v>
      </c>
      <c r="L76" s="347">
        <f>SUM(L77:L78)</f>
        <v>0</v>
      </c>
      <c r="M76" s="347">
        <f>SUM(M77:M78)</f>
        <v>0</v>
      </c>
      <c r="N76" s="347">
        <f>SUM(N77:N78)</f>
        <v>0</v>
      </c>
      <c r="O76" s="347">
        <f>SUM(O77:O78)</f>
        <v>4104500</v>
      </c>
      <c r="P76" s="347">
        <f>E76+J76</f>
        <v>4104500</v>
      </c>
      <c r="Q76" s="191"/>
      <c r="R76" s="193"/>
    </row>
    <row r="77" spans="1:18" s="39" customFormat="1" ht="367.5" thickTop="1" thickBot="1" x14ac:dyDescent="0.25">
      <c r="A77" s="808" t="s">
        <v>1316</v>
      </c>
      <c r="B77" s="808" t="s">
        <v>1318</v>
      </c>
      <c r="C77" s="808" t="s">
        <v>228</v>
      </c>
      <c r="D77" s="808" t="s">
        <v>1320</v>
      </c>
      <c r="E77" s="804">
        <f t="shared" si="58"/>
        <v>0</v>
      </c>
      <c r="F77" s="305"/>
      <c r="G77" s="305"/>
      <c r="H77" s="305"/>
      <c r="I77" s="305"/>
      <c r="J77" s="804">
        <f t="shared" ref="J77:J78" si="79">L77+O77</f>
        <v>1584500</v>
      </c>
      <c r="K77" s="305">
        <f>84500+(100000+1400000)</f>
        <v>1584500</v>
      </c>
      <c r="L77" s="305"/>
      <c r="M77" s="305"/>
      <c r="N77" s="305"/>
      <c r="O77" s="810">
        <f t="shared" ref="O77:O78" si="80">K77</f>
        <v>1584500</v>
      </c>
      <c r="P77" s="804">
        <f>E77+J77</f>
        <v>1584500</v>
      </c>
      <c r="Q77" s="191"/>
      <c r="R77" s="124" t="b">
        <f>K77='d6'!J92+'d6'!J93</f>
        <v>1</v>
      </c>
    </row>
    <row r="78" spans="1:18" s="39" customFormat="1" ht="321.75" thickTop="1" thickBot="1" x14ac:dyDescent="0.25">
      <c r="A78" s="808" t="s">
        <v>1388</v>
      </c>
      <c r="B78" s="808" t="s">
        <v>1389</v>
      </c>
      <c r="C78" s="808" t="s">
        <v>228</v>
      </c>
      <c r="D78" s="808" t="s">
        <v>1387</v>
      </c>
      <c r="E78" s="804">
        <f t="shared" si="58"/>
        <v>0</v>
      </c>
      <c r="F78" s="305">
        <f>(553900)-553900</f>
        <v>0</v>
      </c>
      <c r="G78" s="305"/>
      <c r="H78" s="305"/>
      <c r="I78" s="305"/>
      <c r="J78" s="804">
        <f t="shared" si="79"/>
        <v>2520000</v>
      </c>
      <c r="K78" s="305">
        <f>(1966100)+553900</f>
        <v>2520000</v>
      </c>
      <c r="L78" s="305"/>
      <c r="M78" s="305"/>
      <c r="N78" s="305"/>
      <c r="O78" s="810">
        <f t="shared" si="80"/>
        <v>2520000</v>
      </c>
      <c r="P78" s="804">
        <f>E78+J78</f>
        <v>2520000</v>
      </c>
      <c r="Q78" s="191"/>
      <c r="R78" s="124" t="b">
        <f>K78='d6'!J94</f>
        <v>1</v>
      </c>
    </row>
    <row r="79" spans="1:18" s="39" customFormat="1" ht="47.25" thickTop="1" thickBot="1" x14ac:dyDescent="0.25">
      <c r="A79" s="422" t="s">
        <v>1450</v>
      </c>
      <c r="B79" s="422" t="s">
        <v>905</v>
      </c>
      <c r="C79" s="422"/>
      <c r="D79" s="422" t="s">
        <v>1449</v>
      </c>
      <c r="E79" s="804">
        <f>E80+E83</f>
        <v>84177</v>
      </c>
      <c r="F79" s="804">
        <f t="shared" ref="F79:P79" si="81">F80+F83</f>
        <v>84177</v>
      </c>
      <c r="G79" s="804">
        <f t="shared" si="81"/>
        <v>0</v>
      </c>
      <c r="H79" s="804">
        <f t="shared" si="81"/>
        <v>0</v>
      </c>
      <c r="I79" s="804">
        <f t="shared" si="81"/>
        <v>0</v>
      </c>
      <c r="J79" s="804">
        <f t="shared" si="81"/>
        <v>200000</v>
      </c>
      <c r="K79" s="804">
        <f t="shared" si="81"/>
        <v>200000</v>
      </c>
      <c r="L79" s="804">
        <f t="shared" si="81"/>
        <v>0</v>
      </c>
      <c r="M79" s="804">
        <f t="shared" si="81"/>
        <v>0</v>
      </c>
      <c r="N79" s="804">
        <f t="shared" si="81"/>
        <v>0</v>
      </c>
      <c r="O79" s="804">
        <f t="shared" si="81"/>
        <v>200000</v>
      </c>
      <c r="P79" s="804">
        <f t="shared" si="81"/>
        <v>284177</v>
      </c>
      <c r="Q79" s="191"/>
      <c r="R79" s="124"/>
    </row>
    <row r="80" spans="1:18" s="39" customFormat="1" ht="91.5" thickTop="1" thickBot="1" x14ac:dyDescent="0.25">
      <c r="A80" s="379" t="s">
        <v>1448</v>
      </c>
      <c r="B80" s="379" t="s">
        <v>961</v>
      </c>
      <c r="C80" s="379"/>
      <c r="D80" s="379" t="s">
        <v>962</v>
      </c>
      <c r="E80" s="346">
        <f>E81</f>
        <v>0</v>
      </c>
      <c r="F80" s="346">
        <f t="shared" ref="F80:P81" si="82">F81</f>
        <v>0</v>
      </c>
      <c r="G80" s="346">
        <f t="shared" si="82"/>
        <v>0</v>
      </c>
      <c r="H80" s="346">
        <f t="shared" si="82"/>
        <v>0</v>
      </c>
      <c r="I80" s="346">
        <f t="shared" si="82"/>
        <v>0</v>
      </c>
      <c r="J80" s="346">
        <f t="shared" si="82"/>
        <v>200000</v>
      </c>
      <c r="K80" s="346">
        <f t="shared" si="82"/>
        <v>200000</v>
      </c>
      <c r="L80" s="346">
        <f t="shared" si="82"/>
        <v>0</v>
      </c>
      <c r="M80" s="346">
        <f t="shared" si="82"/>
        <v>0</v>
      </c>
      <c r="N80" s="346">
        <f t="shared" si="82"/>
        <v>0</v>
      </c>
      <c r="O80" s="346">
        <f t="shared" si="82"/>
        <v>200000</v>
      </c>
      <c r="P80" s="346">
        <f t="shared" si="82"/>
        <v>200000</v>
      </c>
      <c r="Q80" s="191"/>
      <c r="R80" s="124"/>
    </row>
    <row r="81" spans="1:18" s="39" customFormat="1" ht="145.5" thickTop="1" thickBot="1" x14ac:dyDescent="0.25">
      <c r="A81" s="345" t="s">
        <v>1451</v>
      </c>
      <c r="B81" s="345" t="s">
        <v>980</v>
      </c>
      <c r="C81" s="345"/>
      <c r="D81" s="345" t="s">
        <v>1452</v>
      </c>
      <c r="E81" s="347">
        <f>E82</f>
        <v>0</v>
      </c>
      <c r="F81" s="347">
        <f t="shared" si="82"/>
        <v>0</v>
      </c>
      <c r="G81" s="347">
        <f t="shared" si="82"/>
        <v>0</v>
      </c>
      <c r="H81" s="347">
        <f t="shared" si="82"/>
        <v>0</v>
      </c>
      <c r="I81" s="347">
        <f t="shared" si="82"/>
        <v>0</v>
      </c>
      <c r="J81" s="347">
        <f t="shared" si="82"/>
        <v>200000</v>
      </c>
      <c r="K81" s="347">
        <f t="shared" si="82"/>
        <v>200000</v>
      </c>
      <c r="L81" s="347">
        <f t="shared" si="82"/>
        <v>0</v>
      </c>
      <c r="M81" s="347">
        <f t="shared" si="82"/>
        <v>0</v>
      </c>
      <c r="N81" s="347">
        <f t="shared" si="82"/>
        <v>0</v>
      </c>
      <c r="O81" s="347">
        <f t="shared" si="82"/>
        <v>200000</v>
      </c>
      <c r="P81" s="347">
        <f t="shared" si="82"/>
        <v>200000</v>
      </c>
      <c r="Q81" s="191"/>
      <c r="R81" s="124"/>
    </row>
    <row r="82" spans="1:18" s="39" customFormat="1" ht="99.75" thickTop="1" thickBot="1" x14ac:dyDescent="0.25">
      <c r="A82" s="808" t="s">
        <v>1469</v>
      </c>
      <c r="B82" s="345" t="s">
        <v>334</v>
      </c>
      <c r="C82" s="808" t="s">
        <v>323</v>
      </c>
      <c r="D82" s="808" t="s">
        <v>778</v>
      </c>
      <c r="E82" s="804">
        <f t="shared" ref="E82" si="83">F82</f>
        <v>0</v>
      </c>
      <c r="F82" s="305"/>
      <c r="G82" s="305"/>
      <c r="H82" s="305"/>
      <c r="I82" s="305"/>
      <c r="J82" s="804">
        <f t="shared" ref="J82" si="84">L82+O82</f>
        <v>200000</v>
      </c>
      <c r="K82" s="305">
        <v>200000</v>
      </c>
      <c r="L82" s="305"/>
      <c r="M82" s="305"/>
      <c r="N82" s="305"/>
      <c r="O82" s="810">
        <f t="shared" ref="O82" si="85">K82</f>
        <v>200000</v>
      </c>
      <c r="P82" s="804">
        <f>E82+J82</f>
        <v>200000</v>
      </c>
      <c r="Q82" s="124"/>
      <c r="R82" s="124" t="b">
        <f>K82='d6'!J95</f>
        <v>1</v>
      </c>
    </row>
    <row r="83" spans="1:18" s="39" customFormat="1" ht="136.5" thickTop="1" thickBot="1" x14ac:dyDescent="0.25">
      <c r="A83" s="379" t="s">
        <v>1455</v>
      </c>
      <c r="B83" s="379" t="s">
        <v>847</v>
      </c>
      <c r="C83" s="379"/>
      <c r="D83" s="379" t="s">
        <v>845</v>
      </c>
      <c r="E83" s="346">
        <f>E84</f>
        <v>84177</v>
      </c>
      <c r="F83" s="346">
        <f t="shared" ref="F83:P83" si="86">F84</f>
        <v>84177</v>
      </c>
      <c r="G83" s="346">
        <f t="shared" si="86"/>
        <v>0</v>
      </c>
      <c r="H83" s="346">
        <f t="shared" si="86"/>
        <v>0</v>
      </c>
      <c r="I83" s="346">
        <f t="shared" si="86"/>
        <v>0</v>
      </c>
      <c r="J83" s="346">
        <f t="shared" si="86"/>
        <v>0</v>
      </c>
      <c r="K83" s="346">
        <f t="shared" si="86"/>
        <v>0</v>
      </c>
      <c r="L83" s="346">
        <f t="shared" si="86"/>
        <v>0</v>
      </c>
      <c r="M83" s="346">
        <f t="shared" si="86"/>
        <v>0</v>
      </c>
      <c r="N83" s="346">
        <f t="shared" si="86"/>
        <v>0</v>
      </c>
      <c r="O83" s="346">
        <f t="shared" si="86"/>
        <v>0</v>
      </c>
      <c r="P83" s="346">
        <f t="shared" si="86"/>
        <v>84177</v>
      </c>
      <c r="Q83" s="124"/>
      <c r="R83" s="124"/>
    </row>
    <row r="84" spans="1:18" s="39" customFormat="1" ht="48" thickTop="1" thickBot="1" x14ac:dyDescent="0.25">
      <c r="A84" s="808" t="s">
        <v>1456</v>
      </c>
      <c r="B84" s="345" t="s">
        <v>230</v>
      </c>
      <c r="C84" s="808" t="s">
        <v>231</v>
      </c>
      <c r="D84" s="808" t="s">
        <v>43</v>
      </c>
      <c r="E84" s="804">
        <f t="shared" ref="E84" si="87">F84</f>
        <v>84177</v>
      </c>
      <c r="F84" s="305">
        <f>8177+76000</f>
        <v>84177</v>
      </c>
      <c r="G84" s="305"/>
      <c r="H84" s="305"/>
      <c r="I84" s="305"/>
      <c r="J84" s="804">
        <f t="shared" ref="J84" si="88">L84+O84</f>
        <v>0</v>
      </c>
      <c r="K84" s="305"/>
      <c r="L84" s="305"/>
      <c r="M84" s="305"/>
      <c r="N84" s="305"/>
      <c r="O84" s="810">
        <f t="shared" ref="O84" si="89">K84</f>
        <v>0</v>
      </c>
      <c r="P84" s="804">
        <f>E84+J84</f>
        <v>84177</v>
      </c>
      <c r="Q84" s="124"/>
      <c r="R84" s="124"/>
    </row>
    <row r="85" spans="1:18" s="39" customFormat="1" ht="47.25" thickTop="1" thickBot="1" x14ac:dyDescent="0.25">
      <c r="A85" s="422" t="s">
        <v>1359</v>
      </c>
      <c r="B85" s="422" t="s">
        <v>858</v>
      </c>
      <c r="C85" s="422"/>
      <c r="D85" s="422" t="s">
        <v>859</v>
      </c>
      <c r="E85" s="804">
        <f>E86</f>
        <v>0</v>
      </c>
      <c r="F85" s="804">
        <f t="shared" ref="F85:P86" si="90">F86</f>
        <v>0</v>
      </c>
      <c r="G85" s="804">
        <f t="shared" si="90"/>
        <v>0</v>
      </c>
      <c r="H85" s="804">
        <f t="shared" si="90"/>
        <v>0</v>
      </c>
      <c r="I85" s="804">
        <f t="shared" si="90"/>
        <v>0</v>
      </c>
      <c r="J85" s="804">
        <f t="shared" si="90"/>
        <v>4702988</v>
      </c>
      <c r="K85" s="804">
        <f t="shared" si="90"/>
        <v>4702988</v>
      </c>
      <c r="L85" s="804">
        <f t="shared" si="90"/>
        <v>0</v>
      </c>
      <c r="M85" s="804">
        <f t="shared" si="90"/>
        <v>0</v>
      </c>
      <c r="N85" s="804">
        <f t="shared" si="90"/>
        <v>0</v>
      </c>
      <c r="O85" s="804">
        <f t="shared" si="90"/>
        <v>4702988</v>
      </c>
      <c r="P85" s="804">
        <f t="shared" si="90"/>
        <v>4702988</v>
      </c>
      <c r="Q85" s="191"/>
      <c r="R85" s="124"/>
    </row>
    <row r="86" spans="1:18" s="39" customFormat="1" ht="271.5" thickTop="1" thickBot="1" x14ac:dyDescent="0.25">
      <c r="A86" s="379" t="s">
        <v>1360</v>
      </c>
      <c r="B86" s="379" t="s">
        <v>861</v>
      </c>
      <c r="C86" s="379"/>
      <c r="D86" s="379" t="s">
        <v>862</v>
      </c>
      <c r="E86" s="346">
        <f>E87</f>
        <v>0</v>
      </c>
      <c r="F86" s="346">
        <f t="shared" si="90"/>
        <v>0</v>
      </c>
      <c r="G86" s="346">
        <f t="shared" si="90"/>
        <v>0</v>
      </c>
      <c r="H86" s="346">
        <f t="shared" si="90"/>
        <v>0</v>
      </c>
      <c r="I86" s="346">
        <f t="shared" si="90"/>
        <v>0</v>
      </c>
      <c r="J86" s="346">
        <f t="shared" si="90"/>
        <v>4702988</v>
      </c>
      <c r="K86" s="346">
        <f t="shared" si="90"/>
        <v>4702988</v>
      </c>
      <c r="L86" s="346">
        <f t="shared" si="90"/>
        <v>0</v>
      </c>
      <c r="M86" s="346">
        <f t="shared" si="90"/>
        <v>0</v>
      </c>
      <c r="N86" s="346">
        <f t="shared" si="90"/>
        <v>0</v>
      </c>
      <c r="O86" s="346">
        <f t="shared" si="90"/>
        <v>4702988</v>
      </c>
      <c r="P86" s="346">
        <f t="shared" si="90"/>
        <v>4702988</v>
      </c>
      <c r="Q86" s="191"/>
      <c r="R86" s="124"/>
    </row>
    <row r="87" spans="1:18" s="39" customFormat="1" ht="93" thickTop="1" thickBot="1" x14ac:dyDescent="0.25">
      <c r="A87" s="808" t="s">
        <v>1361</v>
      </c>
      <c r="B87" s="808" t="s">
        <v>389</v>
      </c>
      <c r="C87" s="808" t="s">
        <v>45</v>
      </c>
      <c r="D87" s="808" t="s">
        <v>390</v>
      </c>
      <c r="E87" s="804">
        <f t="shared" ref="E87" si="91">F87</f>
        <v>0</v>
      </c>
      <c r="F87" s="305"/>
      <c r="G87" s="305"/>
      <c r="H87" s="305"/>
      <c r="I87" s="305"/>
      <c r="J87" s="804">
        <f>L87+O87</f>
        <v>4702988</v>
      </c>
      <c r="K87" s="305">
        <f>(4547046.18)+155941.82</f>
        <v>4702988</v>
      </c>
      <c r="L87" s="305"/>
      <c r="M87" s="305"/>
      <c r="N87" s="305"/>
      <c r="O87" s="810">
        <f>K87</f>
        <v>4702988</v>
      </c>
      <c r="P87" s="804">
        <f>E87+J87</f>
        <v>4702988</v>
      </c>
      <c r="Q87" s="191"/>
      <c r="R87" s="124" t="b">
        <f>K87='d6'!J96</f>
        <v>1</v>
      </c>
    </row>
    <row r="88" spans="1:18" ht="136.5" thickTop="1" thickBot="1" x14ac:dyDescent="0.25">
      <c r="A88" s="825" t="s">
        <v>168</v>
      </c>
      <c r="B88" s="825"/>
      <c r="C88" s="825"/>
      <c r="D88" s="826" t="s">
        <v>18</v>
      </c>
      <c r="E88" s="827">
        <f>E89</f>
        <v>83967402</v>
      </c>
      <c r="F88" s="828">
        <f t="shared" ref="F88:G88" si="92">F89</f>
        <v>83967402</v>
      </c>
      <c r="G88" s="828">
        <f t="shared" si="92"/>
        <v>4293600</v>
      </c>
      <c r="H88" s="828">
        <f>H89</f>
        <v>221540</v>
      </c>
      <c r="I88" s="828">
        <f t="shared" ref="I88" si="93">I89</f>
        <v>0</v>
      </c>
      <c r="J88" s="827">
        <f>J89</f>
        <v>29604020</v>
      </c>
      <c r="K88" s="828">
        <f>K89</f>
        <v>29582020</v>
      </c>
      <c r="L88" s="828">
        <f>L89</f>
        <v>22000</v>
      </c>
      <c r="M88" s="828">
        <f t="shared" ref="M88" si="94">M89</f>
        <v>0</v>
      </c>
      <c r="N88" s="828">
        <f>N89</f>
        <v>0</v>
      </c>
      <c r="O88" s="827">
        <f>O89</f>
        <v>29582020</v>
      </c>
      <c r="P88" s="828">
        <f>P89</f>
        <v>113571422</v>
      </c>
    </row>
    <row r="89" spans="1:18" ht="181.5" thickTop="1" thickBot="1" x14ac:dyDescent="0.25">
      <c r="A89" s="829" t="s">
        <v>169</v>
      </c>
      <c r="B89" s="829"/>
      <c r="C89" s="829"/>
      <c r="D89" s="830" t="s">
        <v>38</v>
      </c>
      <c r="E89" s="831">
        <f>E90+E92+E105</f>
        <v>83967402</v>
      </c>
      <c r="F89" s="831">
        <f t="shared" ref="F89:I89" si="95">F90+F92+F105</f>
        <v>83967402</v>
      </c>
      <c r="G89" s="831">
        <f t="shared" si="95"/>
        <v>4293600</v>
      </c>
      <c r="H89" s="831">
        <f t="shared" si="95"/>
        <v>221540</v>
      </c>
      <c r="I89" s="831">
        <f t="shared" si="95"/>
        <v>0</v>
      </c>
      <c r="J89" s="831">
        <f>L89+O89</f>
        <v>29604020</v>
      </c>
      <c r="K89" s="831">
        <f t="shared" ref="K89:O89" si="96">K90+K92+K105</f>
        <v>29582020</v>
      </c>
      <c r="L89" s="831">
        <f t="shared" si="96"/>
        <v>22000</v>
      </c>
      <c r="M89" s="831">
        <f t="shared" si="96"/>
        <v>0</v>
      </c>
      <c r="N89" s="831">
        <f t="shared" si="96"/>
        <v>0</v>
      </c>
      <c r="O89" s="831">
        <f t="shared" si="96"/>
        <v>29582020</v>
      </c>
      <c r="P89" s="831">
        <f t="shared" ref="P89:P111" si="97">E89+J89</f>
        <v>113571422</v>
      </c>
      <c r="Q89" s="124" t="b">
        <f>P89=P91+P93+P94+P95+P96+P97+P99+P101+P103+P104+P110+P108</f>
        <v>1</v>
      </c>
      <c r="R89" s="124" t="b">
        <f>K89='d6'!J98</f>
        <v>1</v>
      </c>
    </row>
    <row r="90" spans="1:18" s="361" customFormat="1" ht="47.25" thickTop="1" thickBot="1" x14ac:dyDescent="0.25">
      <c r="A90" s="422" t="s">
        <v>869</v>
      </c>
      <c r="B90" s="422" t="s">
        <v>840</v>
      </c>
      <c r="C90" s="422"/>
      <c r="D90" s="422" t="s">
        <v>841</v>
      </c>
      <c r="E90" s="804">
        <f>SUM(E91)</f>
        <v>2578825</v>
      </c>
      <c r="F90" s="804">
        <f t="shared" ref="F90:O90" si="98">SUM(F91)</f>
        <v>2578825</v>
      </c>
      <c r="G90" s="804">
        <f t="shared" si="98"/>
        <v>1928600</v>
      </c>
      <c r="H90" s="804">
        <f t="shared" si="98"/>
        <v>110635</v>
      </c>
      <c r="I90" s="804">
        <f t="shared" si="98"/>
        <v>0</v>
      </c>
      <c r="J90" s="804">
        <f t="shared" si="98"/>
        <v>0</v>
      </c>
      <c r="K90" s="804">
        <f t="shared" si="98"/>
        <v>0</v>
      </c>
      <c r="L90" s="804">
        <f t="shared" si="98"/>
        <v>0</v>
      </c>
      <c r="M90" s="804">
        <f t="shared" si="98"/>
        <v>0</v>
      </c>
      <c r="N90" s="804">
        <f t="shared" si="98"/>
        <v>0</v>
      </c>
      <c r="O90" s="804">
        <f t="shared" si="98"/>
        <v>0</v>
      </c>
      <c r="P90" s="804">
        <f>SUM(P91)</f>
        <v>2578825</v>
      </c>
      <c r="Q90" s="124"/>
      <c r="R90" s="124"/>
    </row>
    <row r="91" spans="1:18" ht="230.25" thickTop="1" thickBot="1" x14ac:dyDescent="0.25">
      <c r="A91" s="808" t="s">
        <v>444</v>
      </c>
      <c r="B91" s="808" t="s">
        <v>254</v>
      </c>
      <c r="C91" s="808" t="s">
        <v>252</v>
      </c>
      <c r="D91" s="808" t="s">
        <v>253</v>
      </c>
      <c r="E91" s="804">
        <f>F91</f>
        <v>2578825</v>
      </c>
      <c r="F91" s="305">
        <f>107000+24000+((1821600+400750+56870+45495+11375+110635+1100))</f>
        <v>2578825</v>
      </c>
      <c r="G91" s="305">
        <f>107000+(1821600)</f>
        <v>1928600</v>
      </c>
      <c r="H91" s="305">
        <f>(1900+27000+81735)</f>
        <v>110635</v>
      </c>
      <c r="I91" s="305"/>
      <c r="J91" s="804">
        <f t="shared" ref="J91:J111" si="99">L91+O91</f>
        <v>0</v>
      </c>
      <c r="K91" s="305">
        <f>100000-100000</f>
        <v>0</v>
      </c>
      <c r="L91" s="305"/>
      <c r="M91" s="305"/>
      <c r="N91" s="305"/>
      <c r="O91" s="810">
        <f>K91</f>
        <v>0</v>
      </c>
      <c r="P91" s="804">
        <f t="shared" si="97"/>
        <v>2578825</v>
      </c>
      <c r="Q91" s="193"/>
      <c r="R91" s="124" t="b">
        <f>K91='d6'!J99</f>
        <v>1</v>
      </c>
    </row>
    <row r="92" spans="1:18" s="361" customFormat="1" ht="47.25" thickTop="1" thickBot="1" x14ac:dyDescent="0.25">
      <c r="A92" s="422" t="s">
        <v>870</v>
      </c>
      <c r="B92" s="422" t="s">
        <v>871</v>
      </c>
      <c r="C92" s="422"/>
      <c r="D92" s="422" t="s">
        <v>872</v>
      </c>
      <c r="E92" s="804">
        <f>SUM(E93:E104)-E98-E100-E102</f>
        <v>81388577</v>
      </c>
      <c r="F92" s="804">
        <f t="shared" ref="F92:P92" si="100">SUM(F93:F104)-F98-F100-F102</f>
        <v>81388577</v>
      </c>
      <c r="G92" s="804">
        <f t="shared" si="100"/>
        <v>2365000</v>
      </c>
      <c r="H92" s="804">
        <f t="shared" si="100"/>
        <v>110905</v>
      </c>
      <c r="I92" s="804">
        <f t="shared" si="100"/>
        <v>0</v>
      </c>
      <c r="J92" s="804">
        <f t="shared" si="100"/>
        <v>40400</v>
      </c>
      <c r="K92" s="804">
        <f t="shared" si="100"/>
        <v>18400</v>
      </c>
      <c r="L92" s="804">
        <f t="shared" si="100"/>
        <v>22000</v>
      </c>
      <c r="M92" s="804">
        <f t="shared" si="100"/>
        <v>0</v>
      </c>
      <c r="N92" s="804">
        <f t="shared" si="100"/>
        <v>0</v>
      </c>
      <c r="O92" s="804">
        <f t="shared" si="100"/>
        <v>18400</v>
      </c>
      <c r="P92" s="804">
        <f t="shared" si="100"/>
        <v>81428977</v>
      </c>
      <c r="Q92" s="193"/>
      <c r="R92" s="193"/>
    </row>
    <row r="93" spans="1:18" ht="93" thickTop="1" thickBot="1" x14ac:dyDescent="0.25">
      <c r="A93" s="808" t="s">
        <v>232</v>
      </c>
      <c r="B93" s="808" t="s">
        <v>229</v>
      </c>
      <c r="C93" s="808" t="s">
        <v>233</v>
      </c>
      <c r="D93" s="808" t="s">
        <v>19</v>
      </c>
      <c r="E93" s="804">
        <f>F93</f>
        <v>18361455</v>
      </c>
      <c r="F93" s="305">
        <f>1188000+(1444000+480000+((14263455+200000+78000)+508000+200000))</f>
        <v>18361455</v>
      </c>
      <c r="G93" s="305"/>
      <c r="H93" s="305"/>
      <c r="I93" s="305"/>
      <c r="J93" s="804">
        <f t="shared" si="99"/>
        <v>0</v>
      </c>
      <c r="K93" s="305"/>
      <c r="L93" s="305"/>
      <c r="M93" s="305"/>
      <c r="N93" s="305"/>
      <c r="O93" s="810">
        <f>K93</f>
        <v>0</v>
      </c>
      <c r="P93" s="804">
        <f t="shared" si="97"/>
        <v>18361455</v>
      </c>
      <c r="R93" s="188"/>
    </row>
    <row r="94" spans="1:18" ht="93" thickTop="1" thickBot="1" x14ac:dyDescent="0.25">
      <c r="A94" s="808" t="s">
        <v>552</v>
      </c>
      <c r="B94" s="808" t="s">
        <v>555</v>
      </c>
      <c r="C94" s="808" t="s">
        <v>554</v>
      </c>
      <c r="D94" s="808" t="s">
        <v>553</v>
      </c>
      <c r="E94" s="804">
        <f>F94</f>
        <v>7867407</v>
      </c>
      <c r="F94" s="305">
        <f>1100000-80000-900000+(((6277220+100000+165100)+122207+973902)+58283+50695)</f>
        <v>7867407</v>
      </c>
      <c r="G94" s="305"/>
      <c r="H94" s="305"/>
      <c r="I94" s="305"/>
      <c r="J94" s="804">
        <f t="shared" si="99"/>
        <v>0</v>
      </c>
      <c r="K94" s="305"/>
      <c r="L94" s="305"/>
      <c r="M94" s="305"/>
      <c r="N94" s="305"/>
      <c r="O94" s="810"/>
      <c r="P94" s="804">
        <f t="shared" si="97"/>
        <v>7867407</v>
      </c>
      <c r="R94" s="193"/>
    </row>
    <row r="95" spans="1:18" ht="138.75" thickTop="1" thickBot="1" x14ac:dyDescent="0.25">
      <c r="A95" s="808" t="s">
        <v>234</v>
      </c>
      <c r="B95" s="808" t="s">
        <v>235</v>
      </c>
      <c r="C95" s="808" t="s">
        <v>236</v>
      </c>
      <c r="D95" s="808" t="s">
        <v>237</v>
      </c>
      <c r="E95" s="804">
        <f t="shared" ref="E95:E111" si="101">F95</f>
        <v>6699850</v>
      </c>
      <c r="F95" s="305">
        <f>1280000+350000-221350+((4320000+100000+31200)+840000)</f>
        <v>6699850</v>
      </c>
      <c r="G95" s="305"/>
      <c r="H95" s="305"/>
      <c r="I95" s="305"/>
      <c r="J95" s="804">
        <f t="shared" si="99"/>
        <v>0</v>
      </c>
      <c r="K95" s="305"/>
      <c r="L95" s="305"/>
      <c r="M95" s="305"/>
      <c r="N95" s="305"/>
      <c r="O95" s="810">
        <f>K95</f>
        <v>0</v>
      </c>
      <c r="P95" s="804">
        <f t="shared" si="97"/>
        <v>6699850</v>
      </c>
      <c r="R95" s="193"/>
    </row>
    <row r="96" spans="1:18" ht="138.75" thickTop="1" thickBot="1" x14ac:dyDescent="0.25">
      <c r="A96" s="808" t="s">
        <v>238</v>
      </c>
      <c r="B96" s="808" t="s">
        <v>239</v>
      </c>
      <c r="C96" s="808" t="s">
        <v>240</v>
      </c>
      <c r="D96" s="808" t="s">
        <v>371</v>
      </c>
      <c r="E96" s="804">
        <f t="shared" si="101"/>
        <v>9602590</v>
      </c>
      <c r="F96" s="305">
        <f>-1346000+(-75000+1107500-80000-300000-700000+(((7180650+300000+100000+9100)+748920+336950+50000+265000+705470)+1200000+600000-500000))</f>
        <v>9602590</v>
      </c>
      <c r="G96" s="305"/>
      <c r="H96" s="305"/>
      <c r="I96" s="305"/>
      <c r="J96" s="804">
        <f t="shared" si="99"/>
        <v>0</v>
      </c>
      <c r="K96" s="305"/>
      <c r="L96" s="305"/>
      <c r="M96" s="305"/>
      <c r="N96" s="305"/>
      <c r="O96" s="810">
        <f>K96</f>
        <v>0</v>
      </c>
      <c r="P96" s="804">
        <f t="shared" si="97"/>
        <v>9602590</v>
      </c>
      <c r="R96" s="193"/>
    </row>
    <row r="97" spans="1:18" ht="93" thickTop="1" thickBot="1" x14ac:dyDescent="0.25">
      <c r="A97" s="808" t="s">
        <v>241</v>
      </c>
      <c r="B97" s="808" t="s">
        <v>242</v>
      </c>
      <c r="C97" s="808" t="s">
        <v>243</v>
      </c>
      <c r="D97" s="808" t="s">
        <v>244</v>
      </c>
      <c r="E97" s="804">
        <f t="shared" si="101"/>
        <v>7063935</v>
      </c>
      <c r="F97" s="305">
        <f>(6881935)+182000</f>
        <v>7063935</v>
      </c>
      <c r="G97" s="305"/>
      <c r="H97" s="305"/>
      <c r="I97" s="305"/>
      <c r="J97" s="804">
        <f t="shared" si="99"/>
        <v>0</v>
      </c>
      <c r="K97" s="305"/>
      <c r="L97" s="305"/>
      <c r="M97" s="305"/>
      <c r="N97" s="305"/>
      <c r="O97" s="810">
        <f>K97</f>
        <v>0</v>
      </c>
      <c r="P97" s="804">
        <f t="shared" si="97"/>
        <v>7063935</v>
      </c>
      <c r="R97" s="193"/>
    </row>
    <row r="98" spans="1:18" s="361" customFormat="1" ht="93" thickTop="1" thickBot="1" x14ac:dyDescent="0.25">
      <c r="A98" s="345" t="s">
        <v>873</v>
      </c>
      <c r="B98" s="345" t="s">
        <v>874</v>
      </c>
      <c r="C98" s="345"/>
      <c r="D98" s="345" t="s">
        <v>875</v>
      </c>
      <c r="E98" s="347">
        <f>E99</f>
        <v>10853915</v>
      </c>
      <c r="F98" s="347">
        <f t="shared" ref="F98:P98" si="102">F99</f>
        <v>10853915</v>
      </c>
      <c r="G98" s="347">
        <f t="shared" si="102"/>
        <v>0</v>
      </c>
      <c r="H98" s="347">
        <f t="shared" si="102"/>
        <v>0</v>
      </c>
      <c r="I98" s="347">
        <f t="shared" si="102"/>
        <v>0</v>
      </c>
      <c r="J98" s="347">
        <f t="shared" si="102"/>
        <v>0</v>
      </c>
      <c r="K98" s="347">
        <f t="shared" si="102"/>
        <v>0</v>
      </c>
      <c r="L98" s="347">
        <f t="shared" si="102"/>
        <v>0</v>
      </c>
      <c r="M98" s="347">
        <f t="shared" si="102"/>
        <v>0</v>
      </c>
      <c r="N98" s="347">
        <f t="shared" si="102"/>
        <v>0</v>
      </c>
      <c r="O98" s="347">
        <f t="shared" si="102"/>
        <v>0</v>
      </c>
      <c r="P98" s="347">
        <f t="shared" si="102"/>
        <v>10853915</v>
      </c>
      <c r="Q98" s="366"/>
      <c r="R98" s="193"/>
    </row>
    <row r="99" spans="1:18" ht="184.5" thickTop="1" thickBot="1" x14ac:dyDescent="0.25">
      <c r="A99" s="808" t="s">
        <v>245</v>
      </c>
      <c r="B99" s="808" t="s">
        <v>246</v>
      </c>
      <c r="C99" s="808" t="s">
        <v>372</v>
      </c>
      <c r="D99" s="808" t="s">
        <v>247</v>
      </c>
      <c r="E99" s="804">
        <f t="shared" si="101"/>
        <v>10853915</v>
      </c>
      <c r="F99" s="305">
        <f>620000-100000+86400+((10788065+359450)-300000-100000-500000)</f>
        <v>10853915</v>
      </c>
      <c r="G99" s="305"/>
      <c r="H99" s="305"/>
      <c r="I99" s="305"/>
      <c r="J99" s="804">
        <f t="shared" si="99"/>
        <v>0</v>
      </c>
      <c r="K99" s="305"/>
      <c r="L99" s="305"/>
      <c r="M99" s="305"/>
      <c r="N99" s="305"/>
      <c r="O99" s="810">
        <f t="shared" ref="O99:O111" si="103">K99</f>
        <v>0</v>
      </c>
      <c r="P99" s="804">
        <f t="shared" si="97"/>
        <v>10853915</v>
      </c>
      <c r="R99" s="193"/>
    </row>
    <row r="100" spans="1:18" s="361" customFormat="1" ht="138.75" thickTop="1" thickBot="1" x14ac:dyDescent="0.25">
      <c r="A100" s="345" t="s">
        <v>876</v>
      </c>
      <c r="B100" s="345" t="s">
        <v>877</v>
      </c>
      <c r="C100" s="345"/>
      <c r="D100" s="345" t="s">
        <v>878</v>
      </c>
      <c r="E100" s="347">
        <f>E101</f>
        <v>14254000</v>
      </c>
      <c r="F100" s="347">
        <f t="shared" ref="F100:P100" si="104">F101</f>
        <v>14254000</v>
      </c>
      <c r="G100" s="347">
        <f t="shared" si="104"/>
        <v>0</v>
      </c>
      <c r="H100" s="347">
        <f t="shared" si="104"/>
        <v>0</v>
      </c>
      <c r="I100" s="347">
        <f t="shared" si="104"/>
        <v>0</v>
      </c>
      <c r="J100" s="347">
        <f t="shared" si="104"/>
        <v>0</v>
      </c>
      <c r="K100" s="347">
        <f t="shared" si="104"/>
        <v>0</v>
      </c>
      <c r="L100" s="347">
        <f t="shared" si="104"/>
        <v>0</v>
      </c>
      <c r="M100" s="347">
        <f t="shared" si="104"/>
        <v>0</v>
      </c>
      <c r="N100" s="347">
        <f t="shared" si="104"/>
        <v>0</v>
      </c>
      <c r="O100" s="347">
        <f t="shared" si="104"/>
        <v>0</v>
      </c>
      <c r="P100" s="347">
        <f t="shared" si="104"/>
        <v>14254000</v>
      </c>
      <c r="Q100" s="366"/>
      <c r="R100" s="193"/>
    </row>
    <row r="101" spans="1:18" ht="138.75" thickTop="1" thickBot="1" x14ac:dyDescent="0.25">
      <c r="A101" s="808" t="s">
        <v>519</v>
      </c>
      <c r="B101" s="808" t="s">
        <v>520</v>
      </c>
      <c r="C101" s="808" t="s">
        <v>248</v>
      </c>
      <c r="D101" s="808" t="s">
        <v>521</v>
      </c>
      <c r="E101" s="804">
        <f t="shared" si="101"/>
        <v>14254000</v>
      </c>
      <c r="F101" s="305">
        <f>((9137200)+334400)+4782400</f>
        <v>14254000</v>
      </c>
      <c r="G101" s="305"/>
      <c r="H101" s="305"/>
      <c r="I101" s="305"/>
      <c r="J101" s="804">
        <f t="shared" si="99"/>
        <v>0</v>
      </c>
      <c r="K101" s="305"/>
      <c r="L101" s="305"/>
      <c r="M101" s="305"/>
      <c r="N101" s="305"/>
      <c r="O101" s="810">
        <f t="shared" si="103"/>
        <v>0</v>
      </c>
      <c r="P101" s="804">
        <f t="shared" si="97"/>
        <v>14254000</v>
      </c>
      <c r="R101" s="193"/>
    </row>
    <row r="102" spans="1:18" s="361" customFormat="1" ht="138.75" thickTop="1" thickBot="1" x14ac:dyDescent="0.25">
      <c r="A102" s="345" t="s">
        <v>879</v>
      </c>
      <c r="B102" s="345" t="s">
        <v>880</v>
      </c>
      <c r="C102" s="345"/>
      <c r="D102" s="345" t="s">
        <v>881</v>
      </c>
      <c r="E102" s="347">
        <f>SUM(E103:E104)</f>
        <v>6685425</v>
      </c>
      <c r="F102" s="347">
        <f t="shared" ref="F102:P102" si="105">SUM(F103:F104)</f>
        <v>6685425</v>
      </c>
      <c r="G102" s="347">
        <f t="shared" si="105"/>
        <v>2365000</v>
      </c>
      <c r="H102" s="347">
        <f t="shared" si="105"/>
        <v>110905</v>
      </c>
      <c r="I102" s="347">
        <f t="shared" si="105"/>
        <v>0</v>
      </c>
      <c r="J102" s="347">
        <f t="shared" si="105"/>
        <v>40400</v>
      </c>
      <c r="K102" s="347">
        <f t="shared" si="105"/>
        <v>18400</v>
      </c>
      <c r="L102" s="347">
        <f t="shared" si="105"/>
        <v>22000</v>
      </c>
      <c r="M102" s="347">
        <f t="shared" si="105"/>
        <v>0</v>
      </c>
      <c r="N102" s="347">
        <f t="shared" si="105"/>
        <v>0</v>
      </c>
      <c r="O102" s="347">
        <f t="shared" si="105"/>
        <v>18400</v>
      </c>
      <c r="P102" s="347">
        <f t="shared" si="105"/>
        <v>6725825</v>
      </c>
      <c r="Q102" s="366"/>
      <c r="R102" s="193"/>
    </row>
    <row r="103" spans="1:18" s="39" customFormat="1" ht="138.75" thickTop="1" thickBot="1" x14ac:dyDescent="0.25">
      <c r="A103" s="808" t="s">
        <v>346</v>
      </c>
      <c r="B103" s="808" t="s">
        <v>348</v>
      </c>
      <c r="C103" s="808" t="s">
        <v>248</v>
      </c>
      <c r="D103" s="321" t="s">
        <v>344</v>
      </c>
      <c r="E103" s="804">
        <f t="shared" si="101"/>
        <v>3229425</v>
      </c>
      <c r="F103" s="305">
        <f>(2365000+520300+93000+157000+3220+90905)</f>
        <v>3229425</v>
      </c>
      <c r="G103" s="305">
        <f>(2365000)</f>
        <v>2365000</v>
      </c>
      <c r="H103" s="305">
        <v>110905</v>
      </c>
      <c r="I103" s="305"/>
      <c r="J103" s="804">
        <f t="shared" si="99"/>
        <v>40400</v>
      </c>
      <c r="K103" s="305">
        <f>(24000)-5600</f>
        <v>18400</v>
      </c>
      <c r="L103" s="305">
        <v>22000</v>
      </c>
      <c r="M103" s="305"/>
      <c r="N103" s="305"/>
      <c r="O103" s="810">
        <f t="shared" si="103"/>
        <v>18400</v>
      </c>
      <c r="P103" s="804">
        <f t="shared" si="97"/>
        <v>3269825</v>
      </c>
      <c r="Q103" s="191"/>
      <c r="R103" s="124" t="b">
        <f>K103='d6'!J100</f>
        <v>1</v>
      </c>
    </row>
    <row r="104" spans="1:18" s="39" customFormat="1" ht="93" thickTop="1" thickBot="1" x14ac:dyDescent="0.25">
      <c r="A104" s="808" t="s">
        <v>347</v>
      </c>
      <c r="B104" s="808" t="s">
        <v>349</v>
      </c>
      <c r="C104" s="808" t="s">
        <v>248</v>
      </c>
      <c r="D104" s="321" t="s">
        <v>345</v>
      </c>
      <c r="E104" s="804">
        <f t="shared" si="101"/>
        <v>3456000</v>
      </c>
      <c r="F104" s="305">
        <f>140000+(-100000+((3016000)+400000))</f>
        <v>3456000</v>
      </c>
      <c r="G104" s="305"/>
      <c r="H104" s="305"/>
      <c r="I104" s="305"/>
      <c r="J104" s="804">
        <f t="shared" si="99"/>
        <v>0</v>
      </c>
      <c r="K104" s="305"/>
      <c r="L104" s="305"/>
      <c r="M104" s="305"/>
      <c r="N104" s="305"/>
      <c r="O104" s="810">
        <f t="shared" si="103"/>
        <v>0</v>
      </c>
      <c r="P104" s="804">
        <f t="shared" si="97"/>
        <v>3456000</v>
      </c>
      <c r="Q104" s="191"/>
      <c r="R104" s="193"/>
    </row>
    <row r="105" spans="1:18" s="39" customFormat="1" ht="47.25" thickTop="1" thickBot="1" x14ac:dyDescent="0.25">
      <c r="A105" s="422" t="s">
        <v>907</v>
      </c>
      <c r="B105" s="421" t="s">
        <v>905</v>
      </c>
      <c r="C105" s="421"/>
      <c r="D105" s="421" t="s">
        <v>906</v>
      </c>
      <c r="E105" s="804">
        <f>SUM(E109)+E106</f>
        <v>0</v>
      </c>
      <c r="F105" s="804">
        <f t="shared" ref="F105:P105" si="106">SUM(F109)+F106</f>
        <v>0</v>
      </c>
      <c r="G105" s="804">
        <f t="shared" si="106"/>
        <v>0</v>
      </c>
      <c r="H105" s="804">
        <f t="shared" si="106"/>
        <v>0</v>
      </c>
      <c r="I105" s="804">
        <f t="shared" si="106"/>
        <v>0</v>
      </c>
      <c r="J105" s="804">
        <f t="shared" si="106"/>
        <v>29563620</v>
      </c>
      <c r="K105" s="804">
        <f t="shared" si="106"/>
        <v>29563620</v>
      </c>
      <c r="L105" s="804">
        <f t="shared" si="106"/>
        <v>0</v>
      </c>
      <c r="M105" s="804">
        <f t="shared" si="106"/>
        <v>0</v>
      </c>
      <c r="N105" s="804">
        <f t="shared" si="106"/>
        <v>0</v>
      </c>
      <c r="O105" s="804">
        <f t="shared" si="106"/>
        <v>29563620</v>
      </c>
      <c r="P105" s="804">
        <f t="shared" si="106"/>
        <v>29563620</v>
      </c>
      <c r="Q105" s="191"/>
      <c r="R105" s="193"/>
    </row>
    <row r="106" spans="1:18" s="39" customFormat="1" ht="91.5" thickTop="1" thickBot="1" x14ac:dyDescent="0.25">
      <c r="A106" s="379" t="s">
        <v>1392</v>
      </c>
      <c r="B106" s="379" t="s">
        <v>961</v>
      </c>
      <c r="C106" s="379"/>
      <c r="D106" s="379" t="s">
        <v>962</v>
      </c>
      <c r="E106" s="346">
        <f>E107</f>
        <v>0</v>
      </c>
      <c r="F106" s="346">
        <f t="shared" ref="F106:P107" si="107">F107</f>
        <v>0</v>
      </c>
      <c r="G106" s="346">
        <f t="shared" si="107"/>
        <v>0</v>
      </c>
      <c r="H106" s="346">
        <f t="shared" si="107"/>
        <v>0</v>
      </c>
      <c r="I106" s="346">
        <f t="shared" si="107"/>
        <v>0</v>
      </c>
      <c r="J106" s="346">
        <f t="shared" si="107"/>
        <v>4190000</v>
      </c>
      <c r="K106" s="346">
        <f t="shared" si="107"/>
        <v>4190000</v>
      </c>
      <c r="L106" s="346">
        <f t="shared" si="107"/>
        <v>0</v>
      </c>
      <c r="M106" s="346">
        <f t="shared" si="107"/>
        <v>0</v>
      </c>
      <c r="N106" s="346">
        <f t="shared" si="107"/>
        <v>0</v>
      </c>
      <c r="O106" s="346">
        <f t="shared" si="107"/>
        <v>4190000</v>
      </c>
      <c r="P106" s="346">
        <f t="shared" si="107"/>
        <v>4190000</v>
      </c>
      <c r="Q106" s="191"/>
      <c r="R106" s="193"/>
    </row>
    <row r="107" spans="1:18" s="39" customFormat="1" ht="93" thickTop="1" thickBot="1" x14ac:dyDescent="0.25">
      <c r="A107" s="345" t="s">
        <v>1393</v>
      </c>
      <c r="B107" s="345" t="s">
        <v>1391</v>
      </c>
      <c r="C107" s="345"/>
      <c r="D107" s="345" t="s">
        <v>1390</v>
      </c>
      <c r="E107" s="347">
        <f>E108</f>
        <v>0</v>
      </c>
      <c r="F107" s="347">
        <f t="shared" si="107"/>
        <v>0</v>
      </c>
      <c r="G107" s="347">
        <f t="shared" si="107"/>
        <v>0</v>
      </c>
      <c r="H107" s="347">
        <f t="shared" si="107"/>
        <v>0</v>
      </c>
      <c r="I107" s="347">
        <f t="shared" si="107"/>
        <v>0</v>
      </c>
      <c r="J107" s="347">
        <f t="shared" si="107"/>
        <v>4190000</v>
      </c>
      <c r="K107" s="347">
        <f t="shared" si="107"/>
        <v>4190000</v>
      </c>
      <c r="L107" s="347">
        <f t="shared" si="107"/>
        <v>0</v>
      </c>
      <c r="M107" s="347">
        <f t="shared" si="107"/>
        <v>0</v>
      </c>
      <c r="N107" s="347">
        <f t="shared" si="107"/>
        <v>0</v>
      </c>
      <c r="O107" s="347">
        <f t="shared" si="107"/>
        <v>4190000</v>
      </c>
      <c r="P107" s="347">
        <f t="shared" si="107"/>
        <v>4190000</v>
      </c>
      <c r="Q107" s="191"/>
      <c r="R107" s="193"/>
    </row>
    <row r="108" spans="1:18" s="39" customFormat="1" ht="230.25" thickTop="1" thickBot="1" x14ac:dyDescent="0.25">
      <c r="A108" s="808" t="s">
        <v>1394</v>
      </c>
      <c r="B108" s="808" t="s">
        <v>1395</v>
      </c>
      <c r="C108" s="808" t="s">
        <v>184</v>
      </c>
      <c r="D108" s="808" t="s">
        <v>1396</v>
      </c>
      <c r="E108" s="804">
        <f t="shared" si="101"/>
        <v>0</v>
      </c>
      <c r="F108" s="305"/>
      <c r="G108" s="305"/>
      <c r="H108" s="305"/>
      <c r="I108" s="305"/>
      <c r="J108" s="804">
        <f t="shared" si="99"/>
        <v>4190000</v>
      </c>
      <c r="K108" s="305">
        <v>4190000</v>
      </c>
      <c r="L108" s="305"/>
      <c r="M108" s="305"/>
      <c r="N108" s="305"/>
      <c r="O108" s="810">
        <f>K108</f>
        <v>4190000</v>
      </c>
      <c r="P108" s="804">
        <f t="shared" si="97"/>
        <v>4190000</v>
      </c>
      <c r="Q108" s="191"/>
      <c r="R108" s="124" t="b">
        <f>K108='d6'!J101+'d6'!J102+'d6'!J103+'d6'!J104+'d6'!J105</f>
        <v>1</v>
      </c>
    </row>
    <row r="109" spans="1:18" s="377" customFormat="1" ht="136.5" thickTop="1" thickBot="1" x14ac:dyDescent="0.25">
      <c r="A109" s="379" t="s">
        <v>882</v>
      </c>
      <c r="B109" s="379" t="s">
        <v>847</v>
      </c>
      <c r="C109" s="379"/>
      <c r="D109" s="379" t="s">
        <v>845</v>
      </c>
      <c r="E109" s="346">
        <f>SUM(E110)</f>
        <v>0</v>
      </c>
      <c r="F109" s="346">
        <f t="shared" ref="F109:P109" si="108">SUM(F110)</f>
        <v>0</v>
      </c>
      <c r="G109" s="346">
        <f t="shared" si="108"/>
        <v>0</v>
      </c>
      <c r="H109" s="346">
        <f t="shared" si="108"/>
        <v>0</v>
      </c>
      <c r="I109" s="346">
        <f t="shared" si="108"/>
        <v>0</v>
      </c>
      <c r="J109" s="346">
        <f t="shared" si="108"/>
        <v>25373620</v>
      </c>
      <c r="K109" s="346">
        <f t="shared" si="108"/>
        <v>25373620</v>
      </c>
      <c r="L109" s="346">
        <f t="shared" si="108"/>
        <v>0</v>
      </c>
      <c r="M109" s="346">
        <f t="shared" si="108"/>
        <v>0</v>
      </c>
      <c r="N109" s="346">
        <f t="shared" si="108"/>
        <v>0</v>
      </c>
      <c r="O109" s="346">
        <f t="shared" si="108"/>
        <v>25373620</v>
      </c>
      <c r="P109" s="346">
        <f t="shared" si="108"/>
        <v>25373620</v>
      </c>
      <c r="Q109" s="382"/>
      <c r="R109" s="385"/>
    </row>
    <row r="110" spans="1:18" s="39" customFormat="1" ht="93" thickTop="1" thickBot="1" x14ac:dyDescent="0.25">
      <c r="A110" s="808" t="s">
        <v>466</v>
      </c>
      <c r="B110" s="808" t="s">
        <v>215</v>
      </c>
      <c r="C110" s="808" t="s">
        <v>184</v>
      </c>
      <c r="D110" s="808" t="s">
        <v>36</v>
      </c>
      <c r="E110" s="804">
        <f t="shared" si="101"/>
        <v>0</v>
      </c>
      <c r="F110" s="305"/>
      <c r="G110" s="305"/>
      <c r="H110" s="305"/>
      <c r="I110" s="305"/>
      <c r="J110" s="804">
        <f t="shared" si="99"/>
        <v>25373620</v>
      </c>
      <c r="K110" s="305">
        <f>3305200+(1000000-500000+281308.41-281308.41-20898-39200+(((5413599+372664+500000+500000+201012+437500)+800000+355048+952000-100000+6800000)+5396695))</f>
        <v>25373620</v>
      </c>
      <c r="L110" s="305"/>
      <c r="M110" s="305"/>
      <c r="N110" s="305"/>
      <c r="O110" s="810">
        <f t="shared" si="103"/>
        <v>25373620</v>
      </c>
      <c r="P110" s="804">
        <f t="shared" si="97"/>
        <v>25373620</v>
      </c>
      <c r="Q110" s="191"/>
      <c r="R110" s="124" t="b">
        <f>K110='d6'!J106+'d6'!J107+'d6'!J108+'d6'!J109+'d6'!J110+'d6'!J111+'d6'!J112+'d6'!J113+'d6'!J114+'d6'!J115+'d6'!J116+'d6'!J117+'d6'!J118+'d6'!J119+'d6'!J120+'d6'!J121</f>
        <v>1</v>
      </c>
    </row>
    <row r="111" spans="1:18" s="39" customFormat="1" ht="93" hidden="1" thickTop="1" thickBot="1" x14ac:dyDescent="0.25">
      <c r="A111" s="820" t="s">
        <v>556</v>
      </c>
      <c r="B111" s="820" t="s">
        <v>389</v>
      </c>
      <c r="C111" s="820" t="s">
        <v>45</v>
      </c>
      <c r="D111" s="820" t="s">
        <v>390</v>
      </c>
      <c r="E111" s="821">
        <f t="shared" si="101"/>
        <v>0</v>
      </c>
      <c r="F111" s="822"/>
      <c r="G111" s="822"/>
      <c r="H111" s="822"/>
      <c r="I111" s="822"/>
      <c r="J111" s="821">
        <f t="shared" si="99"/>
        <v>0</v>
      </c>
      <c r="K111" s="822"/>
      <c r="L111" s="822"/>
      <c r="M111" s="822"/>
      <c r="N111" s="822"/>
      <c r="O111" s="823">
        <f t="shared" si="103"/>
        <v>0</v>
      </c>
      <c r="P111" s="821">
        <f t="shared" si="97"/>
        <v>0</v>
      </c>
      <c r="Q111" s="191"/>
      <c r="R111" s="188"/>
    </row>
    <row r="112" spans="1:18" ht="226.5" thickTop="1" thickBot="1" x14ac:dyDescent="0.25">
      <c r="A112" s="825" t="s">
        <v>170</v>
      </c>
      <c r="B112" s="825"/>
      <c r="C112" s="825"/>
      <c r="D112" s="826" t="s">
        <v>39</v>
      </c>
      <c r="E112" s="827">
        <f>E113</f>
        <v>211765639</v>
      </c>
      <c r="F112" s="828">
        <f t="shared" ref="F112:G112" si="109">F113</f>
        <v>211765639</v>
      </c>
      <c r="G112" s="828">
        <f t="shared" si="109"/>
        <v>68218820</v>
      </c>
      <c r="H112" s="828">
        <f>H113</f>
        <v>2443322</v>
      </c>
      <c r="I112" s="828">
        <f t="shared" ref="I112" si="110">I113</f>
        <v>0</v>
      </c>
      <c r="J112" s="827">
        <f>J113</f>
        <v>29150680.309999999</v>
      </c>
      <c r="K112" s="828">
        <f>K113</f>
        <v>28533680.309999999</v>
      </c>
      <c r="L112" s="828">
        <f>L113</f>
        <v>617000</v>
      </c>
      <c r="M112" s="828">
        <f t="shared" ref="M112" si="111">M113</f>
        <v>104000</v>
      </c>
      <c r="N112" s="828">
        <f>N113</f>
        <v>137000</v>
      </c>
      <c r="O112" s="827">
        <f>O113</f>
        <v>28533680.309999999</v>
      </c>
      <c r="P112" s="828">
        <f>P113</f>
        <v>240916319.31</v>
      </c>
    </row>
    <row r="113" spans="1:20" ht="226.5" thickTop="1" thickBot="1" x14ac:dyDescent="0.25">
      <c r="A113" s="829" t="s">
        <v>171</v>
      </c>
      <c r="B113" s="829"/>
      <c r="C113" s="829"/>
      <c r="D113" s="830" t="s">
        <v>40</v>
      </c>
      <c r="E113" s="831">
        <f>E114+E118+E157+E161</f>
        <v>211765639</v>
      </c>
      <c r="F113" s="831">
        <f>F114+F118+F157+F161</f>
        <v>211765639</v>
      </c>
      <c r="G113" s="831">
        <f>G114+G118+G157+G161</f>
        <v>68218820</v>
      </c>
      <c r="H113" s="831">
        <f>H114+H118+H157+H161</f>
        <v>2443322</v>
      </c>
      <c r="I113" s="831">
        <f>I114+I118+I157+I161</f>
        <v>0</v>
      </c>
      <c r="J113" s="831">
        <f t="shared" ref="J113:J139" si="112">L113+O113</f>
        <v>29150680.309999999</v>
      </c>
      <c r="K113" s="831">
        <f>K114+K118+K157+K161</f>
        <v>28533680.309999999</v>
      </c>
      <c r="L113" s="831">
        <f>L114+L118+L157+L161</f>
        <v>617000</v>
      </c>
      <c r="M113" s="831">
        <f>M114+M118+M157+M161</f>
        <v>104000</v>
      </c>
      <c r="N113" s="831">
        <f>N114+N118+N157+N161</f>
        <v>137000</v>
      </c>
      <c r="O113" s="831">
        <f>O114+O118+O157+O161</f>
        <v>28533680.309999999</v>
      </c>
      <c r="P113" s="831">
        <f>E113+J113</f>
        <v>240916319.31</v>
      </c>
      <c r="Q113" s="125" t="b">
        <f>P113=P115+P116+P120+P121+P122+P123+P124+P129+P130+P133+P136+P138+P139+P155+P156+P159+P167+P125+P127+P135+P117+P126+P164+P132+P141+P144+P148+P151+P160</f>
        <v>1</v>
      </c>
      <c r="R113" s="234" t="b">
        <f>K113='d6'!J122</f>
        <v>1</v>
      </c>
      <c r="S113" s="234" t="b">
        <f>P113=P114+P118+P157+P161</f>
        <v>1</v>
      </c>
      <c r="T113" s="125"/>
    </row>
    <row r="114" spans="1:20" s="367" customFormat="1" ht="47.25" thickTop="1" thickBot="1" x14ac:dyDescent="0.25">
      <c r="A114" s="422" t="s">
        <v>884</v>
      </c>
      <c r="B114" s="422" t="s">
        <v>840</v>
      </c>
      <c r="C114" s="422"/>
      <c r="D114" s="422" t="s">
        <v>841</v>
      </c>
      <c r="E114" s="804">
        <f t="shared" ref="E114:P114" si="113">SUM(E115:E117)</f>
        <v>52184290</v>
      </c>
      <c r="F114" s="804">
        <f t="shared" si="113"/>
        <v>52184290</v>
      </c>
      <c r="G114" s="804">
        <f t="shared" si="113"/>
        <v>38775520</v>
      </c>
      <c r="H114" s="804">
        <f t="shared" si="113"/>
        <v>1046835</v>
      </c>
      <c r="I114" s="804">
        <f t="shared" si="113"/>
        <v>0</v>
      </c>
      <c r="J114" s="804">
        <f t="shared" si="113"/>
        <v>1229000</v>
      </c>
      <c r="K114" s="804">
        <f t="shared" si="113"/>
        <v>1229000</v>
      </c>
      <c r="L114" s="804">
        <f t="shared" si="113"/>
        <v>0</v>
      </c>
      <c r="M114" s="804">
        <f t="shared" si="113"/>
        <v>0</v>
      </c>
      <c r="N114" s="804">
        <f t="shared" si="113"/>
        <v>0</v>
      </c>
      <c r="O114" s="804">
        <f t="shared" si="113"/>
        <v>1229000</v>
      </c>
      <c r="P114" s="804">
        <f t="shared" si="113"/>
        <v>53413290</v>
      </c>
      <c r="Q114" s="125"/>
      <c r="R114" s="234"/>
      <c r="T114" s="125"/>
    </row>
    <row r="115" spans="1:20" ht="230.25" thickTop="1" thickBot="1" x14ac:dyDescent="0.25">
      <c r="A115" s="808" t="s">
        <v>443</v>
      </c>
      <c r="B115" s="808" t="s">
        <v>254</v>
      </c>
      <c r="C115" s="808" t="s">
        <v>252</v>
      </c>
      <c r="D115" s="808" t="s">
        <v>253</v>
      </c>
      <c r="E115" s="804">
        <f t="shared" ref="E115" si="114">F115</f>
        <v>52144290</v>
      </c>
      <c r="F115" s="305">
        <f>-87000+(-205000-200000+51000+124460-2900+20190+(-49000+((51797540-10000)+205000+300000+200000)))</f>
        <v>52144290</v>
      </c>
      <c r="G115" s="305">
        <f>74000+((38906520)-205000)</f>
        <v>38775520</v>
      </c>
      <c r="H115" s="305">
        <f>49000+(124460-2900+20190+(511665+29000+284370+31050))</f>
        <v>1046835</v>
      </c>
      <c r="I115" s="305"/>
      <c r="J115" s="804">
        <f t="shared" si="112"/>
        <v>1229000</v>
      </c>
      <c r="K115" s="305">
        <f>-30000+(49000+(49000+((911000)+250000)))</f>
        <v>1229000</v>
      </c>
      <c r="L115" s="305"/>
      <c r="M115" s="305"/>
      <c r="N115" s="305"/>
      <c r="O115" s="810">
        <f>K115</f>
        <v>1229000</v>
      </c>
      <c r="P115" s="804">
        <f t="shared" ref="P115:P130" si="115">E115+J115</f>
        <v>53373290</v>
      </c>
      <c r="Q115" s="194"/>
      <c r="R115" s="234" t="b">
        <f>K115='d6'!J124+'d6'!J125</f>
        <v>1</v>
      </c>
      <c r="T115" s="125"/>
    </row>
    <row r="116" spans="1:20" s="310" customFormat="1" ht="184.5" thickTop="1" thickBot="1" x14ac:dyDescent="0.25">
      <c r="A116" s="808" t="s">
        <v>783</v>
      </c>
      <c r="B116" s="808" t="s">
        <v>388</v>
      </c>
      <c r="C116" s="808" t="s">
        <v>775</v>
      </c>
      <c r="D116" s="808" t="s">
        <v>776</v>
      </c>
      <c r="E116" s="804">
        <f t="shared" ref="E116:E117" si="116">F116</f>
        <v>10000</v>
      </c>
      <c r="F116" s="305">
        <v>10000</v>
      </c>
      <c r="G116" s="305"/>
      <c r="H116" s="305"/>
      <c r="I116" s="305"/>
      <c r="J116" s="804">
        <f t="shared" ref="J116:J117" si="117">L116+O116</f>
        <v>0</v>
      </c>
      <c r="K116" s="305"/>
      <c r="L116" s="305"/>
      <c r="M116" s="305"/>
      <c r="N116" s="305"/>
      <c r="O116" s="810">
        <f>K116</f>
        <v>0</v>
      </c>
      <c r="P116" s="804">
        <f t="shared" ref="P116:P117" si="118">E116+J116</f>
        <v>10000</v>
      </c>
      <c r="Q116" s="194"/>
      <c r="R116" s="234"/>
      <c r="T116" s="125"/>
    </row>
    <row r="117" spans="1:20" s="522" customFormat="1" ht="93" thickTop="1" thickBot="1" x14ac:dyDescent="0.25">
      <c r="A117" s="806" t="s">
        <v>1133</v>
      </c>
      <c r="B117" s="806" t="s">
        <v>45</v>
      </c>
      <c r="C117" s="806" t="s">
        <v>44</v>
      </c>
      <c r="D117" s="806" t="s">
        <v>266</v>
      </c>
      <c r="E117" s="804">
        <f t="shared" si="116"/>
        <v>30000</v>
      </c>
      <c r="F117" s="305">
        <v>30000</v>
      </c>
      <c r="G117" s="305"/>
      <c r="H117" s="305"/>
      <c r="I117" s="305"/>
      <c r="J117" s="804">
        <f t="shared" si="117"/>
        <v>0</v>
      </c>
      <c r="K117" s="305"/>
      <c r="L117" s="305"/>
      <c r="M117" s="305"/>
      <c r="N117" s="305"/>
      <c r="O117" s="810"/>
      <c r="P117" s="804">
        <f t="shared" si="118"/>
        <v>30000</v>
      </c>
      <c r="Q117" s="194"/>
      <c r="R117" s="234"/>
      <c r="T117" s="125"/>
    </row>
    <row r="118" spans="1:20" s="367" customFormat="1" ht="91.5" thickTop="1" thickBot="1" x14ac:dyDescent="0.25">
      <c r="A118" s="422" t="s">
        <v>885</v>
      </c>
      <c r="B118" s="422" t="s">
        <v>867</v>
      </c>
      <c r="C118" s="422"/>
      <c r="D118" s="422" t="s">
        <v>868</v>
      </c>
      <c r="E118" s="804">
        <f t="shared" ref="E118:P118" si="119">SUM(E119:E156)-E119-E128-E137-E140-E154-E134-E131</f>
        <v>159581349</v>
      </c>
      <c r="F118" s="804">
        <f t="shared" si="119"/>
        <v>159581349</v>
      </c>
      <c r="G118" s="804">
        <f t="shared" si="119"/>
        <v>29443300</v>
      </c>
      <c r="H118" s="804">
        <f t="shared" si="119"/>
        <v>1396487</v>
      </c>
      <c r="I118" s="804">
        <f t="shared" si="119"/>
        <v>0</v>
      </c>
      <c r="J118" s="804">
        <f t="shared" si="119"/>
        <v>20179602.309999999</v>
      </c>
      <c r="K118" s="804">
        <f t="shared" si="119"/>
        <v>19884602.309999999</v>
      </c>
      <c r="L118" s="804">
        <f t="shared" si="119"/>
        <v>295000</v>
      </c>
      <c r="M118" s="804">
        <f t="shared" si="119"/>
        <v>104000</v>
      </c>
      <c r="N118" s="804">
        <f t="shared" si="119"/>
        <v>137000</v>
      </c>
      <c r="O118" s="804">
        <f t="shared" si="119"/>
        <v>19884602.309999999</v>
      </c>
      <c r="P118" s="804">
        <f t="shared" si="119"/>
        <v>179760951.31</v>
      </c>
      <c r="Q118" s="194"/>
      <c r="R118" s="234"/>
      <c r="T118" s="125"/>
    </row>
    <row r="119" spans="1:20" s="79" customFormat="1" ht="321.75" thickTop="1" thickBot="1" x14ac:dyDescent="0.25">
      <c r="A119" s="345" t="s">
        <v>886</v>
      </c>
      <c r="B119" s="345" t="s">
        <v>887</v>
      </c>
      <c r="C119" s="345"/>
      <c r="D119" s="345" t="s">
        <v>888</v>
      </c>
      <c r="E119" s="347">
        <f>SUM(E120:E124)</f>
        <v>77334700</v>
      </c>
      <c r="F119" s="347">
        <f t="shared" ref="F119:P119" si="120">SUM(F120:F124)</f>
        <v>77334700</v>
      </c>
      <c r="G119" s="347">
        <f t="shared" si="120"/>
        <v>0</v>
      </c>
      <c r="H119" s="347">
        <f t="shared" si="120"/>
        <v>0</v>
      </c>
      <c r="I119" s="347">
        <f t="shared" si="120"/>
        <v>0</v>
      </c>
      <c r="J119" s="347">
        <f t="shared" si="120"/>
        <v>115090</v>
      </c>
      <c r="K119" s="347">
        <f t="shared" si="120"/>
        <v>115090</v>
      </c>
      <c r="L119" s="347">
        <f t="shared" si="120"/>
        <v>0</v>
      </c>
      <c r="M119" s="347">
        <f t="shared" si="120"/>
        <v>0</v>
      </c>
      <c r="N119" s="347">
        <f t="shared" si="120"/>
        <v>0</v>
      </c>
      <c r="O119" s="347">
        <f t="shared" si="120"/>
        <v>115090</v>
      </c>
      <c r="P119" s="347">
        <f t="shared" si="120"/>
        <v>77449790</v>
      </c>
      <c r="Q119" s="219"/>
      <c r="R119" s="414"/>
      <c r="T119" s="415"/>
    </row>
    <row r="120" spans="1:20" s="39" customFormat="1" ht="138.75" thickTop="1" thickBot="1" x14ac:dyDescent="0.25">
      <c r="A120" s="808" t="s">
        <v>287</v>
      </c>
      <c r="B120" s="808" t="s">
        <v>288</v>
      </c>
      <c r="C120" s="808" t="s">
        <v>223</v>
      </c>
      <c r="D120" s="322" t="s">
        <v>289</v>
      </c>
      <c r="E120" s="804">
        <f>F120</f>
        <v>270000</v>
      </c>
      <c r="F120" s="305">
        <f>+((570000)-300000)</f>
        <v>270000</v>
      </c>
      <c r="G120" s="305"/>
      <c r="H120" s="305"/>
      <c r="I120" s="305"/>
      <c r="J120" s="804">
        <f t="shared" si="112"/>
        <v>115090</v>
      </c>
      <c r="K120" s="305">
        <f>(199000)-83910</f>
        <v>115090</v>
      </c>
      <c r="L120" s="305"/>
      <c r="M120" s="305"/>
      <c r="N120" s="305"/>
      <c r="O120" s="810">
        <f t="shared" ref="O120:O139" si="121">K120</f>
        <v>115090</v>
      </c>
      <c r="P120" s="804">
        <f t="shared" si="115"/>
        <v>385090</v>
      </c>
      <c r="Q120" s="191"/>
      <c r="R120" s="234" t="b">
        <f>K120='d6'!J126</f>
        <v>1</v>
      </c>
    </row>
    <row r="121" spans="1:20" s="39" customFormat="1" ht="138.75" thickTop="1" thickBot="1" x14ac:dyDescent="0.25">
      <c r="A121" s="808" t="s">
        <v>290</v>
      </c>
      <c r="B121" s="808" t="s">
        <v>291</v>
      </c>
      <c r="C121" s="808" t="s">
        <v>224</v>
      </c>
      <c r="D121" s="808" t="s">
        <v>6</v>
      </c>
      <c r="E121" s="804">
        <f t="shared" ref="E121:E167" si="122">F121</f>
        <v>950000</v>
      </c>
      <c r="F121" s="305">
        <f>+((1350000)-400000)</f>
        <v>950000</v>
      </c>
      <c r="G121" s="305"/>
      <c r="H121" s="305"/>
      <c r="I121" s="305"/>
      <c r="J121" s="804">
        <f t="shared" si="112"/>
        <v>0</v>
      </c>
      <c r="K121" s="305"/>
      <c r="L121" s="305"/>
      <c r="M121" s="305"/>
      <c r="N121" s="305"/>
      <c r="O121" s="810">
        <f t="shared" si="121"/>
        <v>0</v>
      </c>
      <c r="P121" s="804">
        <f t="shared" si="115"/>
        <v>950000</v>
      </c>
      <c r="Q121" s="191"/>
      <c r="R121" s="195"/>
    </row>
    <row r="122" spans="1:20" s="39" customFormat="1" ht="184.5" thickTop="1" thickBot="1" x14ac:dyDescent="0.25">
      <c r="A122" s="808" t="s">
        <v>293</v>
      </c>
      <c r="B122" s="808" t="s">
        <v>294</v>
      </c>
      <c r="C122" s="808" t="s">
        <v>224</v>
      </c>
      <c r="D122" s="808" t="s">
        <v>7</v>
      </c>
      <c r="E122" s="804">
        <f t="shared" si="122"/>
        <v>14700000</v>
      </c>
      <c r="F122" s="305">
        <f>(11250000)+3450000</f>
        <v>14700000</v>
      </c>
      <c r="G122" s="305"/>
      <c r="H122" s="305"/>
      <c r="I122" s="305"/>
      <c r="J122" s="804">
        <f t="shared" si="112"/>
        <v>0</v>
      </c>
      <c r="K122" s="305"/>
      <c r="L122" s="305"/>
      <c r="M122" s="305"/>
      <c r="N122" s="305"/>
      <c r="O122" s="810">
        <f t="shared" si="121"/>
        <v>0</v>
      </c>
      <c r="P122" s="804">
        <f t="shared" si="115"/>
        <v>14700000</v>
      </c>
      <c r="Q122" s="191"/>
      <c r="R122" s="195"/>
    </row>
    <row r="123" spans="1:20" s="39" customFormat="1" ht="184.5" thickTop="1" thickBot="1" x14ac:dyDescent="0.25">
      <c r="A123" s="808" t="s">
        <v>295</v>
      </c>
      <c r="B123" s="808" t="s">
        <v>292</v>
      </c>
      <c r="C123" s="808" t="s">
        <v>224</v>
      </c>
      <c r="D123" s="808" t="s">
        <v>8</v>
      </c>
      <c r="E123" s="804">
        <f t="shared" si="122"/>
        <v>610000</v>
      </c>
      <c r="F123" s="305">
        <f>110000+(500000)</f>
        <v>610000</v>
      </c>
      <c r="G123" s="305"/>
      <c r="H123" s="305"/>
      <c r="I123" s="305"/>
      <c r="J123" s="804">
        <f t="shared" si="112"/>
        <v>0</v>
      </c>
      <c r="K123" s="305"/>
      <c r="L123" s="305"/>
      <c r="M123" s="305"/>
      <c r="N123" s="305"/>
      <c r="O123" s="810">
        <f t="shared" si="121"/>
        <v>0</v>
      </c>
      <c r="P123" s="804">
        <f t="shared" si="115"/>
        <v>610000</v>
      </c>
      <c r="Q123" s="191"/>
      <c r="R123" s="195"/>
    </row>
    <row r="124" spans="1:20" s="39" customFormat="1" ht="184.5" thickTop="1" thickBot="1" x14ac:dyDescent="0.25">
      <c r="A124" s="808" t="s">
        <v>296</v>
      </c>
      <c r="B124" s="808" t="s">
        <v>297</v>
      </c>
      <c r="C124" s="808" t="s">
        <v>224</v>
      </c>
      <c r="D124" s="808" t="s">
        <v>9</v>
      </c>
      <c r="E124" s="804">
        <f t="shared" si="122"/>
        <v>60804700</v>
      </c>
      <c r="F124" s="305">
        <f>3000000+((74942240)-17137540)</f>
        <v>60804700</v>
      </c>
      <c r="G124" s="305"/>
      <c r="H124" s="305"/>
      <c r="I124" s="305"/>
      <c r="J124" s="804">
        <f t="shared" si="112"/>
        <v>0</v>
      </c>
      <c r="K124" s="305"/>
      <c r="L124" s="305"/>
      <c r="M124" s="305"/>
      <c r="N124" s="305"/>
      <c r="O124" s="810">
        <f t="shared" si="121"/>
        <v>0</v>
      </c>
      <c r="P124" s="804">
        <f t="shared" si="115"/>
        <v>60804700</v>
      </c>
      <c r="Q124" s="191"/>
      <c r="R124" s="195"/>
    </row>
    <row r="125" spans="1:20" s="39" customFormat="1" ht="184.5" thickTop="1" thickBot="1" x14ac:dyDescent="0.25">
      <c r="A125" s="808" t="s">
        <v>522</v>
      </c>
      <c r="B125" s="808" t="s">
        <v>523</v>
      </c>
      <c r="C125" s="808" t="s">
        <v>224</v>
      </c>
      <c r="D125" s="808" t="s">
        <v>524</v>
      </c>
      <c r="E125" s="804">
        <f t="shared" si="122"/>
        <v>206796</v>
      </c>
      <c r="F125" s="305">
        <v>206796</v>
      </c>
      <c r="G125" s="305"/>
      <c r="H125" s="305"/>
      <c r="I125" s="305"/>
      <c r="J125" s="804">
        <f t="shared" si="112"/>
        <v>0</v>
      </c>
      <c r="K125" s="305"/>
      <c r="L125" s="305"/>
      <c r="M125" s="305"/>
      <c r="N125" s="305"/>
      <c r="O125" s="810">
        <f t="shared" si="121"/>
        <v>0</v>
      </c>
      <c r="P125" s="804">
        <f t="shared" si="115"/>
        <v>206796</v>
      </c>
      <c r="Q125" s="191"/>
      <c r="R125" s="195"/>
    </row>
    <row r="126" spans="1:20" s="39" customFormat="1" ht="138.75" thickTop="1" thickBot="1" x14ac:dyDescent="0.25">
      <c r="A126" s="808" t="s">
        <v>1134</v>
      </c>
      <c r="B126" s="808" t="s">
        <v>1135</v>
      </c>
      <c r="C126" s="808" t="s">
        <v>224</v>
      </c>
      <c r="D126" s="808" t="s">
        <v>1136</v>
      </c>
      <c r="E126" s="804">
        <f t="shared" ref="E126" si="123">F126</f>
        <v>180000</v>
      </c>
      <c r="F126" s="305">
        <v>180000</v>
      </c>
      <c r="G126" s="305"/>
      <c r="H126" s="305"/>
      <c r="I126" s="305"/>
      <c r="J126" s="804">
        <f t="shared" ref="J126" si="124">L126+O126</f>
        <v>0</v>
      </c>
      <c r="K126" s="305"/>
      <c r="L126" s="305"/>
      <c r="M126" s="305"/>
      <c r="N126" s="305"/>
      <c r="O126" s="810">
        <f t="shared" ref="O126" si="125">K126</f>
        <v>0</v>
      </c>
      <c r="P126" s="804">
        <f t="shared" ref="P126" si="126">E126+J126</f>
        <v>180000</v>
      </c>
      <c r="Q126" s="191"/>
      <c r="R126" s="195"/>
    </row>
    <row r="127" spans="1:20" ht="138.75" thickTop="1" thickBot="1" x14ac:dyDescent="0.25">
      <c r="A127" s="808" t="s">
        <v>525</v>
      </c>
      <c r="B127" s="808" t="s">
        <v>526</v>
      </c>
      <c r="C127" s="808" t="s">
        <v>223</v>
      </c>
      <c r="D127" s="808" t="s">
        <v>527</v>
      </c>
      <c r="E127" s="804">
        <f t="shared" si="122"/>
        <v>353047</v>
      </c>
      <c r="F127" s="305">
        <v>353047</v>
      </c>
      <c r="G127" s="305"/>
      <c r="H127" s="305"/>
      <c r="I127" s="305"/>
      <c r="J127" s="804">
        <f t="shared" si="112"/>
        <v>0</v>
      </c>
      <c r="K127" s="305"/>
      <c r="L127" s="305"/>
      <c r="M127" s="305"/>
      <c r="N127" s="305"/>
      <c r="O127" s="810">
        <f>K127</f>
        <v>0</v>
      </c>
      <c r="P127" s="804">
        <f t="shared" si="115"/>
        <v>353047</v>
      </c>
      <c r="R127" s="195"/>
    </row>
    <row r="128" spans="1:20" s="39" customFormat="1" ht="276" thickTop="1" thickBot="1" x14ac:dyDescent="0.25">
      <c r="A128" s="345" t="s">
        <v>889</v>
      </c>
      <c r="B128" s="345" t="s">
        <v>890</v>
      </c>
      <c r="C128" s="345"/>
      <c r="D128" s="345" t="s">
        <v>891</v>
      </c>
      <c r="E128" s="347">
        <f>SUM(E129:E130)</f>
        <v>36137600</v>
      </c>
      <c r="F128" s="347">
        <f t="shared" ref="F128:P128" si="127">SUM(F129:F130)</f>
        <v>36137600</v>
      </c>
      <c r="G128" s="347">
        <f t="shared" si="127"/>
        <v>25148685</v>
      </c>
      <c r="H128" s="347">
        <f t="shared" si="127"/>
        <v>969960</v>
      </c>
      <c r="I128" s="347">
        <f t="shared" si="127"/>
        <v>0</v>
      </c>
      <c r="J128" s="347">
        <f t="shared" si="127"/>
        <v>321440</v>
      </c>
      <c r="K128" s="347">
        <f t="shared" si="127"/>
        <v>171440</v>
      </c>
      <c r="L128" s="347">
        <f t="shared" si="127"/>
        <v>150000</v>
      </c>
      <c r="M128" s="347">
        <f t="shared" si="127"/>
        <v>100000</v>
      </c>
      <c r="N128" s="347">
        <f t="shared" si="127"/>
        <v>3000</v>
      </c>
      <c r="O128" s="347">
        <f t="shared" si="127"/>
        <v>171440</v>
      </c>
      <c r="P128" s="347">
        <f t="shared" si="127"/>
        <v>36459040</v>
      </c>
      <c r="Q128" s="191"/>
      <c r="R128" s="416"/>
    </row>
    <row r="129" spans="1:18" ht="276" thickTop="1" thickBot="1" x14ac:dyDescent="0.25">
      <c r="A129" s="808" t="s">
        <v>285</v>
      </c>
      <c r="B129" s="808" t="s">
        <v>283</v>
      </c>
      <c r="C129" s="808" t="s">
        <v>218</v>
      </c>
      <c r="D129" s="808" t="s">
        <v>17</v>
      </c>
      <c r="E129" s="804">
        <f t="shared" si="122"/>
        <v>28467620</v>
      </c>
      <c r="F129" s="305">
        <f>50000-17200-20300-14000+(108000+400000+((27960820)-25000+2060+10800+12440))</f>
        <v>28467620</v>
      </c>
      <c r="G129" s="305">
        <v>19746545</v>
      </c>
      <c r="H129" s="305">
        <f>132700+(50000-17200-20300-14000+((266000+30800+72660+10800)+2060+10800+12440))</f>
        <v>536760</v>
      </c>
      <c r="I129" s="305"/>
      <c r="J129" s="804">
        <f t="shared" si="112"/>
        <v>278000</v>
      </c>
      <c r="K129" s="305">
        <f>58000+15000+25000+30000</f>
        <v>128000</v>
      </c>
      <c r="L129" s="305">
        <f>(100000+22000+15000+4000+6000+1500+500+1000)</f>
        <v>150000</v>
      </c>
      <c r="M129" s="305">
        <v>100000</v>
      </c>
      <c r="N129" s="305">
        <f>(1500+500+1000)</f>
        <v>3000</v>
      </c>
      <c r="O129" s="810">
        <f t="shared" si="121"/>
        <v>128000</v>
      </c>
      <c r="P129" s="804">
        <f t="shared" si="115"/>
        <v>28745620</v>
      </c>
      <c r="R129" s="234" t="b">
        <f>K129='d6'!J127</f>
        <v>1</v>
      </c>
    </row>
    <row r="130" spans="1:18" ht="138.75" thickTop="1" thickBot="1" x14ac:dyDescent="0.25">
      <c r="A130" s="808" t="s">
        <v>286</v>
      </c>
      <c r="B130" s="808" t="s">
        <v>284</v>
      </c>
      <c r="C130" s="808" t="s">
        <v>217</v>
      </c>
      <c r="D130" s="808" t="s">
        <v>491</v>
      </c>
      <c r="E130" s="804">
        <f t="shared" si="122"/>
        <v>7669980</v>
      </c>
      <c r="F130" s="305">
        <f>45000+(69300+1900-6850-10000+13500+23265+2000-29300+(14525+4550+((7298180)+112800+1570+107500+19900+2140)))</f>
        <v>7669980</v>
      </c>
      <c r="G130" s="305">
        <f>(3013390+2388750)</f>
        <v>5402140</v>
      </c>
      <c r="H130" s="305">
        <f>69300+1900+23265+2000+((133610+1950+28250+148195+4870+19620+240))</f>
        <v>433200</v>
      </c>
      <c r="I130" s="305"/>
      <c r="J130" s="804">
        <f t="shared" si="112"/>
        <v>43440</v>
      </c>
      <c r="K130" s="305">
        <v>43440</v>
      </c>
      <c r="L130" s="305"/>
      <c r="M130" s="305"/>
      <c r="N130" s="305"/>
      <c r="O130" s="810">
        <f t="shared" si="121"/>
        <v>43440</v>
      </c>
      <c r="P130" s="804">
        <f t="shared" si="115"/>
        <v>7713420</v>
      </c>
      <c r="R130" s="234" t="b">
        <f>K130='d6'!J128</f>
        <v>1</v>
      </c>
    </row>
    <row r="131" spans="1:18" s="658" customFormat="1" ht="138.75" thickTop="1" thickBot="1" x14ac:dyDescent="0.25">
      <c r="A131" s="345" t="s">
        <v>1341</v>
      </c>
      <c r="B131" s="345" t="s">
        <v>922</v>
      </c>
      <c r="C131" s="345"/>
      <c r="D131" s="345" t="s">
        <v>923</v>
      </c>
      <c r="E131" s="347">
        <f>E132</f>
        <v>267380</v>
      </c>
      <c r="F131" s="347">
        <f t="shared" ref="F131:P131" si="128">F132</f>
        <v>267380</v>
      </c>
      <c r="G131" s="347">
        <f t="shared" si="128"/>
        <v>0</v>
      </c>
      <c r="H131" s="347">
        <f t="shared" si="128"/>
        <v>0</v>
      </c>
      <c r="I131" s="347">
        <f t="shared" si="128"/>
        <v>0</v>
      </c>
      <c r="J131" s="347">
        <f t="shared" si="128"/>
        <v>2304215</v>
      </c>
      <c r="K131" s="347">
        <f t="shared" si="128"/>
        <v>2304215</v>
      </c>
      <c r="L131" s="347">
        <f t="shared" si="128"/>
        <v>0</v>
      </c>
      <c r="M131" s="347">
        <f t="shared" si="128"/>
        <v>0</v>
      </c>
      <c r="N131" s="347">
        <f t="shared" si="128"/>
        <v>0</v>
      </c>
      <c r="O131" s="347">
        <f t="shared" si="128"/>
        <v>2304215</v>
      </c>
      <c r="P131" s="347">
        <f t="shared" si="128"/>
        <v>2571595</v>
      </c>
      <c r="Q131" s="666"/>
      <c r="R131" s="234"/>
    </row>
    <row r="132" spans="1:18" s="658" customFormat="1" ht="276" thickTop="1" thickBot="1" x14ac:dyDescent="0.25">
      <c r="A132" s="808" t="s">
        <v>1342</v>
      </c>
      <c r="B132" s="808" t="s">
        <v>1343</v>
      </c>
      <c r="C132" s="808" t="s">
        <v>203</v>
      </c>
      <c r="D132" s="808" t="s">
        <v>1344</v>
      </c>
      <c r="E132" s="804">
        <f t="shared" ref="E132" si="129">F132</f>
        <v>267380</v>
      </c>
      <c r="F132" s="305">
        <v>267380</v>
      </c>
      <c r="G132" s="305"/>
      <c r="H132" s="305"/>
      <c r="I132" s="305"/>
      <c r="J132" s="804">
        <f t="shared" ref="J132" si="130">L132+O132</f>
        <v>2304215</v>
      </c>
      <c r="K132" s="305">
        <f>166110+1240000+898105</f>
        <v>2304215</v>
      </c>
      <c r="L132" s="305"/>
      <c r="M132" s="305"/>
      <c r="N132" s="305"/>
      <c r="O132" s="810">
        <f t="shared" ref="O132" si="131">K132</f>
        <v>2304215</v>
      </c>
      <c r="P132" s="804">
        <f t="shared" ref="P132" si="132">E132+J132</f>
        <v>2571595</v>
      </c>
      <c r="Q132" s="666"/>
      <c r="R132" s="234" t="b">
        <f>K132='d6'!J129+'d6'!J130</f>
        <v>1</v>
      </c>
    </row>
    <row r="133" spans="1:18" ht="409.6" thickTop="1" thickBot="1" x14ac:dyDescent="0.25">
      <c r="A133" s="808" t="s">
        <v>281</v>
      </c>
      <c r="B133" s="808" t="s">
        <v>282</v>
      </c>
      <c r="C133" s="808" t="s">
        <v>217</v>
      </c>
      <c r="D133" s="808" t="s">
        <v>489</v>
      </c>
      <c r="E133" s="804">
        <f t="shared" si="122"/>
        <v>2246695</v>
      </c>
      <c r="F133" s="305">
        <f>((1242695)+1000000)+4000</f>
        <v>2246695</v>
      </c>
      <c r="G133" s="305"/>
      <c r="H133" s="305"/>
      <c r="I133" s="305"/>
      <c r="J133" s="804">
        <f t="shared" si="112"/>
        <v>0</v>
      </c>
      <c r="K133" s="804"/>
      <c r="L133" s="305"/>
      <c r="M133" s="305"/>
      <c r="N133" s="305"/>
      <c r="O133" s="810">
        <f t="shared" si="121"/>
        <v>0</v>
      </c>
      <c r="P133" s="804">
        <f>+J133+E133</f>
        <v>2246695</v>
      </c>
      <c r="R133" s="195"/>
    </row>
    <row r="134" spans="1:18" s="468" customFormat="1" ht="138.75" thickTop="1" thickBot="1" x14ac:dyDescent="0.25">
      <c r="A134" s="345" t="s">
        <v>1052</v>
      </c>
      <c r="B134" s="345" t="s">
        <v>1053</v>
      </c>
      <c r="C134" s="345"/>
      <c r="D134" s="345" t="s">
        <v>1054</v>
      </c>
      <c r="E134" s="347">
        <f t="shared" si="122"/>
        <v>147491</v>
      </c>
      <c r="F134" s="347">
        <f>F135</f>
        <v>147491</v>
      </c>
      <c r="G134" s="347">
        <f t="shared" ref="G134:I134" si="133">G135</f>
        <v>0</v>
      </c>
      <c r="H134" s="347">
        <f t="shared" si="133"/>
        <v>0</v>
      </c>
      <c r="I134" s="347">
        <f t="shared" si="133"/>
        <v>0</v>
      </c>
      <c r="J134" s="347">
        <f t="shared" si="112"/>
        <v>0</v>
      </c>
      <c r="K134" s="347">
        <f t="shared" ref="K134:N134" si="134">K135</f>
        <v>0</v>
      </c>
      <c r="L134" s="347">
        <f t="shared" si="134"/>
        <v>0</v>
      </c>
      <c r="M134" s="347">
        <f t="shared" si="134"/>
        <v>0</v>
      </c>
      <c r="N134" s="347">
        <f t="shared" si="134"/>
        <v>0</v>
      </c>
      <c r="O134" s="347">
        <f t="shared" si="121"/>
        <v>0</v>
      </c>
      <c r="P134" s="347">
        <f>+J134+E134</f>
        <v>147491</v>
      </c>
      <c r="Q134" s="471"/>
      <c r="R134" s="195"/>
    </row>
    <row r="135" spans="1:18" ht="276" thickTop="1" thickBot="1" x14ac:dyDescent="0.25">
      <c r="A135" s="808" t="s">
        <v>528</v>
      </c>
      <c r="B135" s="808" t="s">
        <v>529</v>
      </c>
      <c r="C135" s="808" t="s">
        <v>217</v>
      </c>
      <c r="D135" s="808" t="s">
        <v>530</v>
      </c>
      <c r="E135" s="804">
        <f t="shared" si="122"/>
        <v>147491</v>
      </c>
      <c r="F135" s="305">
        <v>147491</v>
      </c>
      <c r="G135" s="305"/>
      <c r="H135" s="305"/>
      <c r="I135" s="305"/>
      <c r="J135" s="804">
        <f t="shared" si="112"/>
        <v>0</v>
      </c>
      <c r="K135" s="804"/>
      <c r="L135" s="305"/>
      <c r="M135" s="305"/>
      <c r="N135" s="305"/>
      <c r="O135" s="810">
        <f t="shared" si="121"/>
        <v>0</v>
      </c>
      <c r="P135" s="804">
        <f>+J135+E135</f>
        <v>147491</v>
      </c>
      <c r="R135" s="195"/>
    </row>
    <row r="136" spans="1:18" ht="367.5" thickTop="1" thickBot="1" x14ac:dyDescent="0.25">
      <c r="A136" s="808" t="s">
        <v>374</v>
      </c>
      <c r="B136" s="808" t="s">
        <v>373</v>
      </c>
      <c r="C136" s="808" t="s">
        <v>52</v>
      </c>
      <c r="D136" s="808" t="s">
        <v>490</v>
      </c>
      <c r="E136" s="804">
        <f t="shared" si="122"/>
        <v>2625425</v>
      </c>
      <c r="F136" s="305">
        <f>+(2625425)</f>
        <v>2625425</v>
      </c>
      <c r="G136" s="305"/>
      <c r="H136" s="305"/>
      <c r="I136" s="305"/>
      <c r="J136" s="804">
        <f t="shared" si="112"/>
        <v>0</v>
      </c>
      <c r="K136" s="804"/>
      <c r="L136" s="305"/>
      <c r="M136" s="305"/>
      <c r="N136" s="305"/>
      <c r="O136" s="810">
        <f t="shared" si="121"/>
        <v>0</v>
      </c>
      <c r="P136" s="804">
        <f>E136+J136</f>
        <v>2625425</v>
      </c>
      <c r="R136" s="195"/>
    </row>
    <row r="137" spans="1:18" s="39" customFormat="1" ht="93" thickTop="1" thickBot="1" x14ac:dyDescent="0.25">
      <c r="A137" s="345" t="s">
        <v>892</v>
      </c>
      <c r="B137" s="345" t="s">
        <v>893</v>
      </c>
      <c r="C137" s="345"/>
      <c r="D137" s="345" t="s">
        <v>894</v>
      </c>
      <c r="E137" s="347">
        <f>E138</f>
        <v>530000</v>
      </c>
      <c r="F137" s="347">
        <f t="shared" ref="F137:P137" si="135">F138</f>
        <v>530000</v>
      </c>
      <c r="G137" s="347">
        <f t="shared" si="135"/>
        <v>0</v>
      </c>
      <c r="H137" s="347">
        <f t="shared" si="135"/>
        <v>0</v>
      </c>
      <c r="I137" s="347">
        <f t="shared" si="135"/>
        <v>0</v>
      </c>
      <c r="J137" s="347">
        <f t="shared" si="135"/>
        <v>0</v>
      </c>
      <c r="K137" s="347">
        <f t="shared" si="135"/>
        <v>0</v>
      </c>
      <c r="L137" s="347">
        <f t="shared" si="135"/>
        <v>0</v>
      </c>
      <c r="M137" s="347">
        <f t="shared" si="135"/>
        <v>0</v>
      </c>
      <c r="N137" s="347">
        <f t="shared" si="135"/>
        <v>0</v>
      </c>
      <c r="O137" s="347">
        <f t="shared" si="135"/>
        <v>0</v>
      </c>
      <c r="P137" s="347">
        <f t="shared" si="135"/>
        <v>530000</v>
      </c>
      <c r="Q137" s="191"/>
      <c r="R137" s="416"/>
    </row>
    <row r="138" spans="1:18" ht="230.25" thickTop="1" thickBot="1" x14ac:dyDescent="0.25">
      <c r="A138" s="808" t="s">
        <v>350</v>
      </c>
      <c r="B138" s="808" t="s">
        <v>351</v>
      </c>
      <c r="C138" s="808" t="s">
        <v>223</v>
      </c>
      <c r="D138" s="808" t="s">
        <v>790</v>
      </c>
      <c r="E138" s="804">
        <f t="shared" si="122"/>
        <v>530000</v>
      </c>
      <c r="F138" s="305">
        <f>(500000)+30000</f>
        <v>530000</v>
      </c>
      <c r="G138" s="305"/>
      <c r="H138" s="305"/>
      <c r="I138" s="305"/>
      <c r="J138" s="804">
        <f t="shared" si="112"/>
        <v>0</v>
      </c>
      <c r="K138" s="305"/>
      <c r="L138" s="305"/>
      <c r="M138" s="305"/>
      <c r="N138" s="305"/>
      <c r="O138" s="810">
        <f t="shared" si="121"/>
        <v>0</v>
      </c>
      <c r="P138" s="804">
        <f>E138+J138</f>
        <v>530000</v>
      </c>
      <c r="R138" s="195"/>
    </row>
    <row r="139" spans="1:18" ht="93" thickTop="1" thickBot="1" x14ac:dyDescent="0.25">
      <c r="A139" s="808" t="s">
        <v>456</v>
      </c>
      <c r="B139" s="808" t="s">
        <v>398</v>
      </c>
      <c r="C139" s="808" t="s">
        <v>399</v>
      </c>
      <c r="D139" s="808" t="s">
        <v>397</v>
      </c>
      <c r="E139" s="809">
        <f t="shared" si="122"/>
        <v>100040</v>
      </c>
      <c r="F139" s="305">
        <v>100040</v>
      </c>
      <c r="G139" s="305">
        <v>82000</v>
      </c>
      <c r="H139" s="305"/>
      <c r="I139" s="305"/>
      <c r="J139" s="804">
        <f t="shared" si="112"/>
        <v>0</v>
      </c>
      <c r="K139" s="305"/>
      <c r="L139" s="305"/>
      <c r="M139" s="305"/>
      <c r="N139" s="305"/>
      <c r="O139" s="810">
        <f t="shared" si="121"/>
        <v>0</v>
      </c>
      <c r="P139" s="804">
        <f>E139+J139</f>
        <v>100040</v>
      </c>
      <c r="R139" s="195"/>
    </row>
    <row r="140" spans="1:18" s="752" customFormat="1" ht="230.25" thickTop="1" thickBot="1" x14ac:dyDescent="0.25">
      <c r="A140" s="345" t="s">
        <v>1401</v>
      </c>
      <c r="B140" s="345" t="s">
        <v>1402</v>
      </c>
      <c r="C140" s="345"/>
      <c r="D140" s="345" t="s">
        <v>1400</v>
      </c>
      <c r="E140" s="347">
        <f>E141+E144+E148+E151</f>
        <v>0</v>
      </c>
      <c r="F140" s="347">
        <f t="shared" ref="F140:P140" si="136">F141+F144+F148+F151</f>
        <v>0</v>
      </c>
      <c r="G140" s="347">
        <f t="shared" si="136"/>
        <v>0</v>
      </c>
      <c r="H140" s="347">
        <f t="shared" si="136"/>
        <v>0</v>
      </c>
      <c r="I140" s="347">
        <f t="shared" si="136"/>
        <v>0</v>
      </c>
      <c r="J140" s="347">
        <f t="shared" si="136"/>
        <v>16573607.309999999</v>
      </c>
      <c r="K140" s="347">
        <f t="shared" si="136"/>
        <v>16573607.309999999</v>
      </c>
      <c r="L140" s="347">
        <f t="shared" si="136"/>
        <v>0</v>
      </c>
      <c r="M140" s="347">
        <f t="shared" si="136"/>
        <v>0</v>
      </c>
      <c r="N140" s="347">
        <f t="shared" si="136"/>
        <v>0</v>
      </c>
      <c r="O140" s="347">
        <f t="shared" si="136"/>
        <v>16573607.309999999</v>
      </c>
      <c r="P140" s="347">
        <f t="shared" si="136"/>
        <v>16573607.309999999</v>
      </c>
      <c r="Q140" s="758"/>
      <c r="R140" s="195"/>
    </row>
    <row r="141" spans="1:18" s="752" customFormat="1" ht="409.6" thickTop="1" x14ac:dyDescent="0.65">
      <c r="A141" s="974" t="s">
        <v>1406</v>
      </c>
      <c r="B141" s="974" t="s">
        <v>1407</v>
      </c>
      <c r="C141" s="974" t="s">
        <v>52</v>
      </c>
      <c r="D141" s="832" t="s">
        <v>1403</v>
      </c>
      <c r="E141" s="966">
        <f t="shared" ref="E141:E144" si="137">F141</f>
        <v>0</v>
      </c>
      <c r="F141" s="966"/>
      <c r="G141" s="966"/>
      <c r="H141" s="966"/>
      <c r="I141" s="966"/>
      <c r="J141" s="966">
        <f t="shared" ref="J141:J144" si="138">L141+O141</f>
        <v>11298891.529999999</v>
      </c>
      <c r="K141" s="969">
        <v>11298891.529999999</v>
      </c>
      <c r="L141" s="966"/>
      <c r="M141" s="966"/>
      <c r="N141" s="966"/>
      <c r="O141" s="969">
        <f t="shared" ref="O141:O144" si="139">K141</f>
        <v>11298891.529999999</v>
      </c>
      <c r="P141" s="966">
        <f t="shared" ref="P141:P144" si="140">E141+J141</f>
        <v>11298891.529999999</v>
      </c>
      <c r="Q141" s="976"/>
      <c r="R141" s="972" t="b">
        <f>K141='d6'!J131</f>
        <v>1</v>
      </c>
    </row>
    <row r="142" spans="1:18" s="752" customFormat="1" ht="409.5" x14ac:dyDescent="0.2">
      <c r="A142" s="967"/>
      <c r="B142" s="967"/>
      <c r="C142" s="967"/>
      <c r="D142" s="833" t="s">
        <v>1404</v>
      </c>
      <c r="E142" s="967"/>
      <c r="F142" s="967"/>
      <c r="G142" s="967"/>
      <c r="H142" s="967"/>
      <c r="I142" s="967"/>
      <c r="J142" s="967"/>
      <c r="K142" s="970"/>
      <c r="L142" s="967"/>
      <c r="M142" s="967"/>
      <c r="N142" s="967"/>
      <c r="O142" s="970"/>
      <c r="P142" s="967"/>
      <c r="Q142" s="977"/>
      <c r="R142" s="973"/>
    </row>
    <row r="143" spans="1:18" s="752" customFormat="1" ht="409.6" thickBot="1" x14ac:dyDescent="0.25">
      <c r="A143" s="968"/>
      <c r="B143" s="968"/>
      <c r="C143" s="968"/>
      <c r="D143" s="834" t="s">
        <v>1405</v>
      </c>
      <c r="E143" s="968"/>
      <c r="F143" s="968"/>
      <c r="G143" s="968"/>
      <c r="H143" s="968"/>
      <c r="I143" s="968"/>
      <c r="J143" s="968"/>
      <c r="K143" s="971"/>
      <c r="L143" s="968"/>
      <c r="M143" s="968"/>
      <c r="N143" s="968"/>
      <c r="O143" s="971"/>
      <c r="P143" s="968"/>
      <c r="Q143" s="977"/>
      <c r="R143" s="973"/>
    </row>
    <row r="144" spans="1:18" s="752" customFormat="1" ht="409.6" thickTop="1" x14ac:dyDescent="0.65">
      <c r="A144" s="974" t="s">
        <v>1412</v>
      </c>
      <c r="B144" s="974" t="s">
        <v>1413</v>
      </c>
      <c r="C144" s="974" t="s">
        <v>52</v>
      </c>
      <c r="D144" s="832" t="s">
        <v>1408</v>
      </c>
      <c r="E144" s="966">
        <f t="shared" si="137"/>
        <v>0</v>
      </c>
      <c r="F144" s="966"/>
      <c r="G144" s="966"/>
      <c r="H144" s="966"/>
      <c r="I144" s="966"/>
      <c r="J144" s="966">
        <f t="shared" si="138"/>
        <v>1751965</v>
      </c>
      <c r="K144" s="969">
        <v>1751965</v>
      </c>
      <c r="L144" s="966"/>
      <c r="M144" s="966"/>
      <c r="N144" s="966"/>
      <c r="O144" s="966">
        <f t="shared" si="139"/>
        <v>1751965</v>
      </c>
      <c r="P144" s="966">
        <f t="shared" si="140"/>
        <v>1751965</v>
      </c>
      <c r="Q144" s="758"/>
      <c r="R144" s="972" t="b">
        <f>K144='d6'!J134</f>
        <v>1</v>
      </c>
    </row>
    <row r="145" spans="1:18" s="752" customFormat="1" ht="409.5" x14ac:dyDescent="0.2">
      <c r="A145" s="967"/>
      <c r="B145" s="967"/>
      <c r="C145" s="967"/>
      <c r="D145" s="833" t="s">
        <v>1409</v>
      </c>
      <c r="E145" s="967"/>
      <c r="F145" s="967"/>
      <c r="G145" s="967"/>
      <c r="H145" s="967"/>
      <c r="I145" s="967"/>
      <c r="J145" s="967"/>
      <c r="K145" s="970"/>
      <c r="L145" s="967"/>
      <c r="M145" s="967"/>
      <c r="N145" s="967"/>
      <c r="O145" s="967"/>
      <c r="P145" s="967"/>
      <c r="Q145" s="758"/>
      <c r="R145" s="975"/>
    </row>
    <row r="146" spans="1:18" s="752" customFormat="1" ht="409.5" x14ac:dyDescent="0.2">
      <c r="A146" s="967"/>
      <c r="B146" s="967"/>
      <c r="C146" s="967"/>
      <c r="D146" s="833" t="s">
        <v>1410</v>
      </c>
      <c r="E146" s="967"/>
      <c r="F146" s="967"/>
      <c r="G146" s="967"/>
      <c r="H146" s="967"/>
      <c r="I146" s="967"/>
      <c r="J146" s="967"/>
      <c r="K146" s="970"/>
      <c r="L146" s="967"/>
      <c r="M146" s="967"/>
      <c r="N146" s="967"/>
      <c r="O146" s="967"/>
      <c r="P146" s="967"/>
      <c r="Q146" s="758"/>
      <c r="R146" s="975"/>
    </row>
    <row r="147" spans="1:18" s="752" customFormat="1" ht="183.75" thickBot="1" x14ac:dyDescent="0.25">
      <c r="A147" s="968"/>
      <c r="B147" s="968"/>
      <c r="C147" s="968"/>
      <c r="D147" s="834" t="s">
        <v>1411</v>
      </c>
      <c r="E147" s="968"/>
      <c r="F147" s="968"/>
      <c r="G147" s="968"/>
      <c r="H147" s="968"/>
      <c r="I147" s="968"/>
      <c r="J147" s="968"/>
      <c r="K147" s="971"/>
      <c r="L147" s="968"/>
      <c r="M147" s="968"/>
      <c r="N147" s="968"/>
      <c r="O147" s="968"/>
      <c r="P147" s="968"/>
      <c r="Q147" s="758"/>
      <c r="R147" s="975"/>
    </row>
    <row r="148" spans="1:18" s="752" customFormat="1" ht="409.6" thickTop="1" x14ac:dyDescent="0.65">
      <c r="A148" s="974" t="s">
        <v>1414</v>
      </c>
      <c r="B148" s="974" t="s">
        <v>1415</v>
      </c>
      <c r="C148" s="974" t="s">
        <v>52</v>
      </c>
      <c r="D148" s="832" t="s">
        <v>1416</v>
      </c>
      <c r="E148" s="966">
        <f t="shared" ref="E148" si="141">F148</f>
        <v>0</v>
      </c>
      <c r="F148" s="966"/>
      <c r="G148" s="966"/>
      <c r="H148" s="966"/>
      <c r="I148" s="966"/>
      <c r="J148" s="966">
        <f t="shared" ref="J148" si="142">L148+O148</f>
        <v>1093438.78</v>
      </c>
      <c r="K148" s="969">
        <v>1093438.78</v>
      </c>
      <c r="L148" s="966"/>
      <c r="M148" s="966"/>
      <c r="N148" s="966"/>
      <c r="O148" s="969">
        <f t="shared" ref="O148" si="143">K148</f>
        <v>1093438.78</v>
      </c>
      <c r="P148" s="966">
        <f t="shared" ref="P148" si="144">E148+J148</f>
        <v>1093438.78</v>
      </c>
      <c r="Q148" s="758"/>
      <c r="R148" s="972" t="b">
        <f>K148='d6'!J138</f>
        <v>1</v>
      </c>
    </row>
    <row r="149" spans="1:18" s="752" customFormat="1" ht="409.5" x14ac:dyDescent="0.2">
      <c r="A149" s="967"/>
      <c r="B149" s="967"/>
      <c r="C149" s="967"/>
      <c r="D149" s="833" t="s">
        <v>1417</v>
      </c>
      <c r="E149" s="967"/>
      <c r="F149" s="967"/>
      <c r="G149" s="967"/>
      <c r="H149" s="967"/>
      <c r="I149" s="967"/>
      <c r="J149" s="967"/>
      <c r="K149" s="970"/>
      <c r="L149" s="967"/>
      <c r="M149" s="967"/>
      <c r="N149" s="967"/>
      <c r="O149" s="970"/>
      <c r="P149" s="967"/>
      <c r="Q149" s="758"/>
      <c r="R149" s="973"/>
    </row>
    <row r="150" spans="1:18" s="752" customFormat="1" ht="138" thickBot="1" x14ac:dyDescent="0.25">
      <c r="A150" s="968"/>
      <c r="B150" s="968"/>
      <c r="C150" s="968"/>
      <c r="D150" s="834" t="s">
        <v>1418</v>
      </c>
      <c r="E150" s="968"/>
      <c r="F150" s="968"/>
      <c r="G150" s="968"/>
      <c r="H150" s="968"/>
      <c r="I150" s="968"/>
      <c r="J150" s="968"/>
      <c r="K150" s="971"/>
      <c r="L150" s="968"/>
      <c r="M150" s="968"/>
      <c r="N150" s="968"/>
      <c r="O150" s="971"/>
      <c r="P150" s="968"/>
      <c r="Q150" s="758"/>
      <c r="R150" s="973"/>
    </row>
    <row r="151" spans="1:18" s="752" customFormat="1" ht="409.6" thickTop="1" x14ac:dyDescent="0.65">
      <c r="A151" s="974" t="s">
        <v>1422</v>
      </c>
      <c r="B151" s="974" t="s">
        <v>1423</v>
      </c>
      <c r="C151" s="974" t="s">
        <v>52</v>
      </c>
      <c r="D151" s="832" t="s">
        <v>1419</v>
      </c>
      <c r="E151" s="966">
        <f t="shared" ref="E151" si="145">F151</f>
        <v>0</v>
      </c>
      <c r="F151" s="966"/>
      <c r="G151" s="966"/>
      <c r="H151" s="966"/>
      <c r="I151" s="966"/>
      <c r="J151" s="966">
        <f t="shared" ref="J151" si="146">L151+O151</f>
        <v>2429312</v>
      </c>
      <c r="K151" s="969">
        <v>2429312</v>
      </c>
      <c r="L151" s="966"/>
      <c r="M151" s="966"/>
      <c r="N151" s="966"/>
      <c r="O151" s="969">
        <f t="shared" ref="O151" si="147">K151</f>
        <v>2429312</v>
      </c>
      <c r="P151" s="966">
        <f t="shared" ref="P151" si="148">E151+J151</f>
        <v>2429312</v>
      </c>
      <c r="Q151" s="758"/>
      <c r="R151" s="972" t="b">
        <f>K151='d6'!J141</f>
        <v>1</v>
      </c>
    </row>
    <row r="152" spans="1:18" s="752" customFormat="1" ht="352.5" customHeight="1" x14ac:dyDescent="0.2">
      <c r="A152" s="967"/>
      <c r="B152" s="967"/>
      <c r="C152" s="967"/>
      <c r="D152" s="833" t="s">
        <v>1420</v>
      </c>
      <c r="E152" s="967"/>
      <c r="F152" s="967"/>
      <c r="G152" s="967"/>
      <c r="H152" s="967"/>
      <c r="I152" s="967"/>
      <c r="J152" s="967"/>
      <c r="K152" s="970"/>
      <c r="L152" s="967"/>
      <c r="M152" s="967"/>
      <c r="N152" s="967"/>
      <c r="O152" s="970"/>
      <c r="P152" s="967"/>
      <c r="Q152" s="758"/>
      <c r="R152" s="973"/>
    </row>
    <row r="153" spans="1:18" s="752" customFormat="1" ht="92.25" thickBot="1" x14ac:dyDescent="0.25">
      <c r="A153" s="968"/>
      <c r="B153" s="968"/>
      <c r="C153" s="968"/>
      <c r="D153" s="834" t="s">
        <v>1421</v>
      </c>
      <c r="E153" s="968"/>
      <c r="F153" s="968"/>
      <c r="G153" s="968"/>
      <c r="H153" s="968"/>
      <c r="I153" s="968"/>
      <c r="J153" s="968"/>
      <c r="K153" s="971"/>
      <c r="L153" s="968"/>
      <c r="M153" s="968"/>
      <c r="N153" s="968"/>
      <c r="O153" s="971"/>
      <c r="P153" s="968"/>
      <c r="Q153" s="758"/>
      <c r="R153" s="973"/>
    </row>
    <row r="154" spans="1:18" s="39" customFormat="1" ht="48" thickTop="1" thickBot="1" x14ac:dyDescent="0.25">
      <c r="A154" s="345" t="s">
        <v>895</v>
      </c>
      <c r="B154" s="345" t="s">
        <v>896</v>
      </c>
      <c r="C154" s="345"/>
      <c r="D154" s="345" t="s">
        <v>897</v>
      </c>
      <c r="E154" s="347">
        <f>SUM(E155:E156)</f>
        <v>39452175</v>
      </c>
      <c r="F154" s="347">
        <f t="shared" ref="F154:P154" si="149">SUM(F155:F156)</f>
        <v>39452175</v>
      </c>
      <c r="G154" s="347">
        <f t="shared" si="149"/>
        <v>4212615</v>
      </c>
      <c r="H154" s="347">
        <f t="shared" si="149"/>
        <v>426527</v>
      </c>
      <c r="I154" s="347">
        <f t="shared" si="149"/>
        <v>0</v>
      </c>
      <c r="J154" s="347">
        <f t="shared" si="149"/>
        <v>865250</v>
      </c>
      <c r="K154" s="347">
        <f t="shared" si="149"/>
        <v>720250</v>
      </c>
      <c r="L154" s="347">
        <f t="shared" si="149"/>
        <v>145000</v>
      </c>
      <c r="M154" s="347">
        <f t="shared" si="149"/>
        <v>4000</v>
      </c>
      <c r="N154" s="347">
        <f t="shared" si="149"/>
        <v>134000</v>
      </c>
      <c r="O154" s="347">
        <f t="shared" si="149"/>
        <v>720250</v>
      </c>
      <c r="P154" s="347">
        <f t="shared" si="149"/>
        <v>40317425</v>
      </c>
      <c r="Q154" s="191"/>
      <c r="R154" s="416"/>
    </row>
    <row r="155" spans="1:18" ht="184.5" thickTop="1" thickBot="1" x14ac:dyDescent="0.25">
      <c r="A155" s="808" t="s">
        <v>352</v>
      </c>
      <c r="B155" s="808" t="s">
        <v>354</v>
      </c>
      <c r="C155" s="808" t="s">
        <v>209</v>
      </c>
      <c r="D155" s="321" t="s">
        <v>356</v>
      </c>
      <c r="E155" s="804">
        <f t="shared" si="122"/>
        <v>7334512</v>
      </c>
      <c r="F155" s="305">
        <f>19000+37200-32000-8000-120000-430000+(9000+5940+6350+((8173362-388340)+17000+45000))</f>
        <v>7334512</v>
      </c>
      <c r="G155" s="167">
        <f>-32000+(1948670+2295945)</f>
        <v>4212615</v>
      </c>
      <c r="H155" s="167">
        <f>19000+37200-120000+(245557+131600+6000+27000+40000+39000+1170)</f>
        <v>426527</v>
      </c>
      <c r="I155" s="305"/>
      <c r="J155" s="804">
        <f t="shared" ref="J155:J167" si="150">L155+O155</f>
        <v>631340</v>
      </c>
      <c r="K155" s="305">
        <f>98000+((72894+138259+40788+136399))</f>
        <v>486340</v>
      </c>
      <c r="L155" s="305">
        <f>(4000+900+6100+23000+65000+45000+1000)</f>
        <v>145000</v>
      </c>
      <c r="M155" s="305">
        <v>4000</v>
      </c>
      <c r="N155" s="305">
        <f>(23000+65000+45000+1000)</f>
        <v>134000</v>
      </c>
      <c r="O155" s="810">
        <f t="shared" ref="O155:O167" si="151">K155</f>
        <v>486340</v>
      </c>
      <c r="P155" s="804">
        <f t="shared" ref="P155:P167" si="152">E155+J155</f>
        <v>7965852</v>
      </c>
      <c r="R155" s="234" t="b">
        <f>K155='d6'!J144+'d6'!J145</f>
        <v>1</v>
      </c>
    </row>
    <row r="156" spans="1:18" ht="138.75" thickTop="1" thickBot="1" x14ac:dyDescent="0.25">
      <c r="A156" s="808" t="s">
        <v>353</v>
      </c>
      <c r="B156" s="808" t="s">
        <v>355</v>
      </c>
      <c r="C156" s="808" t="s">
        <v>209</v>
      </c>
      <c r="D156" s="321" t="s">
        <v>357</v>
      </c>
      <c r="E156" s="804">
        <f t="shared" si="122"/>
        <v>32117663</v>
      </c>
      <c r="F156" s="305">
        <f>886540+(1000000+(2000000+400000+52000+((27403151)+44000+81972+200000+50000)))</f>
        <v>32117663</v>
      </c>
      <c r="G156" s="305"/>
      <c r="H156" s="305"/>
      <c r="I156" s="305"/>
      <c r="J156" s="804">
        <f t="shared" si="150"/>
        <v>233910</v>
      </c>
      <c r="K156" s="305">
        <f>(150000)+83910</f>
        <v>233910</v>
      </c>
      <c r="L156" s="305"/>
      <c r="M156" s="305"/>
      <c r="N156" s="305"/>
      <c r="O156" s="810">
        <f t="shared" si="151"/>
        <v>233910</v>
      </c>
      <c r="P156" s="804">
        <f t="shared" si="152"/>
        <v>32351573</v>
      </c>
      <c r="R156" s="234" t="b">
        <f>K156='d6'!J146+'d6'!J147</f>
        <v>1</v>
      </c>
    </row>
    <row r="157" spans="1:18" s="367" customFormat="1" ht="91.5" thickTop="1" thickBot="1" x14ac:dyDescent="0.25">
      <c r="A157" s="422" t="s">
        <v>898</v>
      </c>
      <c r="B157" s="422" t="s">
        <v>899</v>
      </c>
      <c r="C157" s="422"/>
      <c r="D157" s="417" t="s">
        <v>900</v>
      </c>
      <c r="E157" s="804">
        <f>SUM(E158)</f>
        <v>0</v>
      </c>
      <c r="F157" s="804">
        <f t="shared" ref="F157:P157" si="153">SUM(F158)</f>
        <v>0</v>
      </c>
      <c r="G157" s="804">
        <f t="shared" si="153"/>
        <v>0</v>
      </c>
      <c r="H157" s="804">
        <f t="shared" si="153"/>
        <v>0</v>
      </c>
      <c r="I157" s="804">
        <f t="shared" si="153"/>
        <v>0</v>
      </c>
      <c r="J157" s="804">
        <f>SUM(J158)</f>
        <v>7200078</v>
      </c>
      <c r="K157" s="804">
        <f t="shared" si="153"/>
        <v>7200078</v>
      </c>
      <c r="L157" s="804">
        <f t="shared" si="153"/>
        <v>0</v>
      </c>
      <c r="M157" s="804">
        <f t="shared" si="153"/>
        <v>0</v>
      </c>
      <c r="N157" s="804">
        <f t="shared" si="153"/>
        <v>0</v>
      </c>
      <c r="O157" s="804">
        <f t="shared" si="153"/>
        <v>7200078</v>
      </c>
      <c r="P157" s="804">
        <f t="shared" si="153"/>
        <v>7200078</v>
      </c>
      <c r="Q157" s="368"/>
      <c r="R157" s="234"/>
    </row>
    <row r="158" spans="1:18" s="39" customFormat="1" ht="93" thickTop="1" thickBot="1" x14ac:dyDescent="0.25">
      <c r="A158" s="345" t="s">
        <v>901</v>
      </c>
      <c r="B158" s="345" t="s">
        <v>902</v>
      </c>
      <c r="C158" s="345"/>
      <c r="D158" s="418" t="s">
        <v>903</v>
      </c>
      <c r="E158" s="347">
        <f>SUM(E159:E160)</f>
        <v>0</v>
      </c>
      <c r="F158" s="347">
        <f>SUM(F159:F160)</f>
        <v>0</v>
      </c>
      <c r="G158" s="347">
        <f>SUM(G159:G160)</f>
        <v>0</v>
      </c>
      <c r="H158" s="347">
        <f>SUM(H159:H160)</f>
        <v>0</v>
      </c>
      <c r="I158" s="347">
        <f>SUM(I159:I160)</f>
        <v>0</v>
      </c>
      <c r="J158" s="347">
        <f t="shared" ref="J158:O158" si="154">SUM(J159:J160)</f>
        <v>7200078</v>
      </c>
      <c r="K158" s="347">
        <f t="shared" si="154"/>
        <v>7200078</v>
      </c>
      <c r="L158" s="347">
        <f t="shared" si="154"/>
        <v>0</v>
      </c>
      <c r="M158" s="347">
        <f t="shared" si="154"/>
        <v>0</v>
      </c>
      <c r="N158" s="347">
        <f t="shared" si="154"/>
        <v>0</v>
      </c>
      <c r="O158" s="347">
        <f t="shared" si="154"/>
        <v>7200078</v>
      </c>
      <c r="P158" s="347">
        <f>SUM(P159:P160)</f>
        <v>7200078</v>
      </c>
      <c r="Q158" s="191"/>
      <c r="R158" s="420"/>
    </row>
    <row r="159" spans="1:18" ht="138.75" thickTop="1" thickBot="1" x14ac:dyDescent="0.25">
      <c r="A159" s="808" t="s">
        <v>393</v>
      </c>
      <c r="B159" s="808" t="s">
        <v>391</v>
      </c>
      <c r="C159" s="808" t="s">
        <v>365</v>
      </c>
      <c r="D159" s="321" t="s">
        <v>392</v>
      </c>
      <c r="E159" s="804">
        <f t="shared" si="122"/>
        <v>0</v>
      </c>
      <c r="F159" s="305"/>
      <c r="G159" s="305"/>
      <c r="H159" s="305"/>
      <c r="I159" s="305"/>
      <c r="J159" s="804">
        <f t="shared" si="150"/>
        <v>4000000</v>
      </c>
      <c r="K159" s="305">
        <v>4000000</v>
      </c>
      <c r="L159" s="305"/>
      <c r="M159" s="305"/>
      <c r="N159" s="305"/>
      <c r="O159" s="810">
        <f t="shared" si="151"/>
        <v>4000000</v>
      </c>
      <c r="P159" s="804">
        <f t="shared" si="152"/>
        <v>4000000</v>
      </c>
      <c r="R159" s="234" t="b">
        <f>K159='d6'!J148</f>
        <v>1</v>
      </c>
    </row>
    <row r="160" spans="1:18" s="752" customFormat="1" ht="409.6" thickTop="1" thickBot="1" x14ac:dyDescent="0.25">
      <c r="A160" s="808" t="s">
        <v>1424</v>
      </c>
      <c r="B160" s="808" t="s">
        <v>1425</v>
      </c>
      <c r="C160" s="808" t="s">
        <v>365</v>
      </c>
      <c r="D160" s="321" t="s">
        <v>1426</v>
      </c>
      <c r="E160" s="804">
        <f t="shared" si="122"/>
        <v>0</v>
      </c>
      <c r="F160" s="305"/>
      <c r="G160" s="305"/>
      <c r="H160" s="305"/>
      <c r="I160" s="305"/>
      <c r="J160" s="804">
        <f t="shared" si="150"/>
        <v>3200078</v>
      </c>
      <c r="K160" s="305">
        <v>3200078</v>
      </c>
      <c r="L160" s="305"/>
      <c r="M160" s="305"/>
      <c r="N160" s="305"/>
      <c r="O160" s="810">
        <f t="shared" si="151"/>
        <v>3200078</v>
      </c>
      <c r="P160" s="804">
        <f t="shared" si="152"/>
        <v>3200078</v>
      </c>
      <c r="Q160" s="758"/>
      <c r="R160" s="234" t="b">
        <f>K160='d6'!J149</f>
        <v>1</v>
      </c>
    </row>
    <row r="161" spans="1:18" s="367" customFormat="1" ht="47.25" thickTop="1" thickBot="1" x14ac:dyDescent="0.25">
      <c r="A161" s="422" t="s">
        <v>908</v>
      </c>
      <c r="B161" s="421" t="s">
        <v>905</v>
      </c>
      <c r="C161" s="421"/>
      <c r="D161" s="421" t="s">
        <v>906</v>
      </c>
      <c r="E161" s="804">
        <f t="shared" ref="E161:P161" si="155">E165+E162</f>
        <v>0</v>
      </c>
      <c r="F161" s="804">
        <f t="shared" si="155"/>
        <v>0</v>
      </c>
      <c r="G161" s="804">
        <f t="shared" si="155"/>
        <v>0</v>
      </c>
      <c r="H161" s="804">
        <f t="shared" si="155"/>
        <v>0</v>
      </c>
      <c r="I161" s="804">
        <f t="shared" si="155"/>
        <v>0</v>
      </c>
      <c r="J161" s="804">
        <f t="shared" si="155"/>
        <v>542000</v>
      </c>
      <c r="K161" s="804">
        <f t="shared" si="155"/>
        <v>220000</v>
      </c>
      <c r="L161" s="804">
        <f t="shared" si="155"/>
        <v>322000</v>
      </c>
      <c r="M161" s="804">
        <f t="shared" si="155"/>
        <v>0</v>
      </c>
      <c r="N161" s="804">
        <f t="shared" si="155"/>
        <v>0</v>
      </c>
      <c r="O161" s="804">
        <f t="shared" si="155"/>
        <v>220000</v>
      </c>
      <c r="P161" s="804">
        <f t="shared" si="155"/>
        <v>542000</v>
      </c>
      <c r="Q161" s="368"/>
      <c r="R161" s="234"/>
    </row>
    <row r="162" spans="1:18" s="533" customFormat="1" ht="91.5" thickTop="1" thickBot="1" x14ac:dyDescent="0.25">
      <c r="A162" s="379" t="s">
        <v>1143</v>
      </c>
      <c r="B162" s="380" t="s">
        <v>961</v>
      </c>
      <c r="C162" s="380"/>
      <c r="D162" s="380" t="s">
        <v>962</v>
      </c>
      <c r="E162" s="346">
        <f>E163</f>
        <v>0</v>
      </c>
      <c r="F162" s="346">
        <f t="shared" ref="F162:P166" si="156">F163</f>
        <v>0</v>
      </c>
      <c r="G162" s="346">
        <f t="shared" si="156"/>
        <v>0</v>
      </c>
      <c r="H162" s="346">
        <f t="shared" si="156"/>
        <v>0</v>
      </c>
      <c r="I162" s="346">
        <f t="shared" si="156"/>
        <v>0</v>
      </c>
      <c r="J162" s="346">
        <f t="shared" si="156"/>
        <v>220000</v>
      </c>
      <c r="K162" s="346">
        <f t="shared" si="156"/>
        <v>220000</v>
      </c>
      <c r="L162" s="346">
        <f t="shared" si="156"/>
        <v>0</v>
      </c>
      <c r="M162" s="346">
        <f t="shared" si="156"/>
        <v>0</v>
      </c>
      <c r="N162" s="346">
        <f t="shared" si="156"/>
        <v>0</v>
      </c>
      <c r="O162" s="346">
        <f t="shared" si="156"/>
        <v>220000</v>
      </c>
      <c r="P162" s="346">
        <f t="shared" si="156"/>
        <v>220000</v>
      </c>
      <c r="Q162" s="541"/>
      <c r="R162" s="234"/>
    </row>
    <row r="163" spans="1:18" s="533" customFormat="1" ht="146.25" thickTop="1" thickBot="1" x14ac:dyDescent="0.25">
      <c r="A163" s="345" t="s">
        <v>1139</v>
      </c>
      <c r="B163" s="345" t="s">
        <v>980</v>
      </c>
      <c r="C163" s="345"/>
      <c r="D163" s="345" t="s">
        <v>981</v>
      </c>
      <c r="E163" s="347">
        <f>E164</f>
        <v>0</v>
      </c>
      <c r="F163" s="347">
        <f t="shared" si="156"/>
        <v>0</v>
      </c>
      <c r="G163" s="347">
        <f t="shared" si="156"/>
        <v>0</v>
      </c>
      <c r="H163" s="347">
        <f t="shared" si="156"/>
        <v>0</v>
      </c>
      <c r="I163" s="347">
        <f t="shared" si="156"/>
        <v>0</v>
      </c>
      <c r="J163" s="347">
        <f t="shared" si="156"/>
        <v>220000</v>
      </c>
      <c r="K163" s="347">
        <f t="shared" si="156"/>
        <v>220000</v>
      </c>
      <c r="L163" s="347">
        <f t="shared" si="156"/>
        <v>0</v>
      </c>
      <c r="M163" s="347">
        <f t="shared" si="156"/>
        <v>0</v>
      </c>
      <c r="N163" s="347">
        <f t="shared" si="156"/>
        <v>0</v>
      </c>
      <c r="O163" s="347">
        <f t="shared" si="156"/>
        <v>220000</v>
      </c>
      <c r="P163" s="347">
        <f t="shared" si="156"/>
        <v>220000</v>
      </c>
      <c r="Q163" s="541"/>
      <c r="R163" s="234"/>
    </row>
    <row r="164" spans="1:18" s="533" customFormat="1" ht="99.75" thickTop="1" thickBot="1" x14ac:dyDescent="0.25">
      <c r="A164" s="808" t="s">
        <v>1140</v>
      </c>
      <c r="B164" s="808" t="s">
        <v>1141</v>
      </c>
      <c r="C164" s="808" t="s">
        <v>323</v>
      </c>
      <c r="D164" s="808" t="s">
        <v>1142</v>
      </c>
      <c r="E164" s="804">
        <f>E165</f>
        <v>0</v>
      </c>
      <c r="F164" s="305"/>
      <c r="G164" s="305"/>
      <c r="H164" s="305"/>
      <c r="I164" s="305"/>
      <c r="J164" s="804">
        <f>L164+O164</f>
        <v>220000</v>
      </c>
      <c r="K164" s="305">
        <f>180000+40000</f>
        <v>220000</v>
      </c>
      <c r="L164" s="305"/>
      <c r="M164" s="305"/>
      <c r="N164" s="305"/>
      <c r="O164" s="810">
        <f>K164</f>
        <v>220000</v>
      </c>
      <c r="P164" s="804">
        <f>E164+J164</f>
        <v>220000</v>
      </c>
      <c r="Q164" s="541"/>
      <c r="R164" s="234" t="b">
        <f>K164='d6'!J150</f>
        <v>1</v>
      </c>
    </row>
    <row r="165" spans="1:18" s="367" customFormat="1" ht="136.5" thickTop="1" thickBot="1" x14ac:dyDescent="0.25">
      <c r="A165" s="379" t="s">
        <v>910</v>
      </c>
      <c r="B165" s="380" t="s">
        <v>847</v>
      </c>
      <c r="C165" s="380"/>
      <c r="D165" s="380" t="s">
        <v>845</v>
      </c>
      <c r="E165" s="346">
        <f>E166</f>
        <v>0</v>
      </c>
      <c r="F165" s="346">
        <f t="shared" si="156"/>
        <v>0</v>
      </c>
      <c r="G165" s="346">
        <f t="shared" si="156"/>
        <v>0</v>
      </c>
      <c r="H165" s="346">
        <f t="shared" si="156"/>
        <v>0</v>
      </c>
      <c r="I165" s="346">
        <f t="shared" si="156"/>
        <v>0</v>
      </c>
      <c r="J165" s="346">
        <f t="shared" si="156"/>
        <v>322000</v>
      </c>
      <c r="K165" s="346">
        <f t="shared" si="156"/>
        <v>0</v>
      </c>
      <c r="L165" s="346">
        <f t="shared" si="156"/>
        <v>322000</v>
      </c>
      <c r="M165" s="346">
        <f t="shared" si="156"/>
        <v>0</v>
      </c>
      <c r="N165" s="346">
        <f t="shared" si="156"/>
        <v>0</v>
      </c>
      <c r="O165" s="346">
        <f t="shared" si="156"/>
        <v>0</v>
      </c>
      <c r="P165" s="346">
        <f t="shared" si="156"/>
        <v>322000</v>
      </c>
      <c r="Q165" s="368"/>
      <c r="R165" s="234"/>
    </row>
    <row r="166" spans="1:18" s="367" customFormat="1" ht="48" thickTop="1" thickBot="1" x14ac:dyDescent="0.25">
      <c r="A166" s="378" t="s">
        <v>909</v>
      </c>
      <c r="B166" s="378" t="s">
        <v>850</v>
      </c>
      <c r="C166" s="378"/>
      <c r="D166" s="418" t="s">
        <v>848</v>
      </c>
      <c r="E166" s="347">
        <f>E167</f>
        <v>0</v>
      </c>
      <c r="F166" s="347">
        <f t="shared" si="156"/>
        <v>0</v>
      </c>
      <c r="G166" s="347">
        <f t="shared" si="156"/>
        <v>0</v>
      </c>
      <c r="H166" s="347">
        <f t="shared" si="156"/>
        <v>0</v>
      </c>
      <c r="I166" s="347">
        <f t="shared" si="156"/>
        <v>0</v>
      </c>
      <c r="J166" s="347">
        <f t="shared" si="156"/>
        <v>322000</v>
      </c>
      <c r="K166" s="347">
        <f t="shared" si="156"/>
        <v>0</v>
      </c>
      <c r="L166" s="347">
        <f t="shared" si="156"/>
        <v>322000</v>
      </c>
      <c r="M166" s="347">
        <f t="shared" si="156"/>
        <v>0</v>
      </c>
      <c r="N166" s="347">
        <f t="shared" si="156"/>
        <v>0</v>
      </c>
      <c r="O166" s="347">
        <f t="shared" si="156"/>
        <v>0</v>
      </c>
      <c r="P166" s="347">
        <f t="shared" si="156"/>
        <v>322000</v>
      </c>
      <c r="Q166" s="368"/>
      <c r="R166" s="234"/>
    </row>
    <row r="167" spans="1:18" ht="409.6" thickTop="1" thickBot="1" x14ac:dyDescent="0.7">
      <c r="A167" s="983" t="s">
        <v>451</v>
      </c>
      <c r="B167" s="983" t="s">
        <v>363</v>
      </c>
      <c r="C167" s="983" t="s">
        <v>184</v>
      </c>
      <c r="D167" s="315" t="s">
        <v>473</v>
      </c>
      <c r="E167" s="984">
        <f t="shared" si="122"/>
        <v>0</v>
      </c>
      <c r="F167" s="985"/>
      <c r="G167" s="985"/>
      <c r="H167" s="985"/>
      <c r="I167" s="985"/>
      <c r="J167" s="984">
        <f t="shared" si="150"/>
        <v>322000</v>
      </c>
      <c r="K167" s="985"/>
      <c r="L167" s="985">
        <v>322000</v>
      </c>
      <c r="M167" s="985"/>
      <c r="N167" s="985"/>
      <c r="O167" s="987">
        <f t="shared" si="151"/>
        <v>0</v>
      </c>
      <c r="P167" s="978">
        <f t="shared" si="152"/>
        <v>322000</v>
      </c>
      <c r="R167" s="195"/>
    </row>
    <row r="168" spans="1:18" ht="184.5" thickTop="1" thickBot="1" x14ac:dyDescent="0.25">
      <c r="A168" s="993"/>
      <c r="B168" s="994"/>
      <c r="C168" s="993"/>
      <c r="D168" s="317" t="s">
        <v>474</v>
      </c>
      <c r="E168" s="993"/>
      <c r="F168" s="996"/>
      <c r="G168" s="996"/>
      <c r="H168" s="996"/>
      <c r="I168" s="996"/>
      <c r="J168" s="993"/>
      <c r="K168" s="993"/>
      <c r="L168" s="996"/>
      <c r="M168" s="996"/>
      <c r="N168" s="996"/>
      <c r="O168" s="997"/>
      <c r="P168" s="998"/>
      <c r="R168" s="195"/>
    </row>
    <row r="169" spans="1:18" ht="181.5" thickTop="1" thickBot="1" x14ac:dyDescent="0.25">
      <c r="A169" s="825">
        <v>1000000</v>
      </c>
      <c r="B169" s="825"/>
      <c r="C169" s="825"/>
      <c r="D169" s="826" t="s">
        <v>24</v>
      </c>
      <c r="E169" s="827">
        <f>E170</f>
        <v>127138658</v>
      </c>
      <c r="F169" s="828">
        <f t="shared" ref="F169:G169" si="157">F170</f>
        <v>127138658</v>
      </c>
      <c r="G169" s="828">
        <f t="shared" si="157"/>
        <v>90762390</v>
      </c>
      <c r="H169" s="828">
        <f>H170</f>
        <v>5079046</v>
      </c>
      <c r="I169" s="828">
        <f>I170</f>
        <v>0</v>
      </c>
      <c r="J169" s="827">
        <f>J170</f>
        <v>17247025</v>
      </c>
      <c r="K169" s="828">
        <f>K170</f>
        <v>7416625</v>
      </c>
      <c r="L169" s="828">
        <f>L170</f>
        <v>9724400</v>
      </c>
      <c r="M169" s="828">
        <f t="shared" ref="M169" si="158">M170</f>
        <v>7345900</v>
      </c>
      <c r="N169" s="828">
        <f>N170</f>
        <v>257400</v>
      </c>
      <c r="O169" s="827">
        <f>O170</f>
        <v>7522625</v>
      </c>
      <c r="P169" s="828">
        <f t="shared" ref="P169" si="159">P170</f>
        <v>144385683</v>
      </c>
    </row>
    <row r="170" spans="1:18" ht="181.5" thickTop="1" thickBot="1" x14ac:dyDescent="0.25">
      <c r="A170" s="829">
        <v>1010000</v>
      </c>
      <c r="B170" s="829"/>
      <c r="C170" s="829"/>
      <c r="D170" s="830" t="s">
        <v>41</v>
      </c>
      <c r="E170" s="831">
        <f>E171+E173+E186+E181</f>
        <v>127138658</v>
      </c>
      <c r="F170" s="831">
        <f>F171+F173+F186+F181</f>
        <v>127138658</v>
      </c>
      <c r="G170" s="831">
        <f>G171+G173+G186+G181</f>
        <v>90762390</v>
      </c>
      <c r="H170" s="831">
        <f>H171+H173+H186+H181</f>
        <v>5079046</v>
      </c>
      <c r="I170" s="831">
        <f>I171+I173+I186+I181</f>
        <v>0</v>
      </c>
      <c r="J170" s="831">
        <f t="shared" ref="J170:J180" si="160">L170+O170</f>
        <v>17247025</v>
      </c>
      <c r="K170" s="831">
        <f>K171+K173+K186+K181</f>
        <v>7416625</v>
      </c>
      <c r="L170" s="831">
        <f>L171+L173+L186+L181</f>
        <v>9724400</v>
      </c>
      <c r="M170" s="831">
        <f>M171+M173+M186+M181</f>
        <v>7345900</v>
      </c>
      <c r="N170" s="831">
        <f>N171+N173+N186+N181</f>
        <v>257400</v>
      </c>
      <c r="O170" s="831">
        <f>O171+O173+O186+O181</f>
        <v>7522625</v>
      </c>
      <c r="P170" s="831">
        <f t="shared" ref="P170:P180" si="161">E170+J170</f>
        <v>144385683</v>
      </c>
      <c r="Q170" s="125" t="b">
        <f>P170=P172+P174+P175+P176+P177+P179+P180+P188+P185+P184</f>
        <v>1</v>
      </c>
      <c r="R170" s="234" t="b">
        <f>K170='d6'!J151</f>
        <v>1</v>
      </c>
    </row>
    <row r="171" spans="1:18" s="367" customFormat="1" ht="47.25" thickTop="1" thickBot="1" x14ac:dyDescent="0.25">
      <c r="A171" s="422" t="s">
        <v>911</v>
      </c>
      <c r="B171" s="422" t="s">
        <v>864</v>
      </c>
      <c r="C171" s="422"/>
      <c r="D171" s="422" t="s">
        <v>865</v>
      </c>
      <c r="E171" s="804">
        <f>E172</f>
        <v>70087686</v>
      </c>
      <c r="F171" s="804">
        <f t="shared" ref="F171:P171" si="162">F172</f>
        <v>70087686</v>
      </c>
      <c r="G171" s="804">
        <f t="shared" si="162"/>
        <v>54485440</v>
      </c>
      <c r="H171" s="804">
        <f t="shared" si="162"/>
        <v>2968576</v>
      </c>
      <c r="I171" s="804">
        <f t="shared" si="162"/>
        <v>0</v>
      </c>
      <c r="J171" s="804">
        <f t="shared" si="162"/>
        <v>10111100</v>
      </c>
      <c r="K171" s="804">
        <f t="shared" si="162"/>
        <v>1049000</v>
      </c>
      <c r="L171" s="804">
        <f t="shared" si="162"/>
        <v>9029100</v>
      </c>
      <c r="M171" s="804">
        <f t="shared" si="162"/>
        <v>6977500</v>
      </c>
      <c r="N171" s="804">
        <f t="shared" si="162"/>
        <v>190100</v>
      </c>
      <c r="O171" s="804">
        <f t="shared" si="162"/>
        <v>1082000</v>
      </c>
      <c r="P171" s="804">
        <f t="shared" si="162"/>
        <v>80198786</v>
      </c>
      <c r="Q171" s="125"/>
      <c r="R171" s="234"/>
    </row>
    <row r="172" spans="1:18" ht="93" thickTop="1" thickBot="1" x14ac:dyDescent="0.25">
      <c r="A172" s="808" t="s">
        <v>791</v>
      </c>
      <c r="B172" s="808" t="s">
        <v>792</v>
      </c>
      <c r="C172" s="808" t="s">
        <v>199</v>
      </c>
      <c r="D172" s="808" t="s">
        <v>546</v>
      </c>
      <c r="E172" s="804">
        <f>F172</f>
        <v>70087686</v>
      </c>
      <c r="F172" s="305">
        <f>263830+35000+265500+20000+135000+(320540+76800+1220+13+198+(54164900+11916270+176295+394855+51550+1849900+30235+235500+100600+31580+17900))</f>
        <v>70087686</v>
      </c>
      <c r="G172" s="305">
        <f>(54164900)+320540</f>
        <v>54485440</v>
      </c>
      <c r="H172" s="305">
        <f>719330+(1849900+30235+235500+100600+31580)+1220+13+198</f>
        <v>2968576</v>
      </c>
      <c r="I172" s="305"/>
      <c r="J172" s="804">
        <f t="shared" si="160"/>
        <v>10111100</v>
      </c>
      <c r="K172" s="305">
        <f>(1000000)+49000</f>
        <v>1049000</v>
      </c>
      <c r="L172" s="305">
        <f>(6977500+1530200+218650+101550+5500+190100+4000+1600)</f>
        <v>9029100</v>
      </c>
      <c r="M172" s="305">
        <v>6977500</v>
      </c>
      <c r="N172" s="305">
        <f>(160400+4900+18800+6000)</f>
        <v>190100</v>
      </c>
      <c r="O172" s="810">
        <f>K172+33000</f>
        <v>1082000</v>
      </c>
      <c r="P172" s="804">
        <f t="shared" si="161"/>
        <v>80198786</v>
      </c>
      <c r="R172" s="234" t="b">
        <f>K172='d6'!J154+'d6'!J153</f>
        <v>1</v>
      </c>
    </row>
    <row r="173" spans="1:18" s="2" customFormat="1" ht="47.25" thickTop="1" thickBot="1" x14ac:dyDescent="0.25">
      <c r="A173" s="422" t="s">
        <v>912</v>
      </c>
      <c r="B173" s="422" t="s">
        <v>913</v>
      </c>
      <c r="C173" s="422"/>
      <c r="D173" s="422" t="s">
        <v>914</v>
      </c>
      <c r="E173" s="804">
        <f>SUM(E174:E180)-E178</f>
        <v>56248695</v>
      </c>
      <c r="F173" s="804">
        <f t="shared" ref="F173:P173" si="163">SUM(F174:F180)-F178</f>
        <v>56248695</v>
      </c>
      <c r="G173" s="804">
        <f t="shared" si="163"/>
        <v>36276950</v>
      </c>
      <c r="H173" s="804">
        <f t="shared" si="163"/>
        <v>2110470</v>
      </c>
      <c r="I173" s="804">
        <f t="shared" si="163"/>
        <v>0</v>
      </c>
      <c r="J173" s="804">
        <f t="shared" si="163"/>
        <v>7065925</v>
      </c>
      <c r="K173" s="804">
        <f t="shared" si="163"/>
        <v>6297625</v>
      </c>
      <c r="L173" s="804">
        <f t="shared" si="163"/>
        <v>695300</v>
      </c>
      <c r="M173" s="804">
        <f t="shared" si="163"/>
        <v>368400</v>
      </c>
      <c r="N173" s="804">
        <f t="shared" si="163"/>
        <v>67300</v>
      </c>
      <c r="O173" s="804">
        <f t="shared" si="163"/>
        <v>6370625</v>
      </c>
      <c r="P173" s="804">
        <f t="shared" si="163"/>
        <v>63314620</v>
      </c>
      <c r="Q173" s="187"/>
      <c r="R173" s="195"/>
    </row>
    <row r="174" spans="1:18" ht="48" thickTop="1" thickBot="1" x14ac:dyDescent="0.25">
      <c r="A174" s="808" t="s">
        <v>185</v>
      </c>
      <c r="B174" s="808" t="s">
        <v>186</v>
      </c>
      <c r="C174" s="808" t="s">
        <v>188</v>
      </c>
      <c r="D174" s="808" t="s">
        <v>189</v>
      </c>
      <c r="E174" s="804">
        <f t="shared" ref="E174:E177" si="164">F174</f>
        <v>1030790</v>
      </c>
      <c r="F174" s="305">
        <f>(964300)+66490</f>
        <v>1030790</v>
      </c>
      <c r="G174" s="305"/>
      <c r="H174" s="305"/>
      <c r="I174" s="305"/>
      <c r="J174" s="804">
        <f t="shared" si="160"/>
        <v>0</v>
      </c>
      <c r="K174" s="305"/>
      <c r="L174" s="305"/>
      <c r="M174" s="305"/>
      <c r="N174" s="305"/>
      <c r="O174" s="810">
        <f t="shared" ref="O174:O180" si="165">K174</f>
        <v>0</v>
      </c>
      <c r="P174" s="804">
        <f t="shared" si="161"/>
        <v>1030790</v>
      </c>
      <c r="R174" s="195"/>
    </row>
    <row r="175" spans="1:18" ht="93" thickTop="1" thickBot="1" x14ac:dyDescent="0.25">
      <c r="A175" s="808" t="s">
        <v>190</v>
      </c>
      <c r="B175" s="808" t="s">
        <v>191</v>
      </c>
      <c r="C175" s="808" t="s">
        <v>192</v>
      </c>
      <c r="D175" s="808" t="s">
        <v>193</v>
      </c>
      <c r="E175" s="804">
        <f t="shared" si="164"/>
        <v>13982025</v>
      </c>
      <c r="F175" s="305">
        <f>176130+(49500+((10344300+2275745+143250+311400+5000+399000+9000+108420+19500+19280+56000+55000)+10500))</f>
        <v>13982025</v>
      </c>
      <c r="G175" s="305">
        <v>10344300</v>
      </c>
      <c r="H175" s="305">
        <f>178030-1300+1000-1600+(399000+9000+108420+19500+19280)</f>
        <v>731330</v>
      </c>
      <c r="I175" s="305"/>
      <c r="J175" s="804">
        <f t="shared" si="160"/>
        <v>1050000</v>
      </c>
      <c r="K175" s="305">
        <f>(10000+84000+28000+67000)+766000</f>
        <v>955000</v>
      </c>
      <c r="L175" s="305">
        <f>(15600+4400+29500+26200+19000+300)</f>
        <v>95000</v>
      </c>
      <c r="M175" s="305">
        <v>15600</v>
      </c>
      <c r="N175" s="305">
        <f>(17500+500+1000)</f>
        <v>19000</v>
      </c>
      <c r="O175" s="810">
        <f t="shared" si="165"/>
        <v>955000</v>
      </c>
      <c r="P175" s="804">
        <f t="shared" si="161"/>
        <v>15032025</v>
      </c>
      <c r="R175" s="234" t="b">
        <f>K175='d6'!J155+'d6'!J156+'d6'!J157</f>
        <v>1</v>
      </c>
    </row>
    <row r="176" spans="1:18" ht="93" thickTop="1" thickBot="1" x14ac:dyDescent="0.25">
      <c r="A176" s="808" t="s">
        <v>194</v>
      </c>
      <c r="B176" s="808" t="s">
        <v>195</v>
      </c>
      <c r="C176" s="808" t="s">
        <v>192</v>
      </c>
      <c r="D176" s="808" t="s">
        <v>500</v>
      </c>
      <c r="E176" s="804">
        <f t="shared" si="164"/>
        <v>1948435</v>
      </c>
      <c r="F176" s="305">
        <f>91480+(1328500+292270+14055+20330+139800+4305+53715+3980)</f>
        <v>1948435</v>
      </c>
      <c r="G176" s="305">
        <v>1328500</v>
      </c>
      <c r="H176" s="305">
        <f>88920+3060-500+(139800+4305+53715+3980)</f>
        <v>293280</v>
      </c>
      <c r="I176" s="305"/>
      <c r="J176" s="804">
        <f t="shared" si="160"/>
        <v>5245100</v>
      </c>
      <c r="K176" s="305">
        <f>(3000000)+2000000+14900+150000</f>
        <v>5164900</v>
      </c>
      <c r="L176" s="305">
        <f>(8100+1900+35800+27700+5700+1000)</f>
        <v>80200</v>
      </c>
      <c r="M176" s="305">
        <v>8100</v>
      </c>
      <c r="N176" s="305">
        <f>(3800+400+1500)</f>
        <v>5700</v>
      </c>
      <c r="O176" s="810">
        <f t="shared" si="165"/>
        <v>5164900</v>
      </c>
      <c r="P176" s="804">
        <f t="shared" si="161"/>
        <v>7193535</v>
      </c>
      <c r="R176" s="234" t="b">
        <f>K176='d6'!J158+'d6'!J159</f>
        <v>1</v>
      </c>
    </row>
    <row r="177" spans="1:18" ht="184.5" thickTop="1" thickBot="1" x14ac:dyDescent="0.25">
      <c r="A177" s="808" t="s">
        <v>196</v>
      </c>
      <c r="B177" s="808" t="s">
        <v>187</v>
      </c>
      <c r="C177" s="808" t="s">
        <v>197</v>
      </c>
      <c r="D177" s="808" t="s">
        <v>198</v>
      </c>
      <c r="E177" s="804">
        <f t="shared" si="164"/>
        <v>13729115</v>
      </c>
      <c r="F177" s="305">
        <f>173650+(39000+8550+15000+((8640350+1900875+330000+342570+7900+428200+11375+288695+93120+37570+3760+24800)+7500+7000+1122300+246900))</f>
        <v>13729115</v>
      </c>
      <c r="G177" s="305">
        <f>39000+((8640350)+1122300)</f>
        <v>9801650</v>
      </c>
      <c r="H177" s="305">
        <f>246800-2000-67560-3590+(428200+11375+288695+93120+37570)</f>
        <v>1032610</v>
      </c>
      <c r="I177" s="305"/>
      <c r="J177" s="804">
        <f t="shared" si="160"/>
        <v>602200</v>
      </c>
      <c r="K177" s="305">
        <f>(124500)+16500+5100</f>
        <v>146100</v>
      </c>
      <c r="L177" s="305">
        <f>(334300+73600+5500+42600+100)</f>
        <v>456100</v>
      </c>
      <c r="M177" s="305">
        <v>334300</v>
      </c>
      <c r="N177" s="305">
        <f>(32600+800+9200)</f>
        <v>42600</v>
      </c>
      <c r="O177" s="810">
        <f>K177</f>
        <v>146100</v>
      </c>
      <c r="P177" s="804">
        <f t="shared" si="161"/>
        <v>14331315</v>
      </c>
      <c r="R177" s="234" t="b">
        <f>K177='d6'!J160</f>
        <v>1</v>
      </c>
    </row>
    <row r="178" spans="1:18" s="367" customFormat="1" ht="93" thickTop="1" thickBot="1" x14ac:dyDescent="0.25">
      <c r="A178" s="345" t="s">
        <v>915</v>
      </c>
      <c r="B178" s="345" t="s">
        <v>916</v>
      </c>
      <c r="C178" s="345"/>
      <c r="D178" s="345" t="s">
        <v>917</v>
      </c>
      <c r="E178" s="347">
        <f>SUM(E179:E180)</f>
        <v>25558330</v>
      </c>
      <c r="F178" s="347">
        <f t="shared" ref="F178:P178" si="166">SUM(F179:F180)</f>
        <v>25558330</v>
      </c>
      <c r="G178" s="347">
        <f t="shared" si="166"/>
        <v>14802500</v>
      </c>
      <c r="H178" s="347">
        <f t="shared" si="166"/>
        <v>53250</v>
      </c>
      <c r="I178" s="347">
        <f t="shared" si="166"/>
        <v>0</v>
      </c>
      <c r="J178" s="347">
        <f t="shared" si="166"/>
        <v>168625</v>
      </c>
      <c r="K178" s="347">
        <f t="shared" si="166"/>
        <v>31625</v>
      </c>
      <c r="L178" s="347">
        <f t="shared" si="166"/>
        <v>64000</v>
      </c>
      <c r="M178" s="347">
        <f t="shared" si="166"/>
        <v>10400</v>
      </c>
      <c r="N178" s="347">
        <f t="shared" si="166"/>
        <v>0</v>
      </c>
      <c r="O178" s="347">
        <f t="shared" si="166"/>
        <v>104625</v>
      </c>
      <c r="P178" s="347">
        <f t="shared" si="166"/>
        <v>25726955</v>
      </c>
      <c r="Q178" s="368"/>
      <c r="R178" s="234"/>
    </row>
    <row r="179" spans="1:18" ht="138.75" thickTop="1" thickBot="1" x14ac:dyDescent="0.25">
      <c r="A179" s="808" t="s">
        <v>358</v>
      </c>
      <c r="B179" s="808" t="s">
        <v>359</v>
      </c>
      <c r="C179" s="808" t="s">
        <v>200</v>
      </c>
      <c r="D179" s="808" t="s">
        <v>501</v>
      </c>
      <c r="E179" s="804">
        <f>F179</f>
        <v>19192170</v>
      </c>
      <c r="F179" s="305">
        <f>9900+((14802500+3256550+131640+99230+39000+3900+450+804000)+45000)</f>
        <v>19192170</v>
      </c>
      <c r="G179" s="305">
        <v>14802500</v>
      </c>
      <c r="H179" s="305">
        <f>9900+(39000+3900+450)</f>
        <v>53250</v>
      </c>
      <c r="I179" s="305"/>
      <c r="J179" s="804">
        <f t="shared" si="160"/>
        <v>168625</v>
      </c>
      <c r="K179" s="305">
        <v>31625</v>
      </c>
      <c r="L179" s="305">
        <f>(10400+2200+6000+45400)</f>
        <v>64000</v>
      </c>
      <c r="M179" s="305">
        <v>10400</v>
      </c>
      <c r="N179" s="305"/>
      <c r="O179" s="810">
        <f>K179+73000</f>
        <v>104625</v>
      </c>
      <c r="P179" s="804">
        <f t="shared" si="161"/>
        <v>19360795</v>
      </c>
      <c r="R179" s="234" t="b">
        <f>K179='d6'!J161</f>
        <v>1</v>
      </c>
    </row>
    <row r="180" spans="1:18" ht="93" thickTop="1" thickBot="1" x14ac:dyDescent="0.25">
      <c r="A180" s="808" t="s">
        <v>360</v>
      </c>
      <c r="B180" s="808" t="s">
        <v>361</v>
      </c>
      <c r="C180" s="808" t="s">
        <v>200</v>
      </c>
      <c r="D180" s="808" t="s">
        <v>502</v>
      </c>
      <c r="E180" s="804">
        <f>F180</f>
        <v>6366160</v>
      </c>
      <c r="F180" s="305">
        <f>((1195320+2805840+315000)+2000000)+50000</f>
        <v>6366160</v>
      </c>
      <c r="G180" s="305"/>
      <c r="H180" s="305"/>
      <c r="I180" s="305"/>
      <c r="J180" s="804">
        <f t="shared" si="160"/>
        <v>0</v>
      </c>
      <c r="K180" s="305"/>
      <c r="L180" s="305"/>
      <c r="M180" s="305"/>
      <c r="N180" s="305"/>
      <c r="O180" s="810">
        <f t="shared" si="165"/>
        <v>0</v>
      </c>
      <c r="P180" s="804">
        <f t="shared" si="161"/>
        <v>6366160</v>
      </c>
      <c r="R180" s="195"/>
    </row>
    <row r="181" spans="1:18" s="504" customFormat="1" ht="47.25" thickTop="1" thickBot="1" x14ac:dyDescent="0.25">
      <c r="A181" s="422" t="s">
        <v>1121</v>
      </c>
      <c r="B181" s="421" t="s">
        <v>905</v>
      </c>
      <c r="C181" s="421"/>
      <c r="D181" s="421" t="s">
        <v>906</v>
      </c>
      <c r="E181" s="804">
        <f>SUM(E182)</f>
        <v>244140</v>
      </c>
      <c r="F181" s="804">
        <f t="shared" ref="F181:P181" si="167">SUM(F182)</f>
        <v>244140</v>
      </c>
      <c r="G181" s="804">
        <f t="shared" si="167"/>
        <v>0</v>
      </c>
      <c r="H181" s="804">
        <f t="shared" si="167"/>
        <v>0</v>
      </c>
      <c r="I181" s="804">
        <f t="shared" si="167"/>
        <v>0</v>
      </c>
      <c r="J181" s="804">
        <f t="shared" si="167"/>
        <v>70000</v>
      </c>
      <c r="K181" s="804">
        <f t="shared" si="167"/>
        <v>70000</v>
      </c>
      <c r="L181" s="804">
        <f t="shared" si="167"/>
        <v>0</v>
      </c>
      <c r="M181" s="804">
        <f t="shared" si="167"/>
        <v>0</v>
      </c>
      <c r="N181" s="804">
        <f t="shared" si="167"/>
        <v>0</v>
      </c>
      <c r="O181" s="804">
        <f t="shared" si="167"/>
        <v>70000</v>
      </c>
      <c r="P181" s="804">
        <f t="shared" si="167"/>
        <v>314140</v>
      </c>
      <c r="Q181" s="511"/>
      <c r="R181" s="195"/>
    </row>
    <row r="182" spans="1:18" s="504" customFormat="1" ht="136.5" thickTop="1" thickBot="1" x14ac:dyDescent="0.25">
      <c r="A182" s="379" t="s">
        <v>1122</v>
      </c>
      <c r="B182" s="379" t="s">
        <v>847</v>
      </c>
      <c r="C182" s="379"/>
      <c r="D182" s="379" t="s">
        <v>845</v>
      </c>
      <c r="E182" s="346">
        <f>E183+E185</f>
        <v>244140</v>
      </c>
      <c r="F182" s="346">
        <f t="shared" ref="F182:I182" si="168">F183+F185</f>
        <v>244140</v>
      </c>
      <c r="G182" s="346">
        <f t="shared" si="168"/>
        <v>0</v>
      </c>
      <c r="H182" s="346">
        <f t="shared" si="168"/>
        <v>0</v>
      </c>
      <c r="I182" s="346">
        <f t="shared" si="168"/>
        <v>0</v>
      </c>
      <c r="J182" s="346">
        <f t="shared" ref="J182" si="169">J183+J185</f>
        <v>70000</v>
      </c>
      <c r="K182" s="346">
        <f t="shared" ref="K182" si="170">K183+K185</f>
        <v>70000</v>
      </c>
      <c r="L182" s="346">
        <f t="shared" ref="L182" si="171">L183+L185</f>
        <v>0</v>
      </c>
      <c r="M182" s="346">
        <f t="shared" ref="M182" si="172">M183+M185</f>
        <v>0</v>
      </c>
      <c r="N182" s="346">
        <f t="shared" ref="N182" si="173">N183+N185</f>
        <v>0</v>
      </c>
      <c r="O182" s="346">
        <f t="shared" ref="O182" si="174">O183+O185</f>
        <v>70000</v>
      </c>
      <c r="P182" s="346">
        <f>P183+P185</f>
        <v>314140</v>
      </c>
      <c r="Q182" s="511"/>
      <c r="R182" s="195"/>
    </row>
    <row r="183" spans="1:18" s="699" customFormat="1" ht="93" thickTop="1" thickBot="1" x14ac:dyDescent="0.25">
      <c r="A183" s="345" t="s">
        <v>1363</v>
      </c>
      <c r="B183" s="345" t="s">
        <v>1364</v>
      </c>
      <c r="C183" s="345"/>
      <c r="D183" s="345" t="s">
        <v>1362</v>
      </c>
      <c r="E183" s="347">
        <f>E184</f>
        <v>244140</v>
      </c>
      <c r="F183" s="347">
        <f t="shared" ref="F183:P183" si="175">F184</f>
        <v>244140</v>
      </c>
      <c r="G183" s="347">
        <f t="shared" si="175"/>
        <v>0</v>
      </c>
      <c r="H183" s="347">
        <f t="shared" si="175"/>
        <v>0</v>
      </c>
      <c r="I183" s="347">
        <f t="shared" si="175"/>
        <v>0</v>
      </c>
      <c r="J183" s="347">
        <f t="shared" si="175"/>
        <v>0</v>
      </c>
      <c r="K183" s="347">
        <f t="shared" si="175"/>
        <v>0</v>
      </c>
      <c r="L183" s="347">
        <f t="shared" si="175"/>
        <v>0</v>
      </c>
      <c r="M183" s="347">
        <f t="shared" si="175"/>
        <v>0</v>
      </c>
      <c r="N183" s="347">
        <f t="shared" si="175"/>
        <v>0</v>
      </c>
      <c r="O183" s="347">
        <f t="shared" si="175"/>
        <v>0</v>
      </c>
      <c r="P183" s="347">
        <f t="shared" si="175"/>
        <v>244140</v>
      </c>
      <c r="Q183" s="704"/>
      <c r="R183" s="195"/>
    </row>
    <row r="184" spans="1:18" s="699" customFormat="1" ht="153" customHeight="1" thickTop="1" thickBot="1" x14ac:dyDescent="0.25">
      <c r="A184" s="808" t="s">
        <v>1366</v>
      </c>
      <c r="B184" s="808" t="s">
        <v>1367</v>
      </c>
      <c r="C184" s="808" t="s">
        <v>231</v>
      </c>
      <c r="D184" s="808" t="s">
        <v>1365</v>
      </c>
      <c r="E184" s="804">
        <f t="shared" ref="E184" si="176">F184</f>
        <v>244140</v>
      </c>
      <c r="F184" s="305">
        <f>(150000)+82140+12000</f>
        <v>244140</v>
      </c>
      <c r="G184" s="305"/>
      <c r="H184" s="305"/>
      <c r="I184" s="305"/>
      <c r="J184" s="804">
        <f>L184+O184</f>
        <v>0</v>
      </c>
      <c r="K184" s="305"/>
      <c r="L184" s="305"/>
      <c r="M184" s="305"/>
      <c r="N184" s="305"/>
      <c r="O184" s="810">
        <f>K184</f>
        <v>0</v>
      </c>
      <c r="P184" s="804">
        <f>E184+J184</f>
        <v>244140</v>
      </c>
      <c r="Q184" s="704"/>
      <c r="R184" s="195"/>
    </row>
    <row r="185" spans="1:18" s="504" customFormat="1" ht="93" thickTop="1" thickBot="1" x14ac:dyDescent="0.25">
      <c r="A185" s="808" t="s">
        <v>1123</v>
      </c>
      <c r="B185" s="808" t="s">
        <v>215</v>
      </c>
      <c r="C185" s="808" t="s">
        <v>184</v>
      </c>
      <c r="D185" s="808" t="s">
        <v>36</v>
      </c>
      <c r="E185" s="804">
        <f t="shared" ref="E185" si="177">F185</f>
        <v>0</v>
      </c>
      <c r="F185" s="305"/>
      <c r="G185" s="305"/>
      <c r="H185" s="305"/>
      <c r="I185" s="305"/>
      <c r="J185" s="804">
        <f t="shared" ref="J185" si="178">L185+O185</f>
        <v>70000</v>
      </c>
      <c r="K185" s="305">
        <f>(200000+100000)-130000-100000</f>
        <v>70000</v>
      </c>
      <c r="L185" s="305"/>
      <c r="M185" s="305"/>
      <c r="N185" s="305"/>
      <c r="O185" s="810">
        <f t="shared" ref="O185" si="179">K185</f>
        <v>70000</v>
      </c>
      <c r="P185" s="804">
        <f t="shared" ref="P185" si="180">E185+J185</f>
        <v>70000</v>
      </c>
      <c r="Q185" s="511"/>
      <c r="R185" s="234" t="b">
        <f>K185='d6'!J162+'d6'!J163</f>
        <v>1</v>
      </c>
    </row>
    <row r="186" spans="1:18" s="367" customFormat="1" ht="47.25" thickTop="1" thickBot="1" x14ac:dyDescent="0.25">
      <c r="A186" s="422" t="s">
        <v>918</v>
      </c>
      <c r="B186" s="422" t="s">
        <v>858</v>
      </c>
      <c r="C186" s="422"/>
      <c r="D186" s="422" t="s">
        <v>859</v>
      </c>
      <c r="E186" s="804">
        <f>E187</f>
        <v>558137</v>
      </c>
      <c r="F186" s="804">
        <f t="shared" ref="F186:P187" si="181">F187</f>
        <v>558137</v>
      </c>
      <c r="G186" s="804">
        <f t="shared" si="181"/>
        <v>0</v>
      </c>
      <c r="H186" s="804">
        <f t="shared" si="181"/>
        <v>0</v>
      </c>
      <c r="I186" s="804">
        <f t="shared" si="181"/>
        <v>0</v>
      </c>
      <c r="J186" s="804">
        <f t="shared" si="181"/>
        <v>0</v>
      </c>
      <c r="K186" s="804">
        <f t="shared" si="181"/>
        <v>0</v>
      </c>
      <c r="L186" s="804">
        <f t="shared" si="181"/>
        <v>0</v>
      </c>
      <c r="M186" s="804">
        <f t="shared" si="181"/>
        <v>0</v>
      </c>
      <c r="N186" s="804">
        <f t="shared" si="181"/>
        <v>0</v>
      </c>
      <c r="O186" s="804">
        <f t="shared" si="181"/>
        <v>0</v>
      </c>
      <c r="P186" s="804">
        <f t="shared" si="181"/>
        <v>558137</v>
      </c>
      <c r="Q186" s="368"/>
      <c r="R186" s="195"/>
    </row>
    <row r="187" spans="1:18" s="367" customFormat="1" ht="271.5" thickTop="1" thickBot="1" x14ac:dyDescent="0.25">
      <c r="A187" s="379" t="s">
        <v>919</v>
      </c>
      <c r="B187" s="379" t="s">
        <v>861</v>
      </c>
      <c r="C187" s="379"/>
      <c r="D187" s="379" t="s">
        <v>862</v>
      </c>
      <c r="E187" s="346">
        <f>E188</f>
        <v>558137</v>
      </c>
      <c r="F187" s="346">
        <f t="shared" si="181"/>
        <v>558137</v>
      </c>
      <c r="G187" s="346">
        <f t="shared" si="181"/>
        <v>0</v>
      </c>
      <c r="H187" s="346">
        <f t="shared" si="181"/>
        <v>0</v>
      </c>
      <c r="I187" s="346">
        <f t="shared" si="181"/>
        <v>0</v>
      </c>
      <c r="J187" s="346">
        <f t="shared" si="181"/>
        <v>0</v>
      </c>
      <c r="K187" s="346">
        <f t="shared" si="181"/>
        <v>0</v>
      </c>
      <c r="L187" s="346">
        <f t="shared" si="181"/>
        <v>0</v>
      </c>
      <c r="M187" s="346">
        <f t="shared" si="181"/>
        <v>0</v>
      </c>
      <c r="N187" s="346">
        <f t="shared" si="181"/>
        <v>0</v>
      </c>
      <c r="O187" s="346">
        <f t="shared" si="181"/>
        <v>0</v>
      </c>
      <c r="P187" s="346">
        <f t="shared" si="181"/>
        <v>558137</v>
      </c>
      <c r="Q187" s="368"/>
      <c r="R187" s="195"/>
    </row>
    <row r="188" spans="1:18" s="235" customFormat="1" ht="93" thickTop="1" thickBot="1" x14ac:dyDescent="0.25">
      <c r="A188" s="808" t="s">
        <v>713</v>
      </c>
      <c r="B188" s="808" t="s">
        <v>389</v>
      </c>
      <c r="C188" s="808" t="s">
        <v>45</v>
      </c>
      <c r="D188" s="808" t="s">
        <v>390</v>
      </c>
      <c r="E188" s="804">
        <f t="shared" ref="E188" si="182">F188</f>
        <v>558137</v>
      </c>
      <c r="F188" s="305">
        <v>558137</v>
      </c>
      <c r="G188" s="305"/>
      <c r="H188" s="305"/>
      <c r="I188" s="305"/>
      <c r="J188" s="804">
        <f>L188+O188</f>
        <v>0</v>
      </c>
      <c r="K188" s="305"/>
      <c r="L188" s="305"/>
      <c r="M188" s="305"/>
      <c r="N188" s="305"/>
      <c r="O188" s="810">
        <f>K188</f>
        <v>0</v>
      </c>
      <c r="P188" s="804">
        <f>E188+J188</f>
        <v>558137</v>
      </c>
      <c r="Q188" s="236"/>
      <c r="R188" s="195"/>
    </row>
    <row r="189" spans="1:18" ht="136.5" thickTop="1" thickBot="1" x14ac:dyDescent="0.25">
      <c r="A189" s="825" t="s">
        <v>22</v>
      </c>
      <c r="B189" s="825"/>
      <c r="C189" s="825"/>
      <c r="D189" s="826" t="s">
        <v>23</v>
      </c>
      <c r="E189" s="827">
        <f>E190</f>
        <v>98384324.530000001</v>
      </c>
      <c r="F189" s="828">
        <f t="shared" ref="F189:G189" si="183">F190</f>
        <v>98384324.530000001</v>
      </c>
      <c r="G189" s="828">
        <f t="shared" si="183"/>
        <v>42556278</v>
      </c>
      <c r="H189" s="828">
        <f>H190</f>
        <v>2604583</v>
      </c>
      <c r="I189" s="828">
        <f t="shared" ref="I189" si="184">I190</f>
        <v>0</v>
      </c>
      <c r="J189" s="827">
        <f>J190</f>
        <v>13855940</v>
      </c>
      <c r="K189" s="828">
        <f>K190</f>
        <v>11951695</v>
      </c>
      <c r="L189" s="828">
        <f>L190</f>
        <v>1859498</v>
      </c>
      <c r="M189" s="828">
        <f t="shared" ref="M189" si="185">M190</f>
        <v>880762</v>
      </c>
      <c r="N189" s="828">
        <f>N190</f>
        <v>290578</v>
      </c>
      <c r="O189" s="827">
        <f>O190</f>
        <v>11996442</v>
      </c>
      <c r="P189" s="828">
        <f t="shared" ref="P189" si="186">P190</f>
        <v>112240264.53</v>
      </c>
    </row>
    <row r="190" spans="1:18" ht="136.5" thickTop="1" thickBot="1" x14ac:dyDescent="0.25">
      <c r="A190" s="829" t="s">
        <v>21</v>
      </c>
      <c r="B190" s="829"/>
      <c r="C190" s="829"/>
      <c r="D190" s="830" t="s">
        <v>37</v>
      </c>
      <c r="E190" s="831">
        <f>E191+E197+E210+E213+E219</f>
        <v>98384324.530000001</v>
      </c>
      <c r="F190" s="831">
        <f t="shared" ref="F190:I190" si="187">F191+F197+F210+F213+F219</f>
        <v>98384324.530000001</v>
      </c>
      <c r="G190" s="831">
        <f t="shared" si="187"/>
        <v>42556278</v>
      </c>
      <c r="H190" s="831">
        <f t="shared" si="187"/>
        <v>2604583</v>
      </c>
      <c r="I190" s="831">
        <f t="shared" si="187"/>
        <v>0</v>
      </c>
      <c r="J190" s="831">
        <f>L190+O190</f>
        <v>13855940</v>
      </c>
      <c r="K190" s="831">
        <f t="shared" ref="K190" si="188">K191+K197+K210+K213+K219</f>
        <v>11951695</v>
      </c>
      <c r="L190" s="831">
        <f t="shared" ref="L190" si="189">L191+L197+L210+L213+L219</f>
        <v>1859498</v>
      </c>
      <c r="M190" s="831">
        <f t="shared" ref="M190" si="190">M191+M197+M210+M213+M219</f>
        <v>880762</v>
      </c>
      <c r="N190" s="831">
        <f t="shared" ref="N190" si="191">N191+N197+N210+N213+N219</f>
        <v>290578</v>
      </c>
      <c r="O190" s="831">
        <f t="shared" ref="O190" si="192">O191+O197+O210+O213+O219</f>
        <v>11996442</v>
      </c>
      <c r="P190" s="831">
        <f>E190+J190</f>
        <v>112240264.53</v>
      </c>
      <c r="Q190" s="125" t="b">
        <f>P190=P193+P195+P196+P199+P200+P202+P204+P205+P207+P208+P209+P212+P218+P216+P221</f>
        <v>1</v>
      </c>
      <c r="R190" s="234" t="b">
        <f>K190='d6'!J165</f>
        <v>1</v>
      </c>
    </row>
    <row r="191" spans="1:18" s="367" customFormat="1" ht="91.5" thickTop="1" thickBot="1" x14ac:dyDescent="0.25">
      <c r="A191" s="422" t="s">
        <v>920</v>
      </c>
      <c r="B191" s="422" t="s">
        <v>867</v>
      </c>
      <c r="C191" s="422"/>
      <c r="D191" s="422" t="s">
        <v>868</v>
      </c>
      <c r="E191" s="435">
        <f>SUM(E192:E196)-E192-E194</f>
        <v>17012215</v>
      </c>
      <c r="F191" s="435">
        <f t="shared" ref="F191:P191" si="193">SUM(F192:F196)-F192-F194</f>
        <v>17012215</v>
      </c>
      <c r="G191" s="435">
        <f t="shared" si="193"/>
        <v>7881695</v>
      </c>
      <c r="H191" s="435">
        <f t="shared" si="193"/>
        <v>647813</v>
      </c>
      <c r="I191" s="435">
        <f t="shared" si="193"/>
        <v>0</v>
      </c>
      <c r="J191" s="435">
        <f t="shared" si="193"/>
        <v>1080157</v>
      </c>
      <c r="K191" s="435">
        <f t="shared" si="193"/>
        <v>752157</v>
      </c>
      <c r="L191" s="435">
        <f t="shared" si="193"/>
        <v>318053</v>
      </c>
      <c r="M191" s="435">
        <f t="shared" si="193"/>
        <v>175000</v>
      </c>
      <c r="N191" s="435">
        <f t="shared" si="193"/>
        <v>78200</v>
      </c>
      <c r="O191" s="435">
        <f t="shared" si="193"/>
        <v>762104</v>
      </c>
      <c r="P191" s="435">
        <f t="shared" si="193"/>
        <v>18092372</v>
      </c>
      <c r="Q191" s="125"/>
      <c r="R191" s="234"/>
    </row>
    <row r="192" spans="1:18" s="39" customFormat="1" ht="138.75" thickTop="1" thickBot="1" x14ac:dyDescent="0.25">
      <c r="A192" s="345" t="s">
        <v>921</v>
      </c>
      <c r="B192" s="345" t="s">
        <v>922</v>
      </c>
      <c r="C192" s="345"/>
      <c r="D192" s="345" t="s">
        <v>923</v>
      </c>
      <c r="E192" s="774">
        <f>E193</f>
        <v>5351111</v>
      </c>
      <c r="F192" s="774">
        <f t="shared" ref="F192:P192" si="194">F193</f>
        <v>5351111</v>
      </c>
      <c r="G192" s="774">
        <f t="shared" si="194"/>
        <v>4125520</v>
      </c>
      <c r="H192" s="774">
        <f t="shared" si="194"/>
        <v>77720</v>
      </c>
      <c r="I192" s="774">
        <f t="shared" si="194"/>
        <v>0</v>
      </c>
      <c r="J192" s="774">
        <f t="shared" si="194"/>
        <v>0</v>
      </c>
      <c r="K192" s="774">
        <f t="shared" si="194"/>
        <v>0</v>
      </c>
      <c r="L192" s="774">
        <f t="shared" si="194"/>
        <v>0</v>
      </c>
      <c r="M192" s="774">
        <f t="shared" si="194"/>
        <v>0</v>
      </c>
      <c r="N192" s="774">
        <f t="shared" si="194"/>
        <v>0</v>
      </c>
      <c r="O192" s="774">
        <f t="shared" si="194"/>
        <v>0</v>
      </c>
      <c r="P192" s="774">
        <f t="shared" si="194"/>
        <v>5351111</v>
      </c>
      <c r="Q192" s="428"/>
      <c r="R192" s="420"/>
    </row>
    <row r="193" spans="1:18" ht="138.75" thickTop="1" thickBot="1" x14ac:dyDescent="0.25">
      <c r="A193" s="808" t="s">
        <v>201</v>
      </c>
      <c r="B193" s="808" t="s">
        <v>202</v>
      </c>
      <c r="C193" s="808" t="s">
        <v>203</v>
      </c>
      <c r="D193" s="808" t="s">
        <v>793</v>
      </c>
      <c r="E193" s="313">
        <f t="shared" ref="E193:E208" si="195">F193</f>
        <v>5351111</v>
      </c>
      <c r="F193" s="167">
        <f>42435+(((4125520+907615+59600+79015+35280+49795+2585+34440+3600+2145)+3500)+3301+2280)</f>
        <v>5351111</v>
      </c>
      <c r="G193" s="167">
        <f>(4125520)</f>
        <v>4125520</v>
      </c>
      <c r="H193" s="167">
        <f>(49795+2585+34440+3600)-3000+300-10000</f>
        <v>77720</v>
      </c>
      <c r="I193" s="167"/>
      <c r="J193" s="804">
        <f t="shared" ref="J193:J218" si="196">L193+O193</f>
        <v>0</v>
      </c>
      <c r="K193" s="167"/>
      <c r="L193" s="761"/>
      <c r="M193" s="761"/>
      <c r="N193" s="761"/>
      <c r="O193" s="810">
        <f t="shared" ref="O193:O218" si="197">K193</f>
        <v>0</v>
      </c>
      <c r="P193" s="804">
        <f>+J193+E193</f>
        <v>5351111</v>
      </c>
      <c r="Q193" s="195"/>
      <c r="R193" s="195"/>
    </row>
    <row r="194" spans="1:18" s="39" customFormat="1" ht="93" thickTop="1" thickBot="1" x14ac:dyDescent="0.25">
      <c r="A194" s="345" t="s">
        <v>924</v>
      </c>
      <c r="B194" s="345" t="s">
        <v>925</v>
      </c>
      <c r="C194" s="345"/>
      <c r="D194" s="345" t="s">
        <v>926</v>
      </c>
      <c r="E194" s="430">
        <f>SUM(E195:E196)</f>
        <v>11661104</v>
      </c>
      <c r="F194" s="430">
        <f t="shared" ref="F194:P194" si="198">SUM(F195:F196)</f>
        <v>11661104</v>
      </c>
      <c r="G194" s="430">
        <f t="shared" si="198"/>
        <v>3756175</v>
      </c>
      <c r="H194" s="430">
        <f t="shared" si="198"/>
        <v>570093</v>
      </c>
      <c r="I194" s="430">
        <f t="shared" si="198"/>
        <v>0</v>
      </c>
      <c r="J194" s="430">
        <f t="shared" si="198"/>
        <v>1080157</v>
      </c>
      <c r="K194" s="430">
        <f t="shared" si="198"/>
        <v>752157</v>
      </c>
      <c r="L194" s="430">
        <f t="shared" si="198"/>
        <v>318053</v>
      </c>
      <c r="M194" s="430">
        <f t="shared" si="198"/>
        <v>175000</v>
      </c>
      <c r="N194" s="430">
        <f t="shared" si="198"/>
        <v>78200</v>
      </c>
      <c r="O194" s="430">
        <f t="shared" si="198"/>
        <v>762104</v>
      </c>
      <c r="P194" s="430">
        <f t="shared" si="198"/>
        <v>12741261</v>
      </c>
      <c r="Q194" s="416"/>
      <c r="R194" s="416"/>
    </row>
    <row r="195" spans="1:18" s="463" customFormat="1" ht="93" thickTop="1" thickBot="1" x14ac:dyDescent="0.25">
      <c r="A195" s="808" t="s">
        <v>207</v>
      </c>
      <c r="B195" s="808" t="s">
        <v>208</v>
      </c>
      <c r="C195" s="808" t="s">
        <v>203</v>
      </c>
      <c r="D195" s="808" t="s">
        <v>10</v>
      </c>
      <c r="E195" s="313">
        <f t="shared" si="195"/>
        <v>4469233</v>
      </c>
      <c r="F195" s="167">
        <f>4758+(29165+(2725415+599590+377485+251835+384905+4560+86670+3450+1400))</f>
        <v>4469233</v>
      </c>
      <c r="G195" s="167">
        <v>2725415</v>
      </c>
      <c r="H195" s="167">
        <f>-30000+22958+(50165-20000-1000+(384905+4560+86670+3450))</f>
        <v>501708</v>
      </c>
      <c r="I195" s="167"/>
      <c r="J195" s="804">
        <f t="shared" si="196"/>
        <v>1077157</v>
      </c>
      <c r="K195" s="167">
        <f>(733957)+18200</f>
        <v>752157</v>
      </c>
      <c r="L195" s="761">
        <f>(175000+38500+27300+5000+36500+4800+35400+1500+1000)-9947</f>
        <v>315053</v>
      </c>
      <c r="M195" s="761">
        <v>175000</v>
      </c>
      <c r="N195" s="761">
        <f>(36500+4800+35400+1500)</f>
        <v>78200</v>
      </c>
      <c r="O195" s="810">
        <f>K195+9947</f>
        <v>762104</v>
      </c>
      <c r="P195" s="804">
        <f t="shared" ref="P195:P218" si="199">E195+J195</f>
        <v>5546390</v>
      </c>
      <c r="Q195" s="461"/>
      <c r="R195" s="464" t="b">
        <f>K195='d6'!J167+'d6'!J166</f>
        <v>1</v>
      </c>
    </row>
    <row r="196" spans="1:18" s="467" customFormat="1" ht="93" thickTop="1" thickBot="1" x14ac:dyDescent="0.25">
      <c r="A196" s="808" t="s">
        <v>377</v>
      </c>
      <c r="B196" s="808" t="s">
        <v>378</v>
      </c>
      <c r="C196" s="808" t="s">
        <v>203</v>
      </c>
      <c r="D196" s="808" t="s">
        <v>379</v>
      </c>
      <c r="E196" s="313">
        <f t="shared" si="195"/>
        <v>7191871</v>
      </c>
      <c r="F196" s="167">
        <f>10000-10000+9085-5500-1500+150000+(200000+60000+((83645+830710+1020760+224570+61795+14860+37320+2075+23905+3000+2478500+545270+473390+27940+536310+404810)+10926))</f>
        <v>7191871</v>
      </c>
      <c r="G196" s="167">
        <f>(1020760)+10000</f>
        <v>1030760</v>
      </c>
      <c r="H196" s="167">
        <f>9085-5500-1500+(37320+2075+23905+3000)</f>
        <v>68385</v>
      </c>
      <c r="I196" s="167"/>
      <c r="J196" s="804">
        <f t="shared" si="196"/>
        <v>3000</v>
      </c>
      <c r="K196" s="167"/>
      <c r="L196" s="761">
        <v>3000</v>
      </c>
      <c r="M196" s="761"/>
      <c r="N196" s="761"/>
      <c r="O196" s="810">
        <f t="shared" si="197"/>
        <v>0</v>
      </c>
      <c r="P196" s="804">
        <f t="shared" si="199"/>
        <v>7194871</v>
      </c>
      <c r="Q196" s="465"/>
      <c r="R196" s="466"/>
    </row>
    <row r="197" spans="1:18" s="367" customFormat="1" ht="47.25" thickTop="1" thickBot="1" x14ac:dyDescent="0.25">
      <c r="A197" s="422" t="s">
        <v>927</v>
      </c>
      <c r="B197" s="422" t="s">
        <v>928</v>
      </c>
      <c r="C197" s="808"/>
      <c r="D197" s="422" t="s">
        <v>929</v>
      </c>
      <c r="E197" s="313">
        <f>SUM(E198:E209)-E198-E201-E203-E206</f>
        <v>81346685</v>
      </c>
      <c r="F197" s="313">
        <f t="shared" ref="F197:P197" si="200">SUM(F198:F209)-F198-F201-F203-F206</f>
        <v>81346685</v>
      </c>
      <c r="G197" s="313">
        <f t="shared" si="200"/>
        <v>34674583</v>
      </c>
      <c r="H197" s="313">
        <f t="shared" si="200"/>
        <v>1956770</v>
      </c>
      <c r="I197" s="313">
        <f t="shared" si="200"/>
        <v>0</v>
      </c>
      <c r="J197" s="313">
        <f t="shared" si="200"/>
        <v>11528337</v>
      </c>
      <c r="K197" s="313">
        <f t="shared" si="200"/>
        <v>9952092</v>
      </c>
      <c r="L197" s="313">
        <f t="shared" si="200"/>
        <v>1541445</v>
      </c>
      <c r="M197" s="313">
        <f t="shared" si="200"/>
        <v>705762</v>
      </c>
      <c r="N197" s="313">
        <f t="shared" si="200"/>
        <v>212378</v>
      </c>
      <c r="O197" s="313">
        <f t="shared" si="200"/>
        <v>9986892</v>
      </c>
      <c r="P197" s="313">
        <f t="shared" si="200"/>
        <v>92875022</v>
      </c>
      <c r="Q197" s="368"/>
      <c r="R197" s="234"/>
    </row>
    <row r="198" spans="1:18" s="39" customFormat="1" ht="93" thickTop="1" thickBot="1" x14ac:dyDescent="0.25">
      <c r="A198" s="345" t="s">
        <v>930</v>
      </c>
      <c r="B198" s="345" t="s">
        <v>931</v>
      </c>
      <c r="C198" s="345"/>
      <c r="D198" s="345" t="s">
        <v>932</v>
      </c>
      <c r="E198" s="430">
        <f>SUM(E199:E200)</f>
        <v>20318487</v>
      </c>
      <c r="F198" s="430">
        <f t="shared" ref="F198:P198" si="201">SUM(F199:F200)</f>
        <v>20318487</v>
      </c>
      <c r="G198" s="430">
        <f t="shared" si="201"/>
        <v>0</v>
      </c>
      <c r="H198" s="430">
        <f t="shared" si="201"/>
        <v>0</v>
      </c>
      <c r="I198" s="430">
        <f t="shared" si="201"/>
        <v>0</v>
      </c>
      <c r="J198" s="430">
        <f t="shared" si="201"/>
        <v>0</v>
      </c>
      <c r="K198" s="430">
        <f t="shared" si="201"/>
        <v>0</v>
      </c>
      <c r="L198" s="430">
        <f t="shared" si="201"/>
        <v>0</v>
      </c>
      <c r="M198" s="430">
        <f t="shared" si="201"/>
        <v>0</v>
      </c>
      <c r="N198" s="430">
        <f t="shared" si="201"/>
        <v>0</v>
      </c>
      <c r="O198" s="430">
        <f t="shared" si="201"/>
        <v>0</v>
      </c>
      <c r="P198" s="430">
        <f t="shared" si="201"/>
        <v>20318487</v>
      </c>
      <c r="Q198" s="191"/>
      <c r="R198" s="420"/>
    </row>
    <row r="199" spans="1:18" s="463" customFormat="1" ht="138.75" thickTop="1" thickBot="1" x14ac:dyDescent="0.25">
      <c r="A199" s="808" t="s">
        <v>46</v>
      </c>
      <c r="B199" s="808" t="s">
        <v>204</v>
      </c>
      <c r="C199" s="808" t="s">
        <v>213</v>
      </c>
      <c r="D199" s="808" t="s">
        <v>47</v>
      </c>
      <c r="E199" s="313">
        <f t="shared" si="195"/>
        <v>17930902</v>
      </c>
      <c r="F199" s="167">
        <f>366000+(2400000+(3000000+((171260+11395570)+500000+98072)))</f>
        <v>17930902</v>
      </c>
      <c r="G199" s="305"/>
      <c r="H199" s="305"/>
      <c r="I199" s="305"/>
      <c r="J199" s="804">
        <f t="shared" si="196"/>
        <v>0</v>
      </c>
      <c r="K199" s="305"/>
      <c r="L199" s="305"/>
      <c r="M199" s="305"/>
      <c r="N199" s="305"/>
      <c r="O199" s="810">
        <f t="shared" si="197"/>
        <v>0</v>
      </c>
      <c r="P199" s="804">
        <f t="shared" si="199"/>
        <v>17930902</v>
      </c>
      <c r="Q199" s="461"/>
      <c r="R199" s="464"/>
    </row>
    <row r="200" spans="1:18" s="463" customFormat="1" ht="138.75" thickTop="1" thickBot="1" x14ac:dyDescent="0.25">
      <c r="A200" s="808" t="s">
        <v>48</v>
      </c>
      <c r="B200" s="808" t="s">
        <v>205</v>
      </c>
      <c r="C200" s="808" t="s">
        <v>213</v>
      </c>
      <c r="D200" s="808" t="s">
        <v>4</v>
      </c>
      <c r="E200" s="313">
        <f t="shared" si="195"/>
        <v>2387585</v>
      </c>
      <c r="F200" s="167">
        <f>-22000+(500000+(99315+1810270))</f>
        <v>2387585</v>
      </c>
      <c r="G200" s="305"/>
      <c r="H200" s="305"/>
      <c r="I200" s="305"/>
      <c r="J200" s="804">
        <f t="shared" si="196"/>
        <v>0</v>
      </c>
      <c r="K200" s="305"/>
      <c r="L200" s="305"/>
      <c r="M200" s="305"/>
      <c r="N200" s="305"/>
      <c r="O200" s="810">
        <f t="shared" si="197"/>
        <v>0</v>
      </c>
      <c r="P200" s="804">
        <f t="shared" si="199"/>
        <v>2387585</v>
      </c>
      <c r="Q200" s="461"/>
      <c r="R200" s="464"/>
    </row>
    <row r="201" spans="1:18" s="39" customFormat="1" ht="184.5" thickTop="1" thickBot="1" x14ac:dyDescent="0.25">
      <c r="A201" s="345" t="s">
        <v>933</v>
      </c>
      <c r="B201" s="345" t="s">
        <v>934</v>
      </c>
      <c r="C201" s="345"/>
      <c r="D201" s="345" t="s">
        <v>935</v>
      </c>
      <c r="E201" s="430">
        <f>E202</f>
        <v>14300</v>
      </c>
      <c r="F201" s="430">
        <f t="shared" ref="F201:P201" si="202">F202</f>
        <v>14300</v>
      </c>
      <c r="G201" s="430">
        <f t="shared" si="202"/>
        <v>0</v>
      </c>
      <c r="H201" s="430">
        <f t="shared" si="202"/>
        <v>0</v>
      </c>
      <c r="I201" s="430">
        <f t="shared" si="202"/>
        <v>0</v>
      </c>
      <c r="J201" s="430">
        <f t="shared" si="202"/>
        <v>0</v>
      </c>
      <c r="K201" s="430">
        <f t="shared" si="202"/>
        <v>0</v>
      </c>
      <c r="L201" s="430">
        <f t="shared" si="202"/>
        <v>0</v>
      </c>
      <c r="M201" s="430">
        <f t="shared" si="202"/>
        <v>0</v>
      </c>
      <c r="N201" s="430">
        <f t="shared" si="202"/>
        <v>0</v>
      </c>
      <c r="O201" s="430">
        <f t="shared" si="202"/>
        <v>0</v>
      </c>
      <c r="P201" s="430">
        <f t="shared" si="202"/>
        <v>14300</v>
      </c>
      <c r="Q201" s="191"/>
      <c r="R201" s="419"/>
    </row>
    <row r="202" spans="1:18" s="463" customFormat="1" ht="184.5" thickTop="1" thickBot="1" x14ac:dyDescent="0.25">
      <c r="A202" s="808" t="s">
        <v>49</v>
      </c>
      <c r="B202" s="808" t="s">
        <v>206</v>
      </c>
      <c r="C202" s="808" t="s">
        <v>213</v>
      </c>
      <c r="D202" s="808" t="s">
        <v>375</v>
      </c>
      <c r="E202" s="313">
        <f>F202</f>
        <v>14300</v>
      </c>
      <c r="F202" s="167">
        <f>-46000+(4295+56005)</f>
        <v>14300</v>
      </c>
      <c r="G202" s="167"/>
      <c r="H202" s="167"/>
      <c r="I202" s="305"/>
      <c r="J202" s="804">
        <f t="shared" si="196"/>
        <v>0</v>
      </c>
      <c r="K202" s="305"/>
      <c r="L202" s="167"/>
      <c r="M202" s="167"/>
      <c r="N202" s="167"/>
      <c r="O202" s="810">
        <f t="shared" si="197"/>
        <v>0</v>
      </c>
      <c r="P202" s="804">
        <f t="shared" si="199"/>
        <v>14300</v>
      </c>
      <c r="Q202" s="461"/>
      <c r="R202" s="464"/>
    </row>
    <row r="203" spans="1:18" s="367" customFormat="1" ht="93" thickTop="1" thickBot="1" x14ac:dyDescent="0.25">
      <c r="A203" s="345" t="s">
        <v>936</v>
      </c>
      <c r="B203" s="345" t="s">
        <v>937</v>
      </c>
      <c r="C203" s="345"/>
      <c r="D203" s="345" t="s">
        <v>938</v>
      </c>
      <c r="E203" s="430">
        <f>SUM(E204:E205)</f>
        <v>56862227</v>
      </c>
      <c r="F203" s="430">
        <f t="shared" ref="F203:P203" si="203">SUM(F204:F205)</f>
        <v>56862227</v>
      </c>
      <c r="G203" s="430">
        <f t="shared" si="203"/>
        <v>33479508</v>
      </c>
      <c r="H203" s="430">
        <f t="shared" si="203"/>
        <v>1956770</v>
      </c>
      <c r="I203" s="430">
        <f t="shared" si="203"/>
        <v>0</v>
      </c>
      <c r="J203" s="430">
        <f t="shared" si="203"/>
        <v>11498337</v>
      </c>
      <c r="K203" s="430">
        <f t="shared" si="203"/>
        <v>9922092</v>
      </c>
      <c r="L203" s="430">
        <f t="shared" si="203"/>
        <v>1541445</v>
      </c>
      <c r="M203" s="430">
        <f t="shared" si="203"/>
        <v>705762</v>
      </c>
      <c r="N203" s="430">
        <f t="shared" si="203"/>
        <v>212378</v>
      </c>
      <c r="O203" s="430">
        <f t="shared" si="203"/>
        <v>9956892</v>
      </c>
      <c r="P203" s="430">
        <f t="shared" si="203"/>
        <v>68360564</v>
      </c>
      <c r="Q203" s="368"/>
      <c r="R203" s="234"/>
    </row>
    <row r="204" spans="1:18" s="463" customFormat="1" ht="184.5" thickTop="1" thickBot="1" x14ac:dyDescent="0.25">
      <c r="A204" s="808" t="s">
        <v>28</v>
      </c>
      <c r="B204" s="808" t="s">
        <v>210</v>
      </c>
      <c r="C204" s="808" t="s">
        <v>213</v>
      </c>
      <c r="D204" s="808" t="s">
        <v>50</v>
      </c>
      <c r="E204" s="313">
        <f t="shared" si="195"/>
        <v>47309077</v>
      </c>
      <c r="F204" s="167">
        <f>15860-917+(110000-14000+7800+12800+16615-7000-8000+104695+20450+10645-3600-20500+109405+(2790+1414400+311200-31612+300000+243614+78694-2840+14875+35000+((44066325)+254271+54363+132144+3050+3780+5880+7980+8760+19000+19150+14000)))</f>
        <v>47309077</v>
      </c>
      <c r="G204" s="167">
        <f>13000+120000+40838+115000+((31776270)+1414400)</f>
        <v>33479508</v>
      </c>
      <c r="H204" s="167">
        <f>14000-52358-10917-6000+16000+(110000-14000+7800+12800+16615-7000-8000+104695+20450+10645-3600-20500+109405+((559555+134000+494595+408705+10005)+14875+35000))</f>
        <v>1956770</v>
      </c>
      <c r="I204" s="167"/>
      <c r="J204" s="804">
        <f t="shared" si="196"/>
        <v>11234137</v>
      </c>
      <c r="K204" s="167">
        <f>3000917+(-7790+3000000-4790+(-200000+500000+31970-74322+611040+180000+154040+((91670+32400+77910+16200+405800+200000)+4838-255801+48600+1509600+86000+33250+216360)))</f>
        <v>9657892</v>
      </c>
      <c r="L204" s="167">
        <f>(691362+141099+226744+1030+112354+105648+5500+230778+2000+59730)-34800</f>
        <v>1541445</v>
      </c>
      <c r="M204" s="167">
        <f>(691362)+14400</f>
        <v>705762</v>
      </c>
      <c r="N204" s="167">
        <f>(92672+44368+72322+15587+5829)-18400</f>
        <v>212378</v>
      </c>
      <c r="O204" s="810">
        <f>(K204)+34800</f>
        <v>9692692</v>
      </c>
      <c r="P204" s="804">
        <f t="shared" si="199"/>
        <v>58543214</v>
      </c>
      <c r="Q204" s="461"/>
      <c r="R204" s="464" t="b">
        <f>K204='d6'!J168+'d6'!J170+'d6'!J171+'d6'!J172+'d6'!J173+'d6'!J174</f>
        <v>1</v>
      </c>
    </row>
    <row r="205" spans="1:18" s="463" customFormat="1" ht="184.5" thickTop="1" thickBot="1" x14ac:dyDescent="0.25">
      <c r="A205" s="808" t="s">
        <v>29</v>
      </c>
      <c r="B205" s="808" t="s">
        <v>211</v>
      </c>
      <c r="C205" s="808" t="s">
        <v>213</v>
      </c>
      <c r="D205" s="808" t="s">
        <v>51</v>
      </c>
      <c r="E205" s="313">
        <f t="shared" si="195"/>
        <v>9553150</v>
      </c>
      <c r="F205" s="167">
        <f>58042+(92200+11600+10840-60000+800000-436482+6880-7500+(581625+44400+353955+(8097590)))</f>
        <v>9553150</v>
      </c>
      <c r="G205" s="167"/>
      <c r="H205" s="167"/>
      <c r="I205" s="167"/>
      <c r="J205" s="804">
        <f t="shared" si="196"/>
        <v>264200</v>
      </c>
      <c r="K205" s="167">
        <f>-81000+((15200)+330000)</f>
        <v>264200</v>
      </c>
      <c r="L205" s="167"/>
      <c r="M205" s="167"/>
      <c r="N205" s="167"/>
      <c r="O205" s="810">
        <f t="shared" si="197"/>
        <v>264200</v>
      </c>
      <c r="P205" s="804">
        <f t="shared" si="199"/>
        <v>9817350</v>
      </c>
      <c r="Q205" s="461"/>
      <c r="R205" s="464" t="b">
        <f>K205='d6'!J176</f>
        <v>1</v>
      </c>
    </row>
    <row r="206" spans="1:18" s="367" customFormat="1" ht="93" thickTop="1" thickBot="1" x14ac:dyDescent="0.25">
      <c r="A206" s="431" t="s">
        <v>939</v>
      </c>
      <c r="B206" s="345" t="s">
        <v>940</v>
      </c>
      <c r="C206" s="345"/>
      <c r="D206" s="345" t="s">
        <v>941</v>
      </c>
      <c r="E206" s="430">
        <f>SUM(E207:E209)</f>
        <v>4151671</v>
      </c>
      <c r="F206" s="430">
        <f t="shared" ref="F206:P206" si="204">SUM(F207:F209)</f>
        <v>4151671</v>
      </c>
      <c r="G206" s="430">
        <f t="shared" si="204"/>
        <v>1195075</v>
      </c>
      <c r="H206" s="430">
        <f t="shared" si="204"/>
        <v>0</v>
      </c>
      <c r="I206" s="430">
        <f t="shared" si="204"/>
        <v>0</v>
      </c>
      <c r="J206" s="430">
        <f t="shared" si="204"/>
        <v>30000</v>
      </c>
      <c r="K206" s="430">
        <f t="shared" si="204"/>
        <v>30000</v>
      </c>
      <c r="L206" s="430">
        <f t="shared" si="204"/>
        <v>0</v>
      </c>
      <c r="M206" s="430">
        <f t="shared" si="204"/>
        <v>0</v>
      </c>
      <c r="N206" s="430">
        <f t="shared" si="204"/>
        <v>0</v>
      </c>
      <c r="O206" s="430">
        <f t="shared" si="204"/>
        <v>30000</v>
      </c>
      <c r="P206" s="430">
        <f t="shared" si="204"/>
        <v>4181671</v>
      </c>
      <c r="Q206" s="368"/>
      <c r="R206" s="234"/>
    </row>
    <row r="207" spans="1:18" s="463" customFormat="1" ht="276" thickTop="1" thickBot="1" x14ac:dyDescent="0.25">
      <c r="A207" s="474" t="s">
        <v>30</v>
      </c>
      <c r="B207" s="474" t="s">
        <v>212</v>
      </c>
      <c r="C207" s="474" t="s">
        <v>213</v>
      </c>
      <c r="D207" s="808" t="s">
        <v>31</v>
      </c>
      <c r="E207" s="313">
        <f t="shared" si="195"/>
        <v>480820</v>
      </c>
      <c r="F207" s="167">
        <f>-288000+((48380+64440)+500000+156000)</f>
        <v>480820</v>
      </c>
      <c r="G207" s="305"/>
      <c r="H207" s="305"/>
      <c r="I207" s="305"/>
      <c r="J207" s="804">
        <f t="shared" si="196"/>
        <v>0</v>
      </c>
      <c r="K207" s="305"/>
      <c r="L207" s="305"/>
      <c r="M207" s="305"/>
      <c r="N207" s="305"/>
      <c r="O207" s="810">
        <f t="shared" si="197"/>
        <v>0</v>
      </c>
      <c r="P207" s="804">
        <f t="shared" si="199"/>
        <v>480820</v>
      </c>
      <c r="Q207" s="461"/>
      <c r="R207" s="464"/>
    </row>
    <row r="208" spans="1:18" s="463" customFormat="1" ht="184.5" thickTop="1" thickBot="1" x14ac:dyDescent="0.25">
      <c r="A208" s="474" t="s">
        <v>559</v>
      </c>
      <c r="B208" s="474" t="s">
        <v>557</v>
      </c>
      <c r="C208" s="474" t="s">
        <v>213</v>
      </c>
      <c r="D208" s="808" t="s">
        <v>558</v>
      </c>
      <c r="E208" s="313">
        <f t="shared" si="195"/>
        <v>1894086</v>
      </c>
      <c r="F208" s="167">
        <f>-75000+((1968927)-98072+98231)</f>
        <v>1894086</v>
      </c>
      <c r="G208" s="305"/>
      <c r="H208" s="305"/>
      <c r="I208" s="305"/>
      <c r="J208" s="804">
        <f t="shared" si="196"/>
        <v>0</v>
      </c>
      <c r="K208" s="305"/>
      <c r="L208" s="305"/>
      <c r="M208" s="305"/>
      <c r="N208" s="305"/>
      <c r="O208" s="810">
        <f t="shared" si="197"/>
        <v>0</v>
      </c>
      <c r="P208" s="804">
        <f t="shared" si="199"/>
        <v>1894086</v>
      </c>
      <c r="Q208" s="461"/>
      <c r="R208" s="464"/>
    </row>
    <row r="209" spans="1:18" s="463" customFormat="1" ht="93" thickTop="1" thickBot="1" x14ac:dyDescent="0.25">
      <c r="A209" s="474" t="s">
        <v>32</v>
      </c>
      <c r="B209" s="474" t="s">
        <v>214</v>
      </c>
      <c r="C209" s="474" t="s">
        <v>213</v>
      </c>
      <c r="D209" s="808" t="s">
        <v>33</v>
      </c>
      <c r="E209" s="313">
        <f>F209</f>
        <v>1776765</v>
      </c>
      <c r="F209" s="167">
        <f>5100+60000+(1206730+265480+98410+141045)</f>
        <v>1776765</v>
      </c>
      <c r="G209" s="305">
        <f>(1206730)-11655</f>
        <v>1195075</v>
      </c>
      <c r="H209" s="305"/>
      <c r="I209" s="305"/>
      <c r="J209" s="804">
        <f t="shared" si="196"/>
        <v>30000</v>
      </c>
      <c r="K209" s="305">
        <f>(30000)</f>
        <v>30000</v>
      </c>
      <c r="L209" s="305"/>
      <c r="M209" s="305"/>
      <c r="N209" s="305"/>
      <c r="O209" s="810">
        <f t="shared" si="197"/>
        <v>30000</v>
      </c>
      <c r="P209" s="804">
        <f t="shared" si="199"/>
        <v>1806765</v>
      </c>
      <c r="Q209" s="461"/>
      <c r="R209" s="464" t="b">
        <f>K209='d6'!J177</f>
        <v>1</v>
      </c>
    </row>
    <row r="210" spans="1:18" s="367" customFormat="1" ht="91.5" thickTop="1" thickBot="1" x14ac:dyDescent="0.25">
      <c r="A210" s="422" t="s">
        <v>942</v>
      </c>
      <c r="B210" s="422" t="s">
        <v>899</v>
      </c>
      <c r="C210" s="422"/>
      <c r="D210" s="417" t="s">
        <v>900</v>
      </c>
      <c r="E210" s="313">
        <f>E211</f>
        <v>25424.53</v>
      </c>
      <c r="F210" s="313">
        <f t="shared" ref="F210:P211" si="205">F211</f>
        <v>25424.53</v>
      </c>
      <c r="G210" s="313">
        <f t="shared" si="205"/>
        <v>0</v>
      </c>
      <c r="H210" s="313">
        <f t="shared" si="205"/>
        <v>0</v>
      </c>
      <c r="I210" s="313">
        <f t="shared" si="205"/>
        <v>0</v>
      </c>
      <c r="J210" s="313">
        <f t="shared" si="205"/>
        <v>0</v>
      </c>
      <c r="K210" s="313">
        <f t="shared" si="205"/>
        <v>0</v>
      </c>
      <c r="L210" s="313">
        <f t="shared" si="205"/>
        <v>0</v>
      </c>
      <c r="M210" s="313">
        <f t="shared" si="205"/>
        <v>0</v>
      </c>
      <c r="N210" s="313">
        <f t="shared" si="205"/>
        <v>0</v>
      </c>
      <c r="O210" s="313">
        <f t="shared" si="205"/>
        <v>0</v>
      </c>
      <c r="P210" s="313">
        <f t="shared" si="205"/>
        <v>25424.53</v>
      </c>
      <c r="Q210" s="368"/>
      <c r="R210" s="234"/>
    </row>
    <row r="211" spans="1:18" s="367" customFormat="1" ht="93" thickTop="1" thickBot="1" x14ac:dyDescent="0.25">
      <c r="A211" s="431" t="s">
        <v>943</v>
      </c>
      <c r="B211" s="431" t="s">
        <v>902</v>
      </c>
      <c r="C211" s="431"/>
      <c r="D211" s="345" t="s">
        <v>903</v>
      </c>
      <c r="E211" s="430">
        <f>E212</f>
        <v>25424.53</v>
      </c>
      <c r="F211" s="430">
        <f t="shared" si="205"/>
        <v>25424.53</v>
      </c>
      <c r="G211" s="430">
        <f t="shared" si="205"/>
        <v>0</v>
      </c>
      <c r="H211" s="430">
        <f t="shared" si="205"/>
        <v>0</v>
      </c>
      <c r="I211" s="430">
        <f t="shared" si="205"/>
        <v>0</v>
      </c>
      <c r="J211" s="430">
        <f t="shared" si="205"/>
        <v>0</v>
      </c>
      <c r="K211" s="430">
        <f t="shared" si="205"/>
        <v>0</v>
      </c>
      <c r="L211" s="430">
        <f t="shared" si="205"/>
        <v>0</v>
      </c>
      <c r="M211" s="430">
        <f t="shared" si="205"/>
        <v>0</v>
      </c>
      <c r="N211" s="430">
        <f t="shared" si="205"/>
        <v>0</v>
      </c>
      <c r="O211" s="430">
        <f t="shared" si="205"/>
        <v>0</v>
      </c>
      <c r="P211" s="430">
        <f t="shared" si="205"/>
        <v>25424.53</v>
      </c>
      <c r="Q211" s="368"/>
      <c r="R211" s="234"/>
    </row>
    <row r="212" spans="1:18" s="463" customFormat="1" ht="276" thickTop="1" thickBot="1" x14ac:dyDescent="0.25">
      <c r="A212" s="474" t="s">
        <v>367</v>
      </c>
      <c r="B212" s="474" t="s">
        <v>366</v>
      </c>
      <c r="C212" s="474" t="s">
        <v>365</v>
      </c>
      <c r="D212" s="808" t="s">
        <v>794</v>
      </c>
      <c r="E212" s="313">
        <f>F212</f>
        <v>25424.53</v>
      </c>
      <c r="F212" s="167">
        <f>(18000)+7424.53</f>
        <v>25424.53</v>
      </c>
      <c r="G212" s="305"/>
      <c r="H212" s="305"/>
      <c r="I212" s="305"/>
      <c r="J212" s="804">
        <f t="shared" si="196"/>
        <v>0</v>
      </c>
      <c r="K212" s="305"/>
      <c r="L212" s="305"/>
      <c r="M212" s="305"/>
      <c r="N212" s="305"/>
      <c r="O212" s="810">
        <f t="shared" si="197"/>
        <v>0</v>
      </c>
      <c r="P212" s="804">
        <f t="shared" si="199"/>
        <v>25424.53</v>
      </c>
      <c r="Q212" s="461"/>
      <c r="R212" s="462"/>
    </row>
    <row r="213" spans="1:18" s="367" customFormat="1" ht="47.25" thickTop="1" thickBot="1" x14ac:dyDescent="0.25">
      <c r="A213" s="422" t="s">
        <v>944</v>
      </c>
      <c r="B213" s="421" t="s">
        <v>905</v>
      </c>
      <c r="C213" s="421"/>
      <c r="D213" s="421" t="s">
        <v>906</v>
      </c>
      <c r="E213" s="313">
        <f>E217+E214</f>
        <v>0</v>
      </c>
      <c r="F213" s="313">
        <f t="shared" ref="F213:P213" si="206">F217+F214</f>
        <v>0</v>
      </c>
      <c r="G213" s="313">
        <f t="shared" si="206"/>
        <v>0</v>
      </c>
      <c r="H213" s="313">
        <f t="shared" si="206"/>
        <v>0</v>
      </c>
      <c r="I213" s="313">
        <f t="shared" si="206"/>
        <v>0</v>
      </c>
      <c r="J213" s="313">
        <f t="shared" si="206"/>
        <v>1197546</v>
      </c>
      <c r="K213" s="313">
        <f t="shared" si="206"/>
        <v>1197546</v>
      </c>
      <c r="L213" s="313">
        <f t="shared" si="206"/>
        <v>0</v>
      </c>
      <c r="M213" s="313">
        <f t="shared" si="206"/>
        <v>0</v>
      </c>
      <c r="N213" s="313">
        <f t="shared" si="206"/>
        <v>0</v>
      </c>
      <c r="O213" s="313">
        <f t="shared" si="206"/>
        <v>1197546</v>
      </c>
      <c r="P213" s="313">
        <f t="shared" si="206"/>
        <v>1197546</v>
      </c>
      <c r="Q213" s="368"/>
      <c r="R213" s="195"/>
    </row>
    <row r="214" spans="1:18" s="787" customFormat="1" ht="91.5" thickTop="1" thickBot="1" x14ac:dyDescent="0.25">
      <c r="A214" s="379" t="s">
        <v>1465</v>
      </c>
      <c r="B214" s="379" t="s">
        <v>961</v>
      </c>
      <c r="C214" s="379"/>
      <c r="D214" s="379" t="s">
        <v>962</v>
      </c>
      <c r="E214" s="346">
        <f>E215</f>
        <v>0</v>
      </c>
      <c r="F214" s="346">
        <f t="shared" ref="F214:P215" si="207">F215</f>
        <v>0</v>
      </c>
      <c r="G214" s="346">
        <f t="shared" si="207"/>
        <v>0</v>
      </c>
      <c r="H214" s="346">
        <f t="shared" si="207"/>
        <v>0</v>
      </c>
      <c r="I214" s="346">
        <f t="shared" si="207"/>
        <v>0</v>
      </c>
      <c r="J214" s="346">
        <f t="shared" si="207"/>
        <v>200000</v>
      </c>
      <c r="K214" s="346">
        <f t="shared" si="207"/>
        <v>200000</v>
      </c>
      <c r="L214" s="346">
        <f t="shared" si="207"/>
        <v>0</v>
      </c>
      <c r="M214" s="346">
        <f t="shared" si="207"/>
        <v>0</v>
      </c>
      <c r="N214" s="346">
        <f t="shared" si="207"/>
        <v>0</v>
      </c>
      <c r="O214" s="346">
        <f t="shared" si="207"/>
        <v>200000</v>
      </c>
      <c r="P214" s="346">
        <f t="shared" si="207"/>
        <v>200000</v>
      </c>
      <c r="Q214" s="794"/>
      <c r="R214" s="195"/>
    </row>
    <row r="215" spans="1:18" s="787" customFormat="1" ht="145.5" thickTop="1" thickBot="1" x14ac:dyDescent="0.25">
      <c r="A215" s="345" t="s">
        <v>1466</v>
      </c>
      <c r="B215" s="345" t="s">
        <v>980</v>
      </c>
      <c r="C215" s="345"/>
      <c r="D215" s="345" t="s">
        <v>1452</v>
      </c>
      <c r="E215" s="347">
        <f>E216</f>
        <v>0</v>
      </c>
      <c r="F215" s="347">
        <f t="shared" si="207"/>
        <v>0</v>
      </c>
      <c r="G215" s="347">
        <f t="shared" si="207"/>
        <v>0</v>
      </c>
      <c r="H215" s="347">
        <f t="shared" si="207"/>
        <v>0</v>
      </c>
      <c r="I215" s="347">
        <f t="shared" si="207"/>
        <v>0</v>
      </c>
      <c r="J215" s="347">
        <f t="shared" si="207"/>
        <v>200000</v>
      </c>
      <c r="K215" s="347">
        <f t="shared" si="207"/>
        <v>200000</v>
      </c>
      <c r="L215" s="347">
        <f t="shared" si="207"/>
        <v>0</v>
      </c>
      <c r="M215" s="347">
        <f t="shared" si="207"/>
        <v>0</v>
      </c>
      <c r="N215" s="347">
        <f t="shared" si="207"/>
        <v>0</v>
      </c>
      <c r="O215" s="347">
        <f t="shared" si="207"/>
        <v>200000</v>
      </c>
      <c r="P215" s="347">
        <f t="shared" si="207"/>
        <v>200000</v>
      </c>
      <c r="Q215" s="794"/>
      <c r="R215" s="195"/>
    </row>
    <row r="216" spans="1:18" s="787" customFormat="1" ht="145.5" thickTop="1" thickBot="1" x14ac:dyDescent="0.25">
      <c r="A216" s="808" t="s">
        <v>1467</v>
      </c>
      <c r="B216" s="808" t="s">
        <v>336</v>
      </c>
      <c r="C216" s="808" t="s">
        <v>323</v>
      </c>
      <c r="D216" s="808" t="s">
        <v>780</v>
      </c>
      <c r="E216" s="804">
        <f t="shared" ref="E216" si="208">F216</f>
        <v>0</v>
      </c>
      <c r="F216" s="305"/>
      <c r="G216" s="305"/>
      <c r="H216" s="305"/>
      <c r="I216" s="305"/>
      <c r="J216" s="804">
        <f t="shared" ref="J216" si="209">L216+O216</f>
        <v>200000</v>
      </c>
      <c r="K216" s="305">
        <v>200000</v>
      </c>
      <c r="L216" s="305"/>
      <c r="M216" s="305"/>
      <c r="N216" s="305"/>
      <c r="O216" s="810">
        <f t="shared" ref="O216" si="210">K216</f>
        <v>200000</v>
      </c>
      <c r="P216" s="804">
        <f>E216+J216</f>
        <v>200000</v>
      </c>
      <c r="Q216" s="794"/>
      <c r="R216" s="195"/>
    </row>
    <row r="217" spans="1:18" s="367" customFormat="1" ht="136.5" thickTop="1" thickBot="1" x14ac:dyDescent="0.25">
      <c r="A217" s="379" t="s">
        <v>945</v>
      </c>
      <c r="B217" s="379" t="s">
        <v>847</v>
      </c>
      <c r="C217" s="379"/>
      <c r="D217" s="379" t="s">
        <v>845</v>
      </c>
      <c r="E217" s="429">
        <f>E218</f>
        <v>0</v>
      </c>
      <c r="F217" s="429">
        <f t="shared" ref="F217:P217" si="211">F218</f>
        <v>0</v>
      </c>
      <c r="G217" s="429">
        <f t="shared" si="211"/>
        <v>0</v>
      </c>
      <c r="H217" s="429">
        <f t="shared" si="211"/>
        <v>0</v>
      </c>
      <c r="I217" s="429">
        <f t="shared" si="211"/>
        <v>0</v>
      </c>
      <c r="J217" s="429">
        <f t="shared" si="211"/>
        <v>997546</v>
      </c>
      <c r="K217" s="429">
        <f t="shared" si="211"/>
        <v>997546</v>
      </c>
      <c r="L217" s="429">
        <f t="shared" si="211"/>
        <v>0</v>
      </c>
      <c r="M217" s="429">
        <f t="shared" si="211"/>
        <v>0</v>
      </c>
      <c r="N217" s="429">
        <f t="shared" si="211"/>
        <v>0</v>
      </c>
      <c r="O217" s="429">
        <f t="shared" si="211"/>
        <v>997546</v>
      </c>
      <c r="P217" s="429">
        <f t="shared" si="211"/>
        <v>997546</v>
      </c>
      <c r="Q217" s="368"/>
      <c r="R217" s="195"/>
    </row>
    <row r="218" spans="1:18" s="463" customFormat="1" ht="93" thickTop="1" thickBot="1" x14ac:dyDescent="0.25">
      <c r="A218" s="808" t="s">
        <v>742</v>
      </c>
      <c r="B218" s="808" t="s">
        <v>215</v>
      </c>
      <c r="C218" s="808" t="s">
        <v>184</v>
      </c>
      <c r="D218" s="808" t="s">
        <v>36</v>
      </c>
      <c r="E218" s="804">
        <f t="shared" ref="E218" si="212">F218</f>
        <v>0</v>
      </c>
      <c r="F218" s="305"/>
      <c r="G218" s="305"/>
      <c r="H218" s="305"/>
      <c r="I218" s="305"/>
      <c r="J218" s="804">
        <f t="shared" si="196"/>
        <v>997546</v>
      </c>
      <c r="K218" s="305">
        <f>-23928+((45144)+976330)</f>
        <v>997546</v>
      </c>
      <c r="L218" s="305"/>
      <c r="M218" s="305"/>
      <c r="N218" s="305"/>
      <c r="O218" s="810">
        <f t="shared" si="197"/>
        <v>997546</v>
      </c>
      <c r="P218" s="804">
        <f t="shared" si="199"/>
        <v>997546</v>
      </c>
      <c r="Q218" s="461"/>
      <c r="R218" s="464" t="b">
        <f>K218='d6'!J179</f>
        <v>1</v>
      </c>
    </row>
    <row r="219" spans="1:18" s="463" customFormat="1" ht="47.25" thickTop="1" thickBot="1" x14ac:dyDescent="0.25">
      <c r="A219" s="422" t="s">
        <v>1521</v>
      </c>
      <c r="B219" s="422" t="s">
        <v>858</v>
      </c>
      <c r="C219" s="422"/>
      <c r="D219" s="422" t="s">
        <v>859</v>
      </c>
      <c r="E219" s="840">
        <f>E220</f>
        <v>0</v>
      </c>
      <c r="F219" s="840">
        <f t="shared" ref="F219:P220" si="213">F220</f>
        <v>0</v>
      </c>
      <c r="G219" s="840">
        <f t="shared" si="213"/>
        <v>0</v>
      </c>
      <c r="H219" s="840">
        <f t="shared" si="213"/>
        <v>0</v>
      </c>
      <c r="I219" s="840">
        <f t="shared" si="213"/>
        <v>0</v>
      </c>
      <c r="J219" s="840">
        <f t="shared" si="213"/>
        <v>49900</v>
      </c>
      <c r="K219" s="840">
        <f t="shared" si="213"/>
        <v>49900</v>
      </c>
      <c r="L219" s="840">
        <f t="shared" si="213"/>
        <v>0</v>
      </c>
      <c r="M219" s="840">
        <f t="shared" si="213"/>
        <v>0</v>
      </c>
      <c r="N219" s="840">
        <f t="shared" si="213"/>
        <v>0</v>
      </c>
      <c r="O219" s="840">
        <f t="shared" si="213"/>
        <v>49900</v>
      </c>
      <c r="P219" s="840">
        <f t="shared" si="213"/>
        <v>49900</v>
      </c>
      <c r="Q219" s="461"/>
      <c r="R219" s="464"/>
    </row>
    <row r="220" spans="1:18" s="463" customFormat="1" ht="271.5" thickTop="1" thickBot="1" x14ac:dyDescent="0.25">
      <c r="A220" s="379" t="s">
        <v>1522</v>
      </c>
      <c r="B220" s="379" t="s">
        <v>861</v>
      </c>
      <c r="C220" s="379"/>
      <c r="D220" s="379" t="s">
        <v>862</v>
      </c>
      <c r="E220" s="346">
        <f>E221</f>
        <v>0</v>
      </c>
      <c r="F220" s="346">
        <f t="shared" si="213"/>
        <v>0</v>
      </c>
      <c r="G220" s="346">
        <f t="shared" si="213"/>
        <v>0</v>
      </c>
      <c r="H220" s="346">
        <f t="shared" si="213"/>
        <v>0</v>
      </c>
      <c r="I220" s="346">
        <f t="shared" si="213"/>
        <v>0</v>
      </c>
      <c r="J220" s="346">
        <f t="shared" si="213"/>
        <v>49900</v>
      </c>
      <c r="K220" s="346">
        <f t="shared" si="213"/>
        <v>49900</v>
      </c>
      <c r="L220" s="346">
        <f t="shared" si="213"/>
        <v>0</v>
      </c>
      <c r="M220" s="346">
        <f t="shared" si="213"/>
        <v>0</v>
      </c>
      <c r="N220" s="346">
        <f t="shared" si="213"/>
        <v>0</v>
      </c>
      <c r="O220" s="346">
        <f t="shared" si="213"/>
        <v>49900</v>
      </c>
      <c r="P220" s="346">
        <f t="shared" si="213"/>
        <v>49900</v>
      </c>
      <c r="Q220" s="461"/>
      <c r="R220" s="464"/>
    </row>
    <row r="221" spans="1:18" s="463" customFormat="1" ht="93" thickTop="1" thickBot="1" x14ac:dyDescent="0.25">
      <c r="A221" s="843" t="s">
        <v>1523</v>
      </c>
      <c r="B221" s="843" t="s">
        <v>389</v>
      </c>
      <c r="C221" s="843" t="s">
        <v>45</v>
      </c>
      <c r="D221" s="843" t="s">
        <v>390</v>
      </c>
      <c r="E221" s="840">
        <f t="shared" ref="E221" si="214">F221</f>
        <v>0</v>
      </c>
      <c r="F221" s="305"/>
      <c r="G221" s="305"/>
      <c r="H221" s="305"/>
      <c r="I221" s="305"/>
      <c r="J221" s="840">
        <f>L221+O221</f>
        <v>49900</v>
      </c>
      <c r="K221" s="305">
        <v>49900</v>
      </c>
      <c r="L221" s="305"/>
      <c r="M221" s="305"/>
      <c r="N221" s="305"/>
      <c r="O221" s="848">
        <f>K221</f>
        <v>49900</v>
      </c>
      <c r="P221" s="840">
        <f>E221+J221</f>
        <v>49900</v>
      </c>
      <c r="Q221" s="461"/>
      <c r="R221" s="464" t="b">
        <f>K221='d6'!J180</f>
        <v>1</v>
      </c>
    </row>
    <row r="222" spans="1:18" s="155" customFormat="1" ht="181.5" thickTop="1" thickBot="1" x14ac:dyDescent="0.25">
      <c r="A222" s="825" t="s">
        <v>172</v>
      </c>
      <c r="B222" s="825"/>
      <c r="C222" s="825"/>
      <c r="D222" s="826" t="s">
        <v>672</v>
      </c>
      <c r="E222" s="827">
        <f>E223</f>
        <v>25132429</v>
      </c>
      <c r="F222" s="828">
        <f t="shared" ref="F222:G222" si="215">F223</f>
        <v>25132429</v>
      </c>
      <c r="G222" s="828">
        <f t="shared" si="215"/>
        <v>5179675</v>
      </c>
      <c r="H222" s="828">
        <f>H223</f>
        <v>137424</v>
      </c>
      <c r="I222" s="828">
        <f t="shared" ref="I222" si="216">I223</f>
        <v>0</v>
      </c>
      <c r="J222" s="827">
        <f>J223</f>
        <v>31156337</v>
      </c>
      <c r="K222" s="828">
        <f>K223</f>
        <v>30166337</v>
      </c>
      <c r="L222" s="828">
        <f>L223</f>
        <v>990000</v>
      </c>
      <c r="M222" s="828">
        <f t="shared" ref="M222" si="217">M223</f>
        <v>0</v>
      </c>
      <c r="N222" s="828">
        <f>N223</f>
        <v>0</v>
      </c>
      <c r="O222" s="827">
        <f>O223</f>
        <v>30166337</v>
      </c>
      <c r="P222" s="828">
        <f>P223</f>
        <v>56288766</v>
      </c>
      <c r="Q222" s="184"/>
      <c r="R222" s="195"/>
    </row>
    <row r="223" spans="1:18" s="155" customFormat="1" ht="181.5" thickTop="1" thickBot="1" x14ac:dyDescent="0.25">
      <c r="A223" s="829" t="s">
        <v>173</v>
      </c>
      <c r="B223" s="829"/>
      <c r="C223" s="829"/>
      <c r="D223" s="830" t="s">
        <v>673</v>
      </c>
      <c r="E223" s="831">
        <f>E224+E227+E234</f>
        <v>25132429</v>
      </c>
      <c r="F223" s="831">
        <f t="shared" ref="F223:I223" si="218">F224+F227+F234</f>
        <v>25132429</v>
      </c>
      <c r="G223" s="831">
        <f t="shared" si="218"/>
        <v>5179675</v>
      </c>
      <c r="H223" s="831">
        <f t="shared" si="218"/>
        <v>137424</v>
      </c>
      <c r="I223" s="831">
        <f t="shared" si="218"/>
        <v>0</v>
      </c>
      <c r="J223" s="831">
        <f t="shared" ref="J223:J239" si="219">L223+O223</f>
        <v>31156337</v>
      </c>
      <c r="K223" s="831">
        <f t="shared" ref="K223:O223" si="220">K224+K227+K234</f>
        <v>30166337</v>
      </c>
      <c r="L223" s="831">
        <f t="shared" si="220"/>
        <v>990000</v>
      </c>
      <c r="M223" s="831">
        <f t="shared" si="220"/>
        <v>0</v>
      </c>
      <c r="N223" s="831">
        <f t="shared" si="220"/>
        <v>0</v>
      </c>
      <c r="O223" s="831">
        <f t="shared" si="220"/>
        <v>30166337</v>
      </c>
      <c r="P223" s="831">
        <f>E223+J223</f>
        <v>56288766</v>
      </c>
      <c r="Q223" s="253" t="b">
        <f>P223=P225+P229+P230+P231+P233+P236+P239+P226+P237+P232</f>
        <v>1</v>
      </c>
      <c r="R223" s="253" t="b">
        <f>K223='d6'!J182</f>
        <v>1</v>
      </c>
    </row>
    <row r="224" spans="1:18" s="367" customFormat="1" ht="47.25" thickTop="1" thickBot="1" x14ac:dyDescent="0.25">
      <c r="A224" s="422" t="s">
        <v>946</v>
      </c>
      <c r="B224" s="422" t="s">
        <v>840</v>
      </c>
      <c r="C224" s="422"/>
      <c r="D224" s="422" t="s">
        <v>841</v>
      </c>
      <c r="E224" s="804">
        <f>SUM(E225:E226)</f>
        <v>7168634</v>
      </c>
      <c r="F224" s="804">
        <f t="shared" ref="F224" si="221">SUM(F225:F226)</f>
        <v>7168634</v>
      </c>
      <c r="G224" s="804">
        <f t="shared" ref="G224" si="222">SUM(G225:G226)</f>
        <v>5179675</v>
      </c>
      <c r="H224" s="804">
        <f t="shared" ref="H224" si="223">SUM(H225:H226)</f>
        <v>137424</v>
      </c>
      <c r="I224" s="804">
        <f t="shared" ref="I224" si="224">SUM(I225:I226)</f>
        <v>0</v>
      </c>
      <c r="J224" s="804">
        <f t="shared" ref="J224" si="225">SUM(J225:J226)</f>
        <v>163248</v>
      </c>
      <c r="K224" s="804">
        <f t="shared" ref="K224" si="226">SUM(K225:K226)</f>
        <v>163248</v>
      </c>
      <c r="L224" s="804">
        <f t="shared" ref="L224" si="227">SUM(L225:L226)</f>
        <v>0</v>
      </c>
      <c r="M224" s="804">
        <f t="shared" ref="M224" si="228">SUM(M225:M226)</f>
        <v>0</v>
      </c>
      <c r="N224" s="804">
        <f t="shared" ref="N224" si="229">SUM(N225:N226)</f>
        <v>0</v>
      </c>
      <c r="O224" s="804">
        <f>SUM(O225:O226)</f>
        <v>163248</v>
      </c>
      <c r="P224" s="804">
        <f t="shared" ref="P224" si="230">SUM(P225:P226)</f>
        <v>7331882</v>
      </c>
      <c r="Q224" s="253"/>
      <c r="R224" s="253"/>
    </row>
    <row r="225" spans="1:18" s="155" customFormat="1" ht="230.25" thickTop="1" thickBot="1" x14ac:dyDescent="0.25">
      <c r="A225" s="808" t="s">
        <v>449</v>
      </c>
      <c r="B225" s="808" t="s">
        <v>254</v>
      </c>
      <c r="C225" s="808" t="s">
        <v>252</v>
      </c>
      <c r="D225" s="808" t="s">
        <v>253</v>
      </c>
      <c r="E225" s="313">
        <f>F225</f>
        <v>7161634</v>
      </c>
      <c r="F225" s="167">
        <f>27039+(-288000-107000+7000-15000-4000-3400+((5441675+1197170+253395+210390+14760+39015+5208+25686+4476+3400+34020-12000)+199000+65800+39500+23500))</f>
        <v>7161634</v>
      </c>
      <c r="G225" s="167">
        <f>26000+((5441675)-288000)</f>
        <v>5179675</v>
      </c>
      <c r="H225" s="167">
        <f>7806+4233+(7000-15000-4000+((39015+5208+25686+4476)+39500+23500))</f>
        <v>137424</v>
      </c>
      <c r="I225" s="167"/>
      <c r="J225" s="804">
        <f t="shared" si="219"/>
        <v>163248</v>
      </c>
      <c r="K225" s="167">
        <f>(36000)+31812+95436</f>
        <v>163248</v>
      </c>
      <c r="L225" s="761"/>
      <c r="M225" s="761"/>
      <c r="N225" s="761"/>
      <c r="O225" s="810">
        <f t="shared" ref="O225:O236" si="231">K225</f>
        <v>163248</v>
      </c>
      <c r="P225" s="804">
        <f t="shared" ref="P225:P231" si="232">+J225+E225</f>
        <v>7324882</v>
      </c>
      <c r="Q225" s="184"/>
      <c r="R225" s="253" t="b">
        <f>K225='d6'!J183</f>
        <v>1</v>
      </c>
    </row>
    <row r="226" spans="1:18" s="307" customFormat="1" ht="184.5" thickTop="1" thickBot="1" x14ac:dyDescent="0.25">
      <c r="A226" s="806" t="s">
        <v>782</v>
      </c>
      <c r="B226" s="806" t="s">
        <v>388</v>
      </c>
      <c r="C226" s="806" t="s">
        <v>775</v>
      </c>
      <c r="D226" s="806" t="s">
        <v>776</v>
      </c>
      <c r="E226" s="807">
        <f t="shared" ref="E226" si="233">F226</f>
        <v>7000</v>
      </c>
      <c r="F226" s="300">
        <f>-5000+(12000)</f>
        <v>7000</v>
      </c>
      <c r="G226" s="300"/>
      <c r="H226" s="300"/>
      <c r="I226" s="300"/>
      <c r="J226" s="807">
        <f t="shared" si="219"/>
        <v>0</v>
      </c>
      <c r="K226" s="300"/>
      <c r="L226" s="763"/>
      <c r="M226" s="764"/>
      <c r="N226" s="764"/>
      <c r="O226" s="765">
        <f t="shared" si="231"/>
        <v>0</v>
      </c>
      <c r="P226" s="807">
        <f>+J226+E226</f>
        <v>7000</v>
      </c>
      <c r="Q226" s="309"/>
      <c r="R226" s="253"/>
    </row>
    <row r="227" spans="1:18" s="367" customFormat="1" ht="91.5" thickTop="1" thickBot="1" x14ac:dyDescent="0.25">
      <c r="A227" s="422" t="s">
        <v>947</v>
      </c>
      <c r="B227" s="421" t="s">
        <v>899</v>
      </c>
      <c r="C227" s="421"/>
      <c r="D227" s="417" t="s">
        <v>900</v>
      </c>
      <c r="E227" s="807">
        <f>SUM(E228:E233)-E228</f>
        <v>17113795</v>
      </c>
      <c r="F227" s="807">
        <f t="shared" ref="F227:P227" si="234">SUM(F228:F233)-F228</f>
        <v>17113795</v>
      </c>
      <c r="G227" s="807">
        <f t="shared" si="234"/>
        <v>0</v>
      </c>
      <c r="H227" s="807">
        <f t="shared" si="234"/>
        <v>0</v>
      </c>
      <c r="I227" s="807">
        <f t="shared" si="234"/>
        <v>0</v>
      </c>
      <c r="J227" s="807">
        <f t="shared" si="234"/>
        <v>29353089</v>
      </c>
      <c r="K227" s="807">
        <f t="shared" si="234"/>
        <v>29353089</v>
      </c>
      <c r="L227" s="807">
        <f t="shared" si="234"/>
        <v>0</v>
      </c>
      <c r="M227" s="807">
        <f t="shared" si="234"/>
        <v>0</v>
      </c>
      <c r="N227" s="807">
        <f t="shared" si="234"/>
        <v>0</v>
      </c>
      <c r="O227" s="807">
        <f t="shared" si="234"/>
        <v>29353089</v>
      </c>
      <c r="P227" s="807">
        <f t="shared" si="234"/>
        <v>46466884</v>
      </c>
      <c r="Q227" s="368"/>
      <c r="R227" s="253"/>
    </row>
    <row r="228" spans="1:18" s="39" customFormat="1" ht="184.5" thickTop="1" thickBot="1" x14ac:dyDescent="0.25">
      <c r="A228" s="345" t="s">
        <v>948</v>
      </c>
      <c r="B228" s="378" t="s">
        <v>949</v>
      </c>
      <c r="C228" s="378"/>
      <c r="D228" s="378" t="s">
        <v>950</v>
      </c>
      <c r="E228" s="432">
        <f>SUM(E229:E231)</f>
        <v>2483795</v>
      </c>
      <c r="F228" s="432">
        <f t="shared" ref="F228:P228" si="235">SUM(F229:F231)</f>
        <v>2483795</v>
      </c>
      <c r="G228" s="432">
        <f t="shared" si="235"/>
        <v>0</v>
      </c>
      <c r="H228" s="432">
        <f t="shared" si="235"/>
        <v>0</v>
      </c>
      <c r="I228" s="432">
        <f t="shared" si="235"/>
        <v>0</v>
      </c>
      <c r="J228" s="432">
        <f t="shared" si="235"/>
        <v>29353089</v>
      </c>
      <c r="K228" s="432">
        <f t="shared" si="235"/>
        <v>29353089</v>
      </c>
      <c r="L228" s="432">
        <f t="shared" si="235"/>
        <v>0</v>
      </c>
      <c r="M228" s="432">
        <f t="shared" si="235"/>
        <v>0</v>
      </c>
      <c r="N228" s="432">
        <f t="shared" si="235"/>
        <v>0</v>
      </c>
      <c r="O228" s="432">
        <f t="shared" si="235"/>
        <v>29353089</v>
      </c>
      <c r="P228" s="432">
        <f t="shared" si="235"/>
        <v>31836884</v>
      </c>
      <c r="Q228" s="191"/>
      <c r="R228" s="253"/>
    </row>
    <row r="229" spans="1:18" s="155" customFormat="1" ht="138.75" thickTop="1" thickBot="1" x14ac:dyDescent="0.25">
      <c r="A229" s="808" t="s">
        <v>298</v>
      </c>
      <c r="B229" s="808" t="s">
        <v>299</v>
      </c>
      <c r="C229" s="808" t="s">
        <v>365</v>
      </c>
      <c r="D229" s="808" t="s">
        <v>300</v>
      </c>
      <c r="E229" s="313">
        <f t="shared" ref="E229:E239" si="236">F229</f>
        <v>1933795</v>
      </c>
      <c r="F229" s="167">
        <f>-200317+(658812+(((2675300)-200000)-1000000))</f>
        <v>1933795</v>
      </c>
      <c r="G229" s="167"/>
      <c r="H229" s="167"/>
      <c r="I229" s="167"/>
      <c r="J229" s="804">
        <f t="shared" si="219"/>
        <v>8284628</v>
      </c>
      <c r="K229" s="167">
        <f>-708812+((10345240)-1351800)</f>
        <v>8284628</v>
      </c>
      <c r="L229" s="761"/>
      <c r="M229" s="761"/>
      <c r="N229" s="761"/>
      <c r="O229" s="810">
        <f t="shared" si="231"/>
        <v>8284628</v>
      </c>
      <c r="P229" s="804">
        <f t="shared" si="232"/>
        <v>10218423</v>
      </c>
      <c r="Q229" s="184"/>
      <c r="R229" s="253" t="b">
        <f>K229='d6'!J184</f>
        <v>1</v>
      </c>
    </row>
    <row r="230" spans="1:18" s="155" customFormat="1" ht="138.75" thickTop="1" thickBot="1" x14ac:dyDescent="0.25">
      <c r="A230" s="808" t="s">
        <v>320</v>
      </c>
      <c r="B230" s="808" t="s">
        <v>321</v>
      </c>
      <c r="C230" s="808" t="s">
        <v>301</v>
      </c>
      <c r="D230" s="808" t="s">
        <v>322</v>
      </c>
      <c r="E230" s="313">
        <f t="shared" si="236"/>
        <v>0</v>
      </c>
      <c r="F230" s="167"/>
      <c r="G230" s="167"/>
      <c r="H230" s="167"/>
      <c r="I230" s="167"/>
      <c r="J230" s="804">
        <f t="shared" si="219"/>
        <v>8000000</v>
      </c>
      <c r="K230" s="167">
        <f>(5000000)+3000000</f>
        <v>8000000</v>
      </c>
      <c r="L230" s="761"/>
      <c r="M230" s="761"/>
      <c r="N230" s="761"/>
      <c r="O230" s="810">
        <f t="shared" si="231"/>
        <v>8000000</v>
      </c>
      <c r="P230" s="804">
        <f t="shared" si="232"/>
        <v>8000000</v>
      </c>
      <c r="Q230" s="184"/>
      <c r="R230" s="253" t="b">
        <f>K230='d6'!J185</f>
        <v>1</v>
      </c>
    </row>
    <row r="231" spans="1:18" s="155" customFormat="1" ht="184.5" thickTop="1" thickBot="1" x14ac:dyDescent="0.25">
      <c r="A231" s="808" t="s">
        <v>302</v>
      </c>
      <c r="B231" s="808" t="s">
        <v>303</v>
      </c>
      <c r="C231" s="808" t="s">
        <v>301</v>
      </c>
      <c r="D231" s="808" t="s">
        <v>503</v>
      </c>
      <c r="E231" s="313">
        <f t="shared" si="236"/>
        <v>550000</v>
      </c>
      <c r="F231" s="167">
        <v>550000</v>
      </c>
      <c r="G231" s="167"/>
      <c r="H231" s="167"/>
      <c r="I231" s="167"/>
      <c r="J231" s="804">
        <f t="shared" si="219"/>
        <v>13068461</v>
      </c>
      <c r="K231" s="167">
        <f>(13120761)-52300</f>
        <v>13068461</v>
      </c>
      <c r="L231" s="761"/>
      <c r="M231" s="761"/>
      <c r="N231" s="761"/>
      <c r="O231" s="810">
        <f t="shared" si="231"/>
        <v>13068461</v>
      </c>
      <c r="P231" s="804">
        <f t="shared" si="232"/>
        <v>13618461</v>
      </c>
      <c r="Q231" s="184"/>
      <c r="R231" s="253" t="b">
        <f>K231='d6'!J187+'d6'!J188+'d6'!J189</f>
        <v>1</v>
      </c>
    </row>
    <row r="232" spans="1:18" s="533" customFormat="1" ht="230.25" thickTop="1" thickBot="1" x14ac:dyDescent="0.25">
      <c r="A232" s="808" t="s">
        <v>1153</v>
      </c>
      <c r="B232" s="808" t="s">
        <v>316</v>
      </c>
      <c r="C232" s="808" t="s">
        <v>301</v>
      </c>
      <c r="D232" s="808" t="s">
        <v>317</v>
      </c>
      <c r="E232" s="313">
        <f t="shared" ref="E232" si="237">F232</f>
        <v>530000</v>
      </c>
      <c r="F232" s="167">
        <f>300000+((200000)+30000)</f>
        <v>530000</v>
      </c>
      <c r="G232" s="167"/>
      <c r="H232" s="167"/>
      <c r="I232" s="167"/>
      <c r="J232" s="804">
        <f t="shared" ref="J232" si="238">L232+O232</f>
        <v>0</v>
      </c>
      <c r="K232" s="167"/>
      <c r="L232" s="761"/>
      <c r="M232" s="761"/>
      <c r="N232" s="761"/>
      <c r="O232" s="810">
        <f t="shared" ref="O232" si="239">K232</f>
        <v>0</v>
      </c>
      <c r="P232" s="804">
        <f t="shared" ref="P232" si="240">+J232+E232</f>
        <v>530000</v>
      </c>
      <c r="Q232" s="541"/>
      <c r="R232" s="253"/>
    </row>
    <row r="233" spans="1:18" s="155" customFormat="1" ht="93" thickTop="1" thickBot="1" x14ac:dyDescent="0.25">
      <c r="A233" s="808" t="s">
        <v>306</v>
      </c>
      <c r="B233" s="808" t="s">
        <v>307</v>
      </c>
      <c r="C233" s="808" t="s">
        <v>301</v>
      </c>
      <c r="D233" s="808" t="s">
        <v>308</v>
      </c>
      <c r="E233" s="313">
        <f t="shared" si="236"/>
        <v>14100000</v>
      </c>
      <c r="F233" s="167">
        <v>14100000</v>
      </c>
      <c r="G233" s="167"/>
      <c r="H233" s="167"/>
      <c r="I233" s="167"/>
      <c r="J233" s="804">
        <f t="shared" si="219"/>
        <v>0</v>
      </c>
      <c r="K233" s="305"/>
      <c r="L233" s="167"/>
      <c r="M233" s="167"/>
      <c r="N233" s="167"/>
      <c r="O233" s="810">
        <f t="shared" si="231"/>
        <v>0</v>
      </c>
      <c r="P233" s="804">
        <f t="shared" ref="P233" si="241">E233+J233</f>
        <v>14100000</v>
      </c>
      <c r="Q233" s="184"/>
      <c r="R233" s="195"/>
    </row>
    <row r="234" spans="1:18" s="367" customFormat="1" ht="47.25" thickTop="1" thickBot="1" x14ac:dyDescent="0.25">
      <c r="A234" s="422" t="s">
        <v>951</v>
      </c>
      <c r="B234" s="422" t="s">
        <v>905</v>
      </c>
      <c r="C234" s="422"/>
      <c r="D234" s="422" t="s">
        <v>952</v>
      </c>
      <c r="E234" s="313">
        <f>E235</f>
        <v>850000</v>
      </c>
      <c r="F234" s="313">
        <f t="shared" ref="F234:P234" si="242">F235</f>
        <v>850000</v>
      </c>
      <c r="G234" s="313">
        <f t="shared" si="242"/>
        <v>0</v>
      </c>
      <c r="H234" s="313">
        <f t="shared" si="242"/>
        <v>0</v>
      </c>
      <c r="I234" s="313">
        <f t="shared" si="242"/>
        <v>0</v>
      </c>
      <c r="J234" s="313">
        <f>J235</f>
        <v>1640000</v>
      </c>
      <c r="K234" s="313">
        <f t="shared" si="242"/>
        <v>650000</v>
      </c>
      <c r="L234" s="313">
        <f t="shared" si="242"/>
        <v>990000</v>
      </c>
      <c r="M234" s="313">
        <f t="shared" si="242"/>
        <v>0</v>
      </c>
      <c r="N234" s="313">
        <f t="shared" si="242"/>
        <v>0</v>
      </c>
      <c r="O234" s="313">
        <f t="shared" si="242"/>
        <v>650000</v>
      </c>
      <c r="P234" s="313">
        <f t="shared" si="242"/>
        <v>2490000</v>
      </c>
      <c r="Q234" s="368"/>
      <c r="R234" s="195"/>
    </row>
    <row r="235" spans="1:18" s="367" customFormat="1" ht="136.5" thickTop="1" thickBot="1" x14ac:dyDescent="0.25">
      <c r="A235" s="379" t="s">
        <v>953</v>
      </c>
      <c r="B235" s="379" t="s">
        <v>847</v>
      </c>
      <c r="C235" s="379"/>
      <c r="D235" s="379" t="s">
        <v>845</v>
      </c>
      <c r="E235" s="429">
        <f t="shared" ref="E235:P235" si="243">E236+E238+E237</f>
        <v>850000</v>
      </c>
      <c r="F235" s="429">
        <f t="shared" si="243"/>
        <v>850000</v>
      </c>
      <c r="G235" s="429">
        <f t="shared" si="243"/>
        <v>0</v>
      </c>
      <c r="H235" s="429">
        <f t="shared" si="243"/>
        <v>0</v>
      </c>
      <c r="I235" s="429">
        <f t="shared" si="243"/>
        <v>0</v>
      </c>
      <c r="J235" s="429">
        <f t="shared" si="243"/>
        <v>1640000</v>
      </c>
      <c r="K235" s="429">
        <f t="shared" si="243"/>
        <v>650000</v>
      </c>
      <c r="L235" s="429">
        <f t="shared" si="243"/>
        <v>990000</v>
      </c>
      <c r="M235" s="429">
        <f t="shared" si="243"/>
        <v>0</v>
      </c>
      <c r="N235" s="429">
        <f t="shared" si="243"/>
        <v>0</v>
      </c>
      <c r="O235" s="429">
        <f t="shared" si="243"/>
        <v>650000</v>
      </c>
      <c r="P235" s="429">
        <f t="shared" si="243"/>
        <v>2490000</v>
      </c>
      <c r="Q235" s="368"/>
      <c r="R235" s="195"/>
    </row>
    <row r="236" spans="1:18" s="155" customFormat="1" ht="48" thickTop="1" thickBot="1" x14ac:dyDescent="0.25">
      <c r="A236" s="808" t="s">
        <v>315</v>
      </c>
      <c r="B236" s="808" t="s">
        <v>230</v>
      </c>
      <c r="C236" s="808" t="s">
        <v>231</v>
      </c>
      <c r="D236" s="808" t="s">
        <v>43</v>
      </c>
      <c r="E236" s="313">
        <f t="shared" si="236"/>
        <v>850000</v>
      </c>
      <c r="F236" s="167">
        <f>(-600000+((500000)+650000))+300000</f>
        <v>850000</v>
      </c>
      <c r="G236" s="167"/>
      <c r="H236" s="167"/>
      <c r="I236" s="167"/>
      <c r="J236" s="804">
        <f t="shared" si="219"/>
        <v>350000</v>
      </c>
      <c r="K236" s="305">
        <f>300000+((2100000)-2050000)</f>
        <v>350000</v>
      </c>
      <c r="L236" s="167"/>
      <c r="M236" s="167"/>
      <c r="N236" s="167"/>
      <c r="O236" s="810">
        <f t="shared" si="231"/>
        <v>350000</v>
      </c>
      <c r="P236" s="804">
        <f>E236+J236</f>
        <v>1200000</v>
      </c>
      <c r="Q236" s="184"/>
      <c r="R236" s="253" t="b">
        <f>K236='d6'!J191</f>
        <v>1</v>
      </c>
    </row>
    <row r="237" spans="1:18" s="515" customFormat="1" ht="93" thickTop="1" thickBot="1" x14ac:dyDescent="0.25">
      <c r="A237" s="808" t="s">
        <v>1126</v>
      </c>
      <c r="B237" s="808" t="s">
        <v>215</v>
      </c>
      <c r="C237" s="808" t="s">
        <v>184</v>
      </c>
      <c r="D237" s="808" t="s">
        <v>36</v>
      </c>
      <c r="E237" s="313">
        <f t="shared" ref="E237" si="244">F237</f>
        <v>0</v>
      </c>
      <c r="F237" s="167"/>
      <c r="G237" s="167"/>
      <c r="H237" s="167"/>
      <c r="I237" s="167"/>
      <c r="J237" s="804">
        <f t="shared" ref="J237" si="245">L237+O237</f>
        <v>300000</v>
      </c>
      <c r="K237" s="305">
        <f>(390000)-90000</f>
        <v>300000</v>
      </c>
      <c r="L237" s="167"/>
      <c r="M237" s="167"/>
      <c r="N237" s="167"/>
      <c r="O237" s="810">
        <f t="shared" ref="O237" si="246">K237</f>
        <v>300000</v>
      </c>
      <c r="P237" s="804">
        <f>E237+J237</f>
        <v>300000</v>
      </c>
      <c r="Q237" s="520"/>
      <c r="R237" s="253" t="b">
        <f>K237='d6'!J193</f>
        <v>1</v>
      </c>
    </row>
    <row r="238" spans="1:18" s="367" customFormat="1" ht="48" thickTop="1" thickBot="1" x14ac:dyDescent="0.25">
      <c r="A238" s="345" t="s">
        <v>954</v>
      </c>
      <c r="B238" s="345" t="s">
        <v>850</v>
      </c>
      <c r="C238" s="345"/>
      <c r="D238" s="345" t="s">
        <v>955</v>
      </c>
      <c r="E238" s="430">
        <f>E239</f>
        <v>0</v>
      </c>
      <c r="F238" s="430">
        <f t="shared" ref="F238:P238" si="247">F239</f>
        <v>0</v>
      </c>
      <c r="G238" s="430">
        <f t="shared" si="247"/>
        <v>0</v>
      </c>
      <c r="H238" s="430">
        <f t="shared" si="247"/>
        <v>0</v>
      </c>
      <c r="I238" s="430">
        <f t="shared" si="247"/>
        <v>0</v>
      </c>
      <c r="J238" s="430">
        <f t="shared" si="247"/>
        <v>990000</v>
      </c>
      <c r="K238" s="430">
        <f t="shared" si="247"/>
        <v>0</v>
      </c>
      <c r="L238" s="430">
        <f t="shared" si="247"/>
        <v>990000</v>
      </c>
      <c r="M238" s="430">
        <f t="shared" si="247"/>
        <v>0</v>
      </c>
      <c r="N238" s="430">
        <f t="shared" si="247"/>
        <v>0</v>
      </c>
      <c r="O238" s="430">
        <f t="shared" si="247"/>
        <v>0</v>
      </c>
      <c r="P238" s="430">
        <f t="shared" si="247"/>
        <v>990000</v>
      </c>
      <c r="Q238" s="368"/>
      <c r="R238" s="195"/>
    </row>
    <row r="239" spans="1:18" s="155" customFormat="1" ht="409.6" thickTop="1" thickBot="1" x14ac:dyDescent="0.7">
      <c r="A239" s="983" t="s">
        <v>452</v>
      </c>
      <c r="B239" s="983" t="s">
        <v>363</v>
      </c>
      <c r="C239" s="983" t="s">
        <v>184</v>
      </c>
      <c r="D239" s="315" t="s">
        <v>473</v>
      </c>
      <c r="E239" s="984">
        <f t="shared" si="236"/>
        <v>0</v>
      </c>
      <c r="F239" s="985"/>
      <c r="G239" s="985"/>
      <c r="H239" s="985"/>
      <c r="I239" s="985"/>
      <c r="J239" s="984">
        <f t="shared" si="219"/>
        <v>990000</v>
      </c>
      <c r="K239" s="985"/>
      <c r="L239" s="985">
        <f>(190000)+800000</f>
        <v>990000</v>
      </c>
      <c r="M239" s="985"/>
      <c r="N239" s="985"/>
      <c r="O239" s="987">
        <f>K239+0</f>
        <v>0</v>
      </c>
      <c r="P239" s="978">
        <f>E239+J239</f>
        <v>990000</v>
      </c>
      <c r="Q239" s="184"/>
      <c r="R239" s="195"/>
    </row>
    <row r="240" spans="1:18" s="155" customFormat="1" ht="184.5" thickTop="1" thickBot="1" x14ac:dyDescent="0.25">
      <c r="A240" s="983"/>
      <c r="B240" s="983"/>
      <c r="C240" s="983"/>
      <c r="D240" s="317" t="s">
        <v>474</v>
      </c>
      <c r="E240" s="984"/>
      <c r="F240" s="985"/>
      <c r="G240" s="985"/>
      <c r="H240" s="985"/>
      <c r="I240" s="985"/>
      <c r="J240" s="984"/>
      <c r="K240" s="985"/>
      <c r="L240" s="985"/>
      <c r="M240" s="985"/>
      <c r="N240" s="985"/>
      <c r="O240" s="987"/>
      <c r="P240" s="978"/>
      <c r="Q240" s="184"/>
      <c r="R240" s="195"/>
    </row>
    <row r="241" spans="1:18" s="155" customFormat="1" ht="181.5" thickTop="1" thickBot="1" x14ac:dyDescent="0.25">
      <c r="A241" s="825" t="s">
        <v>640</v>
      </c>
      <c r="B241" s="825"/>
      <c r="C241" s="825"/>
      <c r="D241" s="826" t="s">
        <v>670</v>
      </c>
      <c r="E241" s="827">
        <f>E242</f>
        <v>275251807</v>
      </c>
      <c r="F241" s="828">
        <f t="shared" ref="F241:G241" si="248">F242</f>
        <v>275251807</v>
      </c>
      <c r="G241" s="828">
        <f t="shared" si="248"/>
        <v>7101848</v>
      </c>
      <c r="H241" s="828">
        <f>H242</f>
        <v>159985</v>
      </c>
      <c r="I241" s="828">
        <f t="shared" ref="I241" si="249">I242</f>
        <v>0</v>
      </c>
      <c r="J241" s="827">
        <f>J242</f>
        <v>146907076.61000001</v>
      </c>
      <c r="K241" s="828">
        <f>K242</f>
        <v>145109539.57999998</v>
      </c>
      <c r="L241" s="828">
        <f>L242</f>
        <v>140000</v>
      </c>
      <c r="M241" s="828">
        <f t="shared" ref="M241" si="250">M242</f>
        <v>0</v>
      </c>
      <c r="N241" s="828">
        <f>N242</f>
        <v>0</v>
      </c>
      <c r="O241" s="827">
        <f>O242</f>
        <v>146767076.61000001</v>
      </c>
      <c r="P241" s="828">
        <f>P242</f>
        <v>422158883.61000001</v>
      </c>
      <c r="Q241" s="184"/>
      <c r="R241" s="195"/>
    </row>
    <row r="242" spans="1:18" s="155" customFormat="1" ht="181.5" thickTop="1" thickBot="1" x14ac:dyDescent="0.25">
      <c r="A242" s="829" t="s">
        <v>641</v>
      </c>
      <c r="B242" s="829"/>
      <c r="C242" s="829"/>
      <c r="D242" s="830" t="s">
        <v>671</v>
      </c>
      <c r="E242" s="831">
        <f>E243+E247+E253+E265</f>
        <v>275251807</v>
      </c>
      <c r="F242" s="831">
        <f t="shared" ref="F242:I242" si="251">F243+F247+F253+F265</f>
        <v>275251807</v>
      </c>
      <c r="G242" s="831">
        <f t="shared" si="251"/>
        <v>7101848</v>
      </c>
      <c r="H242" s="831">
        <f t="shared" si="251"/>
        <v>159985</v>
      </c>
      <c r="I242" s="831">
        <f t="shared" si="251"/>
        <v>0</v>
      </c>
      <c r="J242" s="831">
        <f t="shared" ref="J242:J263" si="252">L242+O242</f>
        <v>146907076.61000001</v>
      </c>
      <c r="K242" s="831">
        <f t="shared" ref="K242:O242" si="253">K243+K247+K253+K265</f>
        <v>145109539.57999998</v>
      </c>
      <c r="L242" s="831">
        <f t="shared" si="253"/>
        <v>140000</v>
      </c>
      <c r="M242" s="831">
        <f t="shared" si="253"/>
        <v>0</v>
      </c>
      <c r="N242" s="831">
        <f t="shared" si="253"/>
        <v>0</v>
      </c>
      <c r="O242" s="831">
        <f t="shared" si="253"/>
        <v>146767076.61000001</v>
      </c>
      <c r="P242" s="831">
        <f>E242+J242</f>
        <v>422158883.61000001</v>
      </c>
      <c r="Q242" s="125" t="b">
        <f>P242=P244+P245+P246+P249+P250+P251+P252+P255+P258+P260+P261+P263+P267+P268+P269</f>
        <v>1</v>
      </c>
      <c r="R242" s="125" t="b">
        <f>K242='d6'!J196</f>
        <v>1</v>
      </c>
    </row>
    <row r="243" spans="1:18" s="367" customFormat="1" ht="47.25" thickTop="1" thickBot="1" x14ac:dyDescent="0.25">
      <c r="A243" s="422" t="s">
        <v>956</v>
      </c>
      <c r="B243" s="422" t="s">
        <v>840</v>
      </c>
      <c r="C243" s="422"/>
      <c r="D243" s="422" t="s">
        <v>841</v>
      </c>
      <c r="E243" s="804">
        <f>SUM(E244:E246)</f>
        <v>7459622</v>
      </c>
      <c r="F243" s="804">
        <f t="shared" ref="F243:P243" si="254">SUM(F244:F246)</f>
        <v>7459622</v>
      </c>
      <c r="G243" s="804">
        <f t="shared" si="254"/>
        <v>5548415</v>
      </c>
      <c r="H243" s="804">
        <f t="shared" si="254"/>
        <v>135200</v>
      </c>
      <c r="I243" s="804">
        <f t="shared" si="254"/>
        <v>0</v>
      </c>
      <c r="J243" s="804">
        <f t="shared" si="254"/>
        <v>144000</v>
      </c>
      <c r="K243" s="804">
        <f t="shared" si="254"/>
        <v>144000</v>
      </c>
      <c r="L243" s="804">
        <f t="shared" si="254"/>
        <v>0</v>
      </c>
      <c r="M243" s="804">
        <f t="shared" si="254"/>
        <v>0</v>
      </c>
      <c r="N243" s="804">
        <f t="shared" si="254"/>
        <v>0</v>
      </c>
      <c r="O243" s="804">
        <f t="shared" si="254"/>
        <v>144000</v>
      </c>
      <c r="P243" s="804">
        <f t="shared" si="254"/>
        <v>7603622</v>
      </c>
      <c r="Q243" s="125"/>
      <c r="R243" s="125"/>
    </row>
    <row r="244" spans="1:18" s="155" customFormat="1" ht="230.25" thickTop="1" thickBot="1" x14ac:dyDescent="0.25">
      <c r="A244" s="808" t="s">
        <v>642</v>
      </c>
      <c r="B244" s="808" t="s">
        <v>254</v>
      </c>
      <c r="C244" s="808" t="s">
        <v>252</v>
      </c>
      <c r="D244" s="808" t="s">
        <v>253</v>
      </c>
      <c r="E244" s="313">
        <f>F244</f>
        <v>7354552</v>
      </c>
      <c r="F244" s="167">
        <f>-100000+(-800000-197000+42000+18815+((6393415+1406550+212730+120360+12160+22680+39015+5208+25686+4476-8000)+3600+6087+47020+36500+5000+41700+6400+10150))</f>
        <v>7354552</v>
      </c>
      <c r="G244" s="167">
        <f>-45000+((6393415)-800000)</f>
        <v>5548415</v>
      </c>
      <c r="H244" s="167">
        <f>42000+18815+(39015+5208+25686+4476)</f>
        <v>135200</v>
      </c>
      <c r="I244" s="167"/>
      <c r="J244" s="804">
        <f t="shared" si="252"/>
        <v>144000</v>
      </c>
      <c r="K244" s="167">
        <v>144000</v>
      </c>
      <c r="L244" s="761"/>
      <c r="M244" s="761"/>
      <c r="N244" s="761"/>
      <c r="O244" s="810">
        <f t="shared" ref="O244:O261" si="255">K244</f>
        <v>144000</v>
      </c>
      <c r="P244" s="804">
        <f t="shared" ref="P244:P250" si="256">+J244+E244</f>
        <v>7498552</v>
      </c>
      <c r="Q244" s="184"/>
      <c r="R244" s="125" t="b">
        <f>K244='d6'!J197</f>
        <v>1</v>
      </c>
    </row>
    <row r="245" spans="1:18" s="310" customFormat="1" ht="184.5" thickTop="1" thickBot="1" x14ac:dyDescent="0.25">
      <c r="A245" s="806" t="s">
        <v>784</v>
      </c>
      <c r="B245" s="806" t="s">
        <v>388</v>
      </c>
      <c r="C245" s="806" t="s">
        <v>775</v>
      </c>
      <c r="D245" s="806" t="s">
        <v>776</v>
      </c>
      <c r="E245" s="313">
        <f>F245</f>
        <v>5070</v>
      </c>
      <c r="F245" s="167">
        <f>(8000)-2930</f>
        <v>5070</v>
      </c>
      <c r="G245" s="167"/>
      <c r="H245" s="167"/>
      <c r="I245" s="167"/>
      <c r="J245" s="804">
        <f t="shared" ref="J245" si="257">L245+O245</f>
        <v>0</v>
      </c>
      <c r="K245" s="167"/>
      <c r="L245" s="761"/>
      <c r="M245" s="761"/>
      <c r="N245" s="761"/>
      <c r="O245" s="810">
        <f t="shared" ref="O245" si="258">K245</f>
        <v>0</v>
      </c>
      <c r="P245" s="804">
        <f t="shared" ref="P245" si="259">+J245+E245</f>
        <v>5070</v>
      </c>
      <c r="Q245" s="312"/>
      <c r="R245" s="125"/>
    </row>
    <row r="246" spans="1:18" s="155" customFormat="1" ht="93" thickTop="1" thickBot="1" x14ac:dyDescent="0.25">
      <c r="A246" s="808" t="s">
        <v>643</v>
      </c>
      <c r="B246" s="808" t="s">
        <v>45</v>
      </c>
      <c r="C246" s="808" t="s">
        <v>44</v>
      </c>
      <c r="D246" s="808" t="s">
        <v>266</v>
      </c>
      <c r="E246" s="313">
        <f>F246</f>
        <v>100000</v>
      </c>
      <c r="F246" s="167">
        <v>100000</v>
      </c>
      <c r="G246" s="167"/>
      <c r="H246" s="167"/>
      <c r="I246" s="167"/>
      <c r="J246" s="804">
        <f t="shared" si="252"/>
        <v>0</v>
      </c>
      <c r="K246" s="167"/>
      <c r="L246" s="761"/>
      <c r="M246" s="761"/>
      <c r="N246" s="761"/>
      <c r="O246" s="810">
        <f t="shared" si="255"/>
        <v>0</v>
      </c>
      <c r="P246" s="804">
        <f t="shared" si="256"/>
        <v>100000</v>
      </c>
      <c r="Q246" s="184"/>
      <c r="R246" s="195"/>
    </row>
    <row r="247" spans="1:18" s="367" customFormat="1" ht="91.5" thickTop="1" thickBot="1" x14ac:dyDescent="0.25">
      <c r="A247" s="422" t="s">
        <v>957</v>
      </c>
      <c r="B247" s="421" t="s">
        <v>899</v>
      </c>
      <c r="C247" s="421"/>
      <c r="D247" s="417" t="s">
        <v>900</v>
      </c>
      <c r="E247" s="313">
        <f>SUM(E248:E252)-E248</f>
        <v>218694702</v>
      </c>
      <c r="F247" s="313">
        <f t="shared" ref="F247:O247" si="260">SUM(F248:F252)-F248</f>
        <v>218694702</v>
      </c>
      <c r="G247" s="313">
        <f t="shared" si="260"/>
        <v>0</v>
      </c>
      <c r="H247" s="313">
        <f t="shared" si="260"/>
        <v>5000</v>
      </c>
      <c r="I247" s="313">
        <f t="shared" si="260"/>
        <v>0</v>
      </c>
      <c r="J247" s="313">
        <f t="shared" si="260"/>
        <v>16270200</v>
      </c>
      <c r="K247" s="313">
        <f t="shared" si="260"/>
        <v>16270200</v>
      </c>
      <c r="L247" s="313">
        <f t="shared" si="260"/>
        <v>0</v>
      </c>
      <c r="M247" s="313">
        <f t="shared" si="260"/>
        <v>0</v>
      </c>
      <c r="N247" s="313">
        <f t="shared" si="260"/>
        <v>0</v>
      </c>
      <c r="O247" s="313">
        <f t="shared" si="260"/>
        <v>16270200</v>
      </c>
      <c r="P247" s="313">
        <f t="shared" ref="P247" si="261">SUM(P248:P252)-P248</f>
        <v>234964902</v>
      </c>
      <c r="Q247" s="368"/>
      <c r="R247" s="195"/>
    </row>
    <row r="248" spans="1:18" s="367" customFormat="1" ht="184.5" thickTop="1" thickBot="1" x14ac:dyDescent="0.25">
      <c r="A248" s="345" t="s">
        <v>958</v>
      </c>
      <c r="B248" s="378" t="s">
        <v>949</v>
      </c>
      <c r="C248" s="378"/>
      <c r="D248" s="378" t="s">
        <v>950</v>
      </c>
      <c r="E248" s="430">
        <f>SUM(E249:E250)</f>
        <v>44511000</v>
      </c>
      <c r="F248" s="430">
        <f t="shared" ref="F248:P248" si="262">SUM(F249:F250)</f>
        <v>44511000</v>
      </c>
      <c r="G248" s="430">
        <f t="shared" si="262"/>
        <v>0</v>
      </c>
      <c r="H248" s="430">
        <f t="shared" si="262"/>
        <v>0</v>
      </c>
      <c r="I248" s="430">
        <f t="shared" si="262"/>
        <v>0</v>
      </c>
      <c r="J248" s="430">
        <f t="shared" si="262"/>
        <v>0</v>
      </c>
      <c r="K248" s="430">
        <f t="shared" si="262"/>
        <v>0</v>
      </c>
      <c r="L248" s="430">
        <f t="shared" si="262"/>
        <v>0</v>
      </c>
      <c r="M248" s="430">
        <f t="shared" si="262"/>
        <v>0</v>
      </c>
      <c r="N248" s="430">
        <f t="shared" si="262"/>
        <v>0</v>
      </c>
      <c r="O248" s="430">
        <f t="shared" si="262"/>
        <v>0</v>
      </c>
      <c r="P248" s="430">
        <f t="shared" si="262"/>
        <v>44511000</v>
      </c>
      <c r="Q248" s="368"/>
      <c r="R248" s="195"/>
    </row>
    <row r="249" spans="1:18" s="155" customFormat="1" ht="184.5" thickTop="1" thickBot="1" x14ac:dyDescent="0.25">
      <c r="A249" s="808" t="s">
        <v>644</v>
      </c>
      <c r="B249" s="808" t="s">
        <v>403</v>
      </c>
      <c r="C249" s="808" t="s">
        <v>301</v>
      </c>
      <c r="D249" s="808" t="s">
        <v>404</v>
      </c>
      <c r="E249" s="313">
        <f t="shared" ref="E249:E261" si="263">F249</f>
        <v>41000000</v>
      </c>
      <c r="F249" s="167">
        <f>10000000+((28000000)+3000000)</f>
        <v>41000000</v>
      </c>
      <c r="G249" s="167"/>
      <c r="H249" s="167"/>
      <c r="I249" s="167"/>
      <c r="J249" s="804">
        <f t="shared" si="252"/>
        <v>0</v>
      </c>
      <c r="K249" s="167"/>
      <c r="L249" s="761"/>
      <c r="M249" s="761"/>
      <c r="N249" s="761"/>
      <c r="O249" s="810">
        <f t="shared" si="255"/>
        <v>0</v>
      </c>
      <c r="P249" s="804">
        <f t="shared" si="256"/>
        <v>41000000</v>
      </c>
      <c r="Q249" s="184"/>
      <c r="R249" s="195"/>
    </row>
    <row r="250" spans="1:18" s="155" customFormat="1" ht="138.75" thickTop="1" thickBot="1" x14ac:dyDescent="0.25">
      <c r="A250" s="808" t="s">
        <v>645</v>
      </c>
      <c r="B250" s="808" t="s">
        <v>304</v>
      </c>
      <c r="C250" s="808" t="s">
        <v>301</v>
      </c>
      <c r="D250" s="808" t="s">
        <v>305</v>
      </c>
      <c r="E250" s="313">
        <f t="shared" si="263"/>
        <v>3511000</v>
      </c>
      <c r="F250" s="167">
        <f>-50000+((3751000)-190000)</f>
        <v>3511000</v>
      </c>
      <c r="G250" s="167"/>
      <c r="H250" s="167"/>
      <c r="I250" s="167"/>
      <c r="J250" s="804">
        <f t="shared" si="252"/>
        <v>0</v>
      </c>
      <c r="K250" s="167"/>
      <c r="L250" s="761"/>
      <c r="M250" s="761"/>
      <c r="N250" s="761"/>
      <c r="O250" s="810">
        <f t="shared" si="255"/>
        <v>0</v>
      </c>
      <c r="P250" s="804">
        <f t="shared" si="256"/>
        <v>3511000</v>
      </c>
      <c r="Q250" s="184"/>
      <c r="R250" s="195"/>
    </row>
    <row r="251" spans="1:18" s="155" customFormat="1" ht="230.25" thickTop="1" thickBot="1" x14ac:dyDescent="0.25">
      <c r="A251" s="808" t="s">
        <v>646</v>
      </c>
      <c r="B251" s="808" t="s">
        <v>316</v>
      </c>
      <c r="C251" s="808" t="s">
        <v>301</v>
      </c>
      <c r="D251" s="808" t="s">
        <v>317</v>
      </c>
      <c r="E251" s="313">
        <f t="shared" si="263"/>
        <v>3430000</v>
      </c>
      <c r="F251" s="167">
        <f>-500000+((700000+2730000)+500000)</f>
        <v>3430000</v>
      </c>
      <c r="G251" s="167"/>
      <c r="H251" s="167"/>
      <c r="I251" s="167"/>
      <c r="J251" s="804">
        <f t="shared" si="252"/>
        <v>0</v>
      </c>
      <c r="K251" s="305"/>
      <c r="L251" s="167"/>
      <c r="M251" s="167"/>
      <c r="N251" s="167"/>
      <c r="O251" s="810">
        <f t="shared" si="255"/>
        <v>0</v>
      </c>
      <c r="P251" s="804">
        <f t="shared" ref="P251:P255" si="264">E251+J251</f>
        <v>3430000</v>
      </c>
      <c r="Q251" s="184"/>
      <c r="R251" s="195"/>
    </row>
    <row r="252" spans="1:18" s="155" customFormat="1" ht="93" thickTop="1" thickBot="1" x14ac:dyDescent="0.25">
      <c r="A252" s="808" t="s">
        <v>647</v>
      </c>
      <c r="B252" s="808" t="s">
        <v>307</v>
      </c>
      <c r="C252" s="808" t="s">
        <v>301</v>
      </c>
      <c r="D252" s="808" t="s">
        <v>308</v>
      </c>
      <c r="E252" s="313">
        <f t="shared" si="263"/>
        <v>170753702</v>
      </c>
      <c r="F252" s="167">
        <f>3714797+(113957+(((149686023)+1365600)+15873325))</f>
        <v>170753702</v>
      </c>
      <c r="G252" s="167"/>
      <c r="H252" s="167">
        <f>(50000)-45000</f>
        <v>5000</v>
      </c>
      <c r="I252" s="167"/>
      <c r="J252" s="804">
        <f t="shared" si="252"/>
        <v>16270200</v>
      </c>
      <c r="K252" s="305">
        <f>201669+(-421908+(((15915164)-1205016)+1780291))</f>
        <v>16270200</v>
      </c>
      <c r="L252" s="167"/>
      <c r="M252" s="167"/>
      <c r="N252" s="167"/>
      <c r="O252" s="810">
        <f t="shared" si="255"/>
        <v>16270200</v>
      </c>
      <c r="P252" s="804">
        <f t="shared" si="264"/>
        <v>187023902</v>
      </c>
      <c r="Q252" s="184"/>
      <c r="R252" s="125" t="b">
        <f>K252='d6'!J199+'d6'!J200+'d6'!J201+'d6'!J202+'d6'!J203+'d6'!J204+'d6'!J205+'d6'!J206+'d6'!J207+'d6'!J208+'d6'!J210+'d6'!J211+'d6'!J212+'d6'!J213+'d6'!J214+'d6'!J215+'d6'!J216</f>
        <v>1</v>
      </c>
    </row>
    <row r="253" spans="1:18" s="367" customFormat="1" ht="47.25" thickTop="1" thickBot="1" x14ac:dyDescent="0.25">
      <c r="A253" s="422" t="s">
        <v>959</v>
      </c>
      <c r="B253" s="421" t="s">
        <v>905</v>
      </c>
      <c r="C253" s="421"/>
      <c r="D253" s="421" t="s">
        <v>906</v>
      </c>
      <c r="E253" s="313">
        <f>E254+E256+E259</f>
        <v>47076212</v>
      </c>
      <c r="F253" s="313">
        <f t="shared" ref="F253:P253" si="265">F254+F256+F259</f>
        <v>47076212</v>
      </c>
      <c r="G253" s="313">
        <f t="shared" si="265"/>
        <v>0</v>
      </c>
      <c r="H253" s="313">
        <f t="shared" si="265"/>
        <v>0</v>
      </c>
      <c r="I253" s="313">
        <f t="shared" si="265"/>
        <v>0</v>
      </c>
      <c r="J253" s="313">
        <f>J254+J256+J259</f>
        <v>130424876.61</v>
      </c>
      <c r="K253" s="313">
        <f t="shared" si="265"/>
        <v>128627339.58</v>
      </c>
      <c r="L253" s="313">
        <f t="shared" si="265"/>
        <v>140000</v>
      </c>
      <c r="M253" s="313">
        <f t="shared" si="265"/>
        <v>0</v>
      </c>
      <c r="N253" s="313">
        <f t="shared" si="265"/>
        <v>0</v>
      </c>
      <c r="O253" s="313">
        <f t="shared" si="265"/>
        <v>130284876.61</v>
      </c>
      <c r="P253" s="313">
        <f t="shared" si="265"/>
        <v>177501088.61000001</v>
      </c>
      <c r="Q253" s="368"/>
      <c r="R253" s="195"/>
    </row>
    <row r="254" spans="1:18" s="367" customFormat="1" ht="91.5" thickTop="1" thickBot="1" x14ac:dyDescent="0.25">
      <c r="A254" s="379" t="s">
        <v>960</v>
      </c>
      <c r="B254" s="379" t="s">
        <v>961</v>
      </c>
      <c r="C254" s="379"/>
      <c r="D254" s="379" t="s">
        <v>962</v>
      </c>
      <c r="E254" s="429">
        <f>E255</f>
        <v>0</v>
      </c>
      <c r="F254" s="429">
        <f t="shared" ref="F254:P254" si="266">F255</f>
        <v>0</v>
      </c>
      <c r="G254" s="429">
        <f t="shared" si="266"/>
        <v>0</v>
      </c>
      <c r="H254" s="429">
        <f t="shared" si="266"/>
        <v>0</v>
      </c>
      <c r="I254" s="429">
        <f t="shared" si="266"/>
        <v>0</v>
      </c>
      <c r="J254" s="429">
        <f t="shared" si="266"/>
        <v>5950000</v>
      </c>
      <c r="K254" s="429">
        <f t="shared" si="266"/>
        <v>5950000</v>
      </c>
      <c r="L254" s="429">
        <f t="shared" si="266"/>
        <v>0</v>
      </c>
      <c r="M254" s="429">
        <f t="shared" si="266"/>
        <v>0</v>
      </c>
      <c r="N254" s="429">
        <f t="shared" si="266"/>
        <v>0</v>
      </c>
      <c r="O254" s="429">
        <f t="shared" si="266"/>
        <v>5950000</v>
      </c>
      <c r="P254" s="429">
        <f t="shared" si="266"/>
        <v>5950000</v>
      </c>
      <c r="Q254" s="368"/>
      <c r="R254" s="195"/>
    </row>
    <row r="255" spans="1:18" s="155" customFormat="1" ht="99.75" thickTop="1" thickBot="1" x14ac:dyDescent="0.25">
      <c r="A255" s="808" t="s">
        <v>648</v>
      </c>
      <c r="B255" s="808" t="s">
        <v>324</v>
      </c>
      <c r="C255" s="808" t="s">
        <v>323</v>
      </c>
      <c r="D255" s="808" t="s">
        <v>777</v>
      </c>
      <c r="E255" s="313">
        <f t="shared" si="263"/>
        <v>0</v>
      </c>
      <c r="F255" s="167"/>
      <c r="G255" s="167"/>
      <c r="H255" s="167"/>
      <c r="I255" s="167"/>
      <c r="J255" s="804">
        <f>L255+O255</f>
        <v>5950000</v>
      </c>
      <c r="K255" s="305">
        <f>650000+(((5200000)+1080522)-980522)</f>
        <v>5950000</v>
      </c>
      <c r="L255" s="167"/>
      <c r="M255" s="167"/>
      <c r="N255" s="167"/>
      <c r="O255" s="810">
        <f>K255</f>
        <v>5950000</v>
      </c>
      <c r="P255" s="804">
        <f t="shared" si="264"/>
        <v>5950000</v>
      </c>
      <c r="Q255" s="184"/>
      <c r="R255" s="125" t="b">
        <f>K255='d6'!J218+'d6'!J219+'d6'!J221+'d6'!J225+'d6'!J226</f>
        <v>1</v>
      </c>
    </row>
    <row r="256" spans="1:18" s="367" customFormat="1" ht="136.5" thickTop="1" thickBot="1" x14ac:dyDescent="0.25">
      <c r="A256" s="379" t="s">
        <v>963</v>
      </c>
      <c r="B256" s="379" t="s">
        <v>964</v>
      </c>
      <c r="C256" s="379"/>
      <c r="D256" s="379" t="s">
        <v>965</v>
      </c>
      <c r="E256" s="429">
        <f t="shared" ref="E256:P257" si="267">E257</f>
        <v>47076212</v>
      </c>
      <c r="F256" s="429">
        <f t="shared" si="267"/>
        <v>47076212</v>
      </c>
      <c r="G256" s="429">
        <f t="shared" si="267"/>
        <v>0</v>
      </c>
      <c r="H256" s="429">
        <f t="shared" si="267"/>
        <v>0</v>
      </c>
      <c r="I256" s="429">
        <f t="shared" si="267"/>
        <v>0</v>
      </c>
      <c r="J256" s="429">
        <f t="shared" si="267"/>
        <v>63368228.030000001</v>
      </c>
      <c r="K256" s="429">
        <f t="shared" si="267"/>
        <v>63241213</v>
      </c>
      <c r="L256" s="429">
        <f t="shared" si="267"/>
        <v>0</v>
      </c>
      <c r="M256" s="429">
        <f t="shared" si="267"/>
        <v>0</v>
      </c>
      <c r="N256" s="429">
        <f t="shared" si="267"/>
        <v>0</v>
      </c>
      <c r="O256" s="429">
        <f t="shared" si="267"/>
        <v>63368228.030000001</v>
      </c>
      <c r="P256" s="429">
        <f t="shared" si="267"/>
        <v>110444440.03</v>
      </c>
      <c r="Q256" s="368"/>
      <c r="R256" s="195"/>
    </row>
    <row r="257" spans="1:18" s="593" customFormat="1" ht="138.75" thickTop="1" thickBot="1" x14ac:dyDescent="0.25">
      <c r="A257" s="808" t="s">
        <v>1224</v>
      </c>
      <c r="B257" s="345" t="s">
        <v>1225</v>
      </c>
      <c r="C257" s="379"/>
      <c r="D257" s="345" t="s">
        <v>1226</v>
      </c>
      <c r="E257" s="430">
        <f t="shared" si="267"/>
        <v>47076212</v>
      </c>
      <c r="F257" s="430">
        <f t="shared" si="267"/>
        <v>47076212</v>
      </c>
      <c r="G257" s="430">
        <f t="shared" si="267"/>
        <v>0</v>
      </c>
      <c r="H257" s="430">
        <f t="shared" si="267"/>
        <v>0</v>
      </c>
      <c r="I257" s="430">
        <f t="shared" si="267"/>
        <v>0</v>
      </c>
      <c r="J257" s="430">
        <f t="shared" si="267"/>
        <v>63368228.030000001</v>
      </c>
      <c r="K257" s="430">
        <f t="shared" si="267"/>
        <v>63241213</v>
      </c>
      <c r="L257" s="430">
        <f t="shared" si="267"/>
        <v>0</v>
      </c>
      <c r="M257" s="430">
        <f t="shared" si="267"/>
        <v>0</v>
      </c>
      <c r="N257" s="430">
        <f t="shared" si="267"/>
        <v>0</v>
      </c>
      <c r="O257" s="430">
        <f t="shared" si="267"/>
        <v>63368228.030000001</v>
      </c>
      <c r="P257" s="430">
        <f t="shared" si="267"/>
        <v>110444440.03</v>
      </c>
      <c r="Q257" s="594"/>
      <c r="R257" s="195"/>
    </row>
    <row r="258" spans="1:18" s="155" customFormat="1" ht="230.25" thickTop="1" thickBot="1" x14ac:dyDescent="0.25">
      <c r="A258" s="808" t="s">
        <v>649</v>
      </c>
      <c r="B258" s="808" t="s">
        <v>312</v>
      </c>
      <c r="C258" s="808" t="s">
        <v>314</v>
      </c>
      <c r="D258" s="808" t="s">
        <v>313</v>
      </c>
      <c r="E258" s="313">
        <f t="shared" si="263"/>
        <v>47076212</v>
      </c>
      <c r="F258" s="167">
        <f>-3003154+(((48273558)+4594808)-2789000)</f>
        <v>47076212</v>
      </c>
      <c r="G258" s="167"/>
      <c r="H258" s="167"/>
      <c r="I258" s="167"/>
      <c r="J258" s="804">
        <f t="shared" si="252"/>
        <v>63368228.030000001</v>
      </c>
      <c r="K258" s="167">
        <f>-1296000+((16932021+60000000)-5594808-6800000)</f>
        <v>63241213</v>
      </c>
      <c r="L258" s="761"/>
      <c r="M258" s="761"/>
      <c r="N258" s="761"/>
      <c r="O258" s="810">
        <f>K258+127015.03</f>
        <v>63368228.030000001</v>
      </c>
      <c r="P258" s="804">
        <f>+J258+E258</f>
        <v>110444440.03</v>
      </c>
      <c r="Q258" s="184"/>
      <c r="R258" s="125" t="b">
        <f>K258='d6'!J227</f>
        <v>1</v>
      </c>
    </row>
    <row r="259" spans="1:18" s="367" customFormat="1" ht="136.5" thickTop="1" thickBot="1" x14ac:dyDescent="0.25">
      <c r="A259" s="379" t="s">
        <v>966</v>
      </c>
      <c r="B259" s="379" t="s">
        <v>847</v>
      </c>
      <c r="C259" s="379"/>
      <c r="D259" s="379" t="s">
        <v>845</v>
      </c>
      <c r="E259" s="429">
        <f>SUM(E260:E264)-E262</f>
        <v>0</v>
      </c>
      <c r="F259" s="429">
        <f t="shared" ref="F259:I259" si="268">SUM(F260:F264)-F262</f>
        <v>0</v>
      </c>
      <c r="G259" s="429">
        <f t="shared" si="268"/>
        <v>0</v>
      </c>
      <c r="H259" s="429">
        <f t="shared" si="268"/>
        <v>0</v>
      </c>
      <c r="I259" s="429">
        <f t="shared" si="268"/>
        <v>0</v>
      </c>
      <c r="J259" s="429">
        <f>SUM(J260:J264)-J262</f>
        <v>61106648.579999998</v>
      </c>
      <c r="K259" s="429">
        <f t="shared" ref="K259:P259" si="269">SUM(K260:K264)-K262</f>
        <v>59436126.579999998</v>
      </c>
      <c r="L259" s="429">
        <f t="shared" si="269"/>
        <v>140000</v>
      </c>
      <c r="M259" s="429">
        <f t="shared" si="269"/>
        <v>0</v>
      </c>
      <c r="N259" s="429">
        <f t="shared" si="269"/>
        <v>0</v>
      </c>
      <c r="O259" s="429">
        <f t="shared" si="269"/>
        <v>60966648.579999998</v>
      </c>
      <c r="P259" s="429">
        <f t="shared" si="269"/>
        <v>61106648.579999998</v>
      </c>
      <c r="Q259" s="368"/>
      <c r="R259" s="125"/>
    </row>
    <row r="260" spans="1:18" s="155" customFormat="1" ht="48" thickTop="1" thickBot="1" x14ac:dyDescent="0.25">
      <c r="A260" s="808" t="s">
        <v>650</v>
      </c>
      <c r="B260" s="808" t="s">
        <v>230</v>
      </c>
      <c r="C260" s="808" t="s">
        <v>231</v>
      </c>
      <c r="D260" s="808" t="s">
        <v>43</v>
      </c>
      <c r="E260" s="313">
        <f t="shared" si="263"/>
        <v>0</v>
      </c>
      <c r="F260" s="167"/>
      <c r="G260" s="167"/>
      <c r="H260" s="167"/>
      <c r="I260" s="167"/>
      <c r="J260" s="804">
        <f t="shared" si="252"/>
        <v>18676588.579999998</v>
      </c>
      <c r="K260" s="305">
        <f>-1872934+((18508795.58)+2040727)</f>
        <v>18676588.579999998</v>
      </c>
      <c r="L260" s="167"/>
      <c r="M260" s="167"/>
      <c r="N260" s="167"/>
      <c r="O260" s="810">
        <f t="shared" si="255"/>
        <v>18676588.579999998</v>
      </c>
      <c r="P260" s="804">
        <f>E260+J260</f>
        <v>18676588.579999998</v>
      </c>
      <c r="Q260" s="184"/>
      <c r="R260" s="125" t="b">
        <f>K260='d6'!J228</f>
        <v>1</v>
      </c>
    </row>
    <row r="261" spans="1:18" s="155" customFormat="1" ht="93" thickTop="1" thickBot="1" x14ac:dyDescent="0.25">
      <c r="A261" s="808" t="s">
        <v>651</v>
      </c>
      <c r="B261" s="808" t="s">
        <v>215</v>
      </c>
      <c r="C261" s="808" t="s">
        <v>184</v>
      </c>
      <c r="D261" s="808" t="s">
        <v>36</v>
      </c>
      <c r="E261" s="313">
        <f t="shared" si="263"/>
        <v>0</v>
      </c>
      <c r="F261" s="167"/>
      <c r="G261" s="167"/>
      <c r="H261" s="167"/>
      <c r="I261" s="167"/>
      <c r="J261" s="804">
        <f t="shared" si="252"/>
        <v>40759538</v>
      </c>
      <c r="K261" s="305">
        <f>-2780366+(-28935+(((14547011+1000000)+25241713)+2780115))</f>
        <v>40759538</v>
      </c>
      <c r="L261" s="167"/>
      <c r="M261" s="167"/>
      <c r="N261" s="167"/>
      <c r="O261" s="810">
        <f t="shared" si="255"/>
        <v>40759538</v>
      </c>
      <c r="P261" s="804">
        <f>E261+J261</f>
        <v>40759538</v>
      </c>
      <c r="Q261" s="184"/>
      <c r="R261" s="125" t="b">
        <f>K261='d6'!J230+'d6'!J231+'d6'!J232+'d6'!J233+'d6'!J234+'d6'!J235+'d6'!J236+'d6'!J238+'d6'!J240+'d6'!J242+'d6'!J243+'d6'!J244+'d6'!J245+'d6'!J246+'d6'!J247+'d6'!J248+'d6'!J249+'d6'!J250+'d6'!J251+'d6'!J252+'d6'!J253+'d6'!J254+'d6'!J255+'d6'!J256+'d6'!J257+'d6'!J258+'d6'!J261+'d6'!J262+'d6'!J263+'d6'!J264+'d6'!J265+'d6'!J266+'d6'!J267+'d6'!J268+'d6'!J269+'d6'!J270+'d6'!J271+'d6'!J272+'d6'!J273+'d6'!J274+'d6'!J275+'d6'!J276</f>
        <v>1</v>
      </c>
    </row>
    <row r="262" spans="1:18" s="367" customFormat="1" ht="48" thickTop="1" thickBot="1" x14ac:dyDescent="0.25">
      <c r="A262" s="345" t="s">
        <v>967</v>
      </c>
      <c r="B262" s="345" t="s">
        <v>850</v>
      </c>
      <c r="C262" s="345"/>
      <c r="D262" s="345" t="s">
        <v>955</v>
      </c>
      <c r="E262" s="430">
        <f>E263</f>
        <v>0</v>
      </c>
      <c r="F262" s="430">
        <f t="shared" ref="F262:P262" si="270">F263</f>
        <v>0</v>
      </c>
      <c r="G262" s="430">
        <f t="shared" si="270"/>
        <v>0</v>
      </c>
      <c r="H262" s="430">
        <f t="shared" si="270"/>
        <v>0</v>
      </c>
      <c r="I262" s="430">
        <f t="shared" si="270"/>
        <v>0</v>
      </c>
      <c r="J262" s="430">
        <f t="shared" si="270"/>
        <v>1670522</v>
      </c>
      <c r="K262" s="430">
        <f t="shared" si="270"/>
        <v>0</v>
      </c>
      <c r="L262" s="430">
        <f t="shared" si="270"/>
        <v>140000</v>
      </c>
      <c r="M262" s="430">
        <f t="shared" si="270"/>
        <v>0</v>
      </c>
      <c r="N262" s="430">
        <f t="shared" si="270"/>
        <v>0</v>
      </c>
      <c r="O262" s="430">
        <f t="shared" si="270"/>
        <v>1530522</v>
      </c>
      <c r="P262" s="430">
        <f t="shared" si="270"/>
        <v>1670522</v>
      </c>
      <c r="Q262" s="368"/>
      <c r="R262" s="195"/>
    </row>
    <row r="263" spans="1:18" s="155" customFormat="1" ht="409.6" thickTop="1" thickBot="1" x14ac:dyDescent="0.7">
      <c r="A263" s="983" t="s">
        <v>652</v>
      </c>
      <c r="B263" s="983" t="s">
        <v>363</v>
      </c>
      <c r="C263" s="983" t="s">
        <v>184</v>
      </c>
      <c r="D263" s="315" t="s">
        <v>473</v>
      </c>
      <c r="E263" s="984"/>
      <c r="F263" s="985"/>
      <c r="G263" s="985"/>
      <c r="H263" s="985"/>
      <c r="I263" s="985"/>
      <c r="J263" s="984">
        <f t="shared" si="252"/>
        <v>1670522</v>
      </c>
      <c r="K263" s="985"/>
      <c r="L263" s="985">
        <f>((190000)-50000)</f>
        <v>140000</v>
      </c>
      <c r="M263" s="985"/>
      <c r="N263" s="985"/>
      <c r="O263" s="987">
        <f>500000+((K263+50000)+980522)</f>
        <v>1530522</v>
      </c>
      <c r="P263" s="978">
        <f>E263+J263</f>
        <v>1670522</v>
      </c>
      <c r="Q263" s="184"/>
      <c r="R263" s="195"/>
    </row>
    <row r="264" spans="1:18" s="155" customFormat="1" ht="184.5" thickTop="1" thickBot="1" x14ac:dyDescent="0.25">
      <c r="A264" s="983"/>
      <c r="B264" s="983"/>
      <c r="C264" s="983"/>
      <c r="D264" s="317" t="s">
        <v>474</v>
      </c>
      <c r="E264" s="984"/>
      <c r="F264" s="985"/>
      <c r="G264" s="985"/>
      <c r="H264" s="985"/>
      <c r="I264" s="985"/>
      <c r="J264" s="984"/>
      <c r="K264" s="985"/>
      <c r="L264" s="985"/>
      <c r="M264" s="985"/>
      <c r="N264" s="985"/>
      <c r="O264" s="987"/>
      <c r="P264" s="978"/>
      <c r="Q264" s="184"/>
      <c r="R264" s="195"/>
    </row>
    <row r="265" spans="1:18" s="367" customFormat="1" ht="47.25" thickTop="1" thickBot="1" x14ac:dyDescent="0.25">
      <c r="A265" s="422" t="s">
        <v>968</v>
      </c>
      <c r="B265" s="422" t="s">
        <v>852</v>
      </c>
      <c r="C265" s="422"/>
      <c r="D265" s="433" t="s">
        <v>853</v>
      </c>
      <c r="E265" s="804">
        <f>E266</f>
        <v>2021271</v>
      </c>
      <c r="F265" s="804">
        <f t="shared" ref="F265:P265" si="271">F266</f>
        <v>2021271</v>
      </c>
      <c r="G265" s="804">
        <f t="shared" si="271"/>
        <v>1553433</v>
      </c>
      <c r="H265" s="804">
        <f t="shared" si="271"/>
        <v>19785</v>
      </c>
      <c r="I265" s="804">
        <f t="shared" si="271"/>
        <v>0</v>
      </c>
      <c r="J265" s="804">
        <f t="shared" si="271"/>
        <v>68000</v>
      </c>
      <c r="K265" s="804">
        <f t="shared" si="271"/>
        <v>68000</v>
      </c>
      <c r="L265" s="804">
        <f t="shared" si="271"/>
        <v>0</v>
      </c>
      <c r="M265" s="804">
        <f t="shared" si="271"/>
        <v>0</v>
      </c>
      <c r="N265" s="804">
        <f t="shared" si="271"/>
        <v>0</v>
      </c>
      <c r="O265" s="804">
        <f t="shared" si="271"/>
        <v>68000</v>
      </c>
      <c r="P265" s="804">
        <f t="shared" si="271"/>
        <v>2089271</v>
      </c>
      <c r="Q265" s="368"/>
      <c r="R265" s="195"/>
    </row>
    <row r="266" spans="1:18" s="367" customFormat="1" ht="181.5" thickTop="1" thickBot="1" x14ac:dyDescent="0.25">
      <c r="A266" s="379" t="s">
        <v>970</v>
      </c>
      <c r="B266" s="379" t="s">
        <v>971</v>
      </c>
      <c r="C266" s="379"/>
      <c r="D266" s="434" t="s">
        <v>969</v>
      </c>
      <c r="E266" s="346">
        <f>SUM(E267:E269)</f>
        <v>2021271</v>
      </c>
      <c r="F266" s="346">
        <f t="shared" ref="F266:P266" si="272">SUM(F267:F269)</f>
        <v>2021271</v>
      </c>
      <c r="G266" s="346">
        <f t="shared" si="272"/>
        <v>1553433</v>
      </c>
      <c r="H266" s="346">
        <f t="shared" si="272"/>
        <v>19785</v>
      </c>
      <c r="I266" s="346">
        <f t="shared" si="272"/>
        <v>0</v>
      </c>
      <c r="J266" s="346">
        <f t="shared" si="272"/>
        <v>68000</v>
      </c>
      <c r="K266" s="346">
        <f t="shared" si="272"/>
        <v>68000</v>
      </c>
      <c r="L266" s="346">
        <f t="shared" si="272"/>
        <v>0</v>
      </c>
      <c r="M266" s="346">
        <f t="shared" si="272"/>
        <v>0</v>
      </c>
      <c r="N266" s="346">
        <f t="shared" si="272"/>
        <v>0</v>
      </c>
      <c r="O266" s="346">
        <f t="shared" si="272"/>
        <v>68000</v>
      </c>
      <c r="P266" s="346">
        <f t="shared" si="272"/>
        <v>2089271</v>
      </c>
      <c r="Q266" s="368"/>
      <c r="R266" s="195"/>
    </row>
    <row r="267" spans="1:18" s="155" customFormat="1" ht="184.5" thickTop="1" thickBot="1" x14ac:dyDescent="0.25">
      <c r="A267" s="808" t="s">
        <v>653</v>
      </c>
      <c r="B267" s="808" t="s">
        <v>565</v>
      </c>
      <c r="C267" s="808" t="s">
        <v>269</v>
      </c>
      <c r="D267" s="808" t="s">
        <v>566</v>
      </c>
      <c r="E267" s="313">
        <f>F267</f>
        <v>108400</v>
      </c>
      <c r="F267" s="167">
        <v>108400</v>
      </c>
      <c r="G267" s="167"/>
      <c r="H267" s="167"/>
      <c r="I267" s="167"/>
      <c r="J267" s="804">
        <f>L267+O267</f>
        <v>0</v>
      </c>
      <c r="K267" s="305"/>
      <c r="L267" s="167"/>
      <c r="M267" s="167"/>
      <c r="N267" s="167"/>
      <c r="O267" s="810">
        <f>K267</f>
        <v>0</v>
      </c>
      <c r="P267" s="804">
        <f>E267+J267</f>
        <v>108400</v>
      </c>
      <c r="Q267" s="184"/>
      <c r="R267" s="195"/>
    </row>
    <row r="268" spans="1:18" s="155" customFormat="1" ht="93" thickTop="1" thickBot="1" x14ac:dyDescent="0.25">
      <c r="A268" s="808" t="s">
        <v>654</v>
      </c>
      <c r="B268" s="808" t="s">
        <v>268</v>
      </c>
      <c r="C268" s="808" t="s">
        <v>269</v>
      </c>
      <c r="D268" s="808" t="s">
        <v>267</v>
      </c>
      <c r="E268" s="313">
        <f t="shared" ref="E268:E269" si="273">F268</f>
        <v>1912871</v>
      </c>
      <c r="F268" s="167">
        <f>-434907+(-69200-15200-10000-10000+((1833178+1219000)-600000))</f>
        <v>1912871</v>
      </c>
      <c r="G268" s="167">
        <f>-166226+(-69200+(((1494859)+894000)-600000))</f>
        <v>1553433</v>
      </c>
      <c r="H268" s="167">
        <f>-10000+((20785)+9000)</f>
        <v>19785</v>
      </c>
      <c r="I268" s="167"/>
      <c r="J268" s="804">
        <f>L268+O268</f>
        <v>68000</v>
      </c>
      <c r="K268" s="305">
        <f>36000+(32000)</f>
        <v>68000</v>
      </c>
      <c r="L268" s="167"/>
      <c r="M268" s="167"/>
      <c r="N268" s="167"/>
      <c r="O268" s="810">
        <f>K268</f>
        <v>68000</v>
      </c>
      <c r="P268" s="804">
        <f>E268+J268</f>
        <v>1980871</v>
      </c>
      <c r="Q268" s="184"/>
      <c r="R268" s="234" t="b">
        <f>K268='d6'!J277</f>
        <v>1</v>
      </c>
    </row>
    <row r="269" spans="1:18" s="155" customFormat="1" ht="93" hidden="1" thickTop="1" thickBot="1" x14ac:dyDescent="0.25">
      <c r="A269" s="814" t="s">
        <v>655</v>
      </c>
      <c r="B269" s="814" t="s">
        <v>656</v>
      </c>
      <c r="C269" s="814" t="s">
        <v>269</v>
      </c>
      <c r="D269" s="814" t="s">
        <v>657</v>
      </c>
      <c r="E269" s="824">
        <f t="shared" si="273"/>
        <v>0</v>
      </c>
      <c r="F269" s="815">
        <f>(1219000)-1219000</f>
        <v>0</v>
      </c>
      <c r="G269" s="815">
        <f>(354000+540000)-894000</f>
        <v>0</v>
      </c>
      <c r="H269" s="815">
        <f>(6000+3000)-9000</f>
        <v>0</v>
      </c>
      <c r="I269" s="815"/>
      <c r="J269" s="813">
        <f>L269+O269</f>
        <v>0</v>
      </c>
      <c r="K269" s="818"/>
      <c r="L269" s="815"/>
      <c r="M269" s="815"/>
      <c r="N269" s="815"/>
      <c r="O269" s="816">
        <f>K269</f>
        <v>0</v>
      </c>
      <c r="P269" s="813">
        <f>E269+J269</f>
        <v>0</v>
      </c>
      <c r="Q269" s="184"/>
      <c r="R269" s="195"/>
    </row>
    <row r="270" spans="1:18" ht="316.5" thickTop="1" thickBot="1" x14ac:dyDescent="0.25">
      <c r="A270" s="825" t="s">
        <v>25</v>
      </c>
      <c r="B270" s="825"/>
      <c r="C270" s="825"/>
      <c r="D270" s="826" t="s">
        <v>400</v>
      </c>
      <c r="E270" s="827">
        <f>E271</f>
        <v>3092717</v>
      </c>
      <c r="F270" s="828">
        <f t="shared" ref="F270:G270" si="274">F271</f>
        <v>3092717</v>
      </c>
      <c r="G270" s="828">
        <f t="shared" si="274"/>
        <v>2140850</v>
      </c>
      <c r="H270" s="828">
        <f>H271</f>
        <v>84970</v>
      </c>
      <c r="I270" s="828">
        <f t="shared" ref="I270" si="275">I271</f>
        <v>0</v>
      </c>
      <c r="J270" s="827">
        <f>J271</f>
        <v>323670245.50999999</v>
      </c>
      <c r="K270" s="828">
        <f>K271</f>
        <v>322170245.50999999</v>
      </c>
      <c r="L270" s="828">
        <f>L271</f>
        <v>0</v>
      </c>
      <c r="M270" s="828">
        <f t="shared" ref="M270" si="276">M271</f>
        <v>0</v>
      </c>
      <c r="N270" s="828">
        <f>N271</f>
        <v>0</v>
      </c>
      <c r="O270" s="827">
        <f>O271</f>
        <v>323670245.50999999</v>
      </c>
      <c r="P270" s="828">
        <f t="shared" ref="P270" si="277">P271</f>
        <v>326762962.50999999</v>
      </c>
    </row>
    <row r="271" spans="1:18" ht="181.5" thickTop="1" thickBot="1" x14ac:dyDescent="0.25">
      <c r="A271" s="829" t="s">
        <v>26</v>
      </c>
      <c r="B271" s="829"/>
      <c r="C271" s="829"/>
      <c r="D271" s="830" t="s">
        <v>1065</v>
      </c>
      <c r="E271" s="831">
        <f>E272+E276+E279</f>
        <v>3092717</v>
      </c>
      <c r="F271" s="831">
        <f t="shared" ref="F271:I271" si="278">F272+F276+F279</f>
        <v>3092717</v>
      </c>
      <c r="G271" s="831">
        <f t="shared" si="278"/>
        <v>2140850</v>
      </c>
      <c r="H271" s="831">
        <f t="shared" si="278"/>
        <v>84970</v>
      </c>
      <c r="I271" s="831">
        <f t="shared" si="278"/>
        <v>0</v>
      </c>
      <c r="J271" s="831">
        <f>L271+O271</f>
        <v>323670245.50999999</v>
      </c>
      <c r="K271" s="831">
        <f t="shared" ref="K271:O271" si="279">K272+K276+K279</f>
        <v>322170245.50999999</v>
      </c>
      <c r="L271" s="831">
        <f t="shared" si="279"/>
        <v>0</v>
      </c>
      <c r="M271" s="831">
        <f t="shared" si="279"/>
        <v>0</v>
      </c>
      <c r="N271" s="831">
        <f t="shared" si="279"/>
        <v>0</v>
      </c>
      <c r="O271" s="831">
        <f t="shared" si="279"/>
        <v>323670245.50999999</v>
      </c>
      <c r="P271" s="831">
        <f t="shared" ref="P271:P287" si="280">E271+J271</f>
        <v>326762962.50999999</v>
      </c>
      <c r="Q271" s="125" t="b">
        <f>P271=P283+P285+P286+P273+P287+P278+P284+P274+P281+P275+P290</f>
        <v>1</v>
      </c>
      <c r="R271" s="234" t="b">
        <f>K271='d6'!J279</f>
        <v>1</v>
      </c>
    </row>
    <row r="272" spans="1:18" s="411" customFormat="1" ht="47.25" thickTop="1" thickBot="1" x14ac:dyDescent="0.25">
      <c r="A272" s="422" t="s">
        <v>972</v>
      </c>
      <c r="B272" s="422" t="s">
        <v>840</v>
      </c>
      <c r="C272" s="422"/>
      <c r="D272" s="422" t="s">
        <v>841</v>
      </c>
      <c r="E272" s="804">
        <f t="shared" ref="E272:P272" si="281">SUM(E273:E275)</f>
        <v>3092717</v>
      </c>
      <c r="F272" s="804">
        <f t="shared" si="281"/>
        <v>3092717</v>
      </c>
      <c r="G272" s="804">
        <f t="shared" si="281"/>
        <v>2140850</v>
      </c>
      <c r="H272" s="804">
        <f t="shared" si="281"/>
        <v>84970</v>
      </c>
      <c r="I272" s="804">
        <f t="shared" si="281"/>
        <v>0</v>
      </c>
      <c r="J272" s="804">
        <f t="shared" si="281"/>
        <v>0</v>
      </c>
      <c r="K272" s="804">
        <f t="shared" si="281"/>
        <v>0</v>
      </c>
      <c r="L272" s="804">
        <f t="shared" si="281"/>
        <v>0</v>
      </c>
      <c r="M272" s="804">
        <f t="shared" si="281"/>
        <v>0</v>
      </c>
      <c r="N272" s="804">
        <f t="shared" si="281"/>
        <v>0</v>
      </c>
      <c r="O272" s="804">
        <f t="shared" si="281"/>
        <v>0</v>
      </c>
      <c r="P272" s="804">
        <f t="shared" si="281"/>
        <v>3092717</v>
      </c>
      <c r="Q272" s="125"/>
      <c r="R272" s="234"/>
    </row>
    <row r="273" spans="1:18" ht="230.25" thickTop="1" thickBot="1" x14ac:dyDescent="0.25">
      <c r="A273" s="808" t="s">
        <v>445</v>
      </c>
      <c r="B273" s="808" t="s">
        <v>254</v>
      </c>
      <c r="C273" s="808" t="s">
        <v>252</v>
      </c>
      <c r="D273" s="808" t="s">
        <v>253</v>
      </c>
      <c r="E273" s="804">
        <f>F273</f>
        <v>2942717</v>
      </c>
      <c r="F273" s="305">
        <f>-73890+(-180000-70000+7000-50000+((2367850+520950+61660+322000+2000+1570+24500+53300+1610+1075-5000)-145008-1000+1000+49750+17000+10000+20835+3015+1000+1500))</f>
        <v>2942717</v>
      </c>
      <c r="G273" s="305">
        <f>-47000+(-180000+(2367850))</f>
        <v>2140850</v>
      </c>
      <c r="H273" s="305">
        <f>-100-1300+(7000+(1570+24500+53300))</f>
        <v>84970</v>
      </c>
      <c r="I273" s="305"/>
      <c r="J273" s="804">
        <f t="shared" ref="J273:J287" si="282">L273+O273</f>
        <v>0</v>
      </c>
      <c r="K273" s="305"/>
      <c r="L273" s="305"/>
      <c r="M273" s="305"/>
      <c r="N273" s="305"/>
      <c r="O273" s="810">
        <f>K273</f>
        <v>0</v>
      </c>
      <c r="P273" s="804">
        <f t="shared" si="280"/>
        <v>2942717</v>
      </c>
      <c r="Q273" s="194"/>
      <c r="R273" s="195"/>
    </row>
    <row r="274" spans="1:18" s="310" customFormat="1" ht="184.5" hidden="1" thickTop="1" thickBot="1" x14ac:dyDescent="0.25">
      <c r="A274" s="806" t="s">
        <v>785</v>
      </c>
      <c r="B274" s="806" t="s">
        <v>388</v>
      </c>
      <c r="C274" s="806" t="s">
        <v>775</v>
      </c>
      <c r="D274" s="806" t="s">
        <v>776</v>
      </c>
      <c r="E274" s="313">
        <f>F274</f>
        <v>0</v>
      </c>
      <c r="F274" s="167">
        <f>-5000+(5000)</f>
        <v>0</v>
      </c>
      <c r="G274" s="167"/>
      <c r="H274" s="167"/>
      <c r="I274" s="167"/>
      <c r="J274" s="804">
        <f t="shared" si="282"/>
        <v>0</v>
      </c>
      <c r="K274" s="167"/>
      <c r="L274" s="761"/>
      <c r="M274" s="761"/>
      <c r="N274" s="761"/>
      <c r="O274" s="810">
        <f t="shared" ref="O274" si="283">K274</f>
        <v>0</v>
      </c>
      <c r="P274" s="804">
        <f t="shared" ref="P274" si="284">+J274+E274</f>
        <v>0</v>
      </c>
      <c r="Q274" s="194"/>
      <c r="R274" s="195"/>
    </row>
    <row r="275" spans="1:18" s="533" customFormat="1" ht="93" thickTop="1" thickBot="1" x14ac:dyDescent="0.25">
      <c r="A275" s="806" t="s">
        <v>1151</v>
      </c>
      <c r="B275" s="806" t="s">
        <v>45</v>
      </c>
      <c r="C275" s="806" t="s">
        <v>44</v>
      </c>
      <c r="D275" s="806" t="s">
        <v>266</v>
      </c>
      <c r="E275" s="313">
        <f>F275</f>
        <v>150000</v>
      </c>
      <c r="F275" s="167">
        <v>150000</v>
      </c>
      <c r="G275" s="167"/>
      <c r="H275" s="167"/>
      <c r="I275" s="167"/>
      <c r="J275" s="804">
        <f t="shared" ref="J275" si="285">L275+O275</f>
        <v>0</v>
      </c>
      <c r="K275" s="167"/>
      <c r="L275" s="761"/>
      <c r="M275" s="761"/>
      <c r="N275" s="761"/>
      <c r="O275" s="810">
        <f t="shared" ref="O275" si="286">K275</f>
        <v>0</v>
      </c>
      <c r="P275" s="804">
        <f t="shared" ref="P275" si="287">+J275+E275</f>
        <v>150000</v>
      </c>
      <c r="Q275" s="194"/>
      <c r="R275" s="195"/>
    </row>
    <row r="276" spans="1:18" s="411" customFormat="1" ht="47.25" thickTop="1" thickBot="1" x14ac:dyDescent="0.25">
      <c r="A276" s="422" t="s">
        <v>973</v>
      </c>
      <c r="B276" s="422" t="s">
        <v>928</v>
      </c>
      <c r="C276" s="808"/>
      <c r="D276" s="422" t="s">
        <v>929</v>
      </c>
      <c r="E276" s="313">
        <f>E277</f>
        <v>0</v>
      </c>
      <c r="F276" s="313">
        <f t="shared" ref="F276:P277" si="288">F277</f>
        <v>0</v>
      </c>
      <c r="G276" s="313">
        <f t="shared" si="288"/>
        <v>0</v>
      </c>
      <c r="H276" s="313">
        <f t="shared" si="288"/>
        <v>0</v>
      </c>
      <c r="I276" s="313">
        <f t="shared" si="288"/>
        <v>0</v>
      </c>
      <c r="J276" s="313">
        <f t="shared" si="288"/>
        <v>164955840</v>
      </c>
      <c r="K276" s="313">
        <f t="shared" si="288"/>
        <v>164955840</v>
      </c>
      <c r="L276" s="313">
        <f t="shared" si="288"/>
        <v>0</v>
      </c>
      <c r="M276" s="313">
        <f t="shared" si="288"/>
        <v>0</v>
      </c>
      <c r="N276" s="313">
        <f t="shared" si="288"/>
        <v>0</v>
      </c>
      <c r="O276" s="313">
        <f t="shared" si="288"/>
        <v>164955840</v>
      </c>
      <c r="P276" s="313">
        <f t="shared" si="288"/>
        <v>164955840</v>
      </c>
      <c r="Q276" s="194"/>
      <c r="R276" s="195"/>
    </row>
    <row r="277" spans="1:18" s="411" customFormat="1" ht="93" thickTop="1" thickBot="1" x14ac:dyDescent="0.25">
      <c r="A277" s="345" t="s">
        <v>974</v>
      </c>
      <c r="B277" s="345" t="s">
        <v>975</v>
      </c>
      <c r="C277" s="345"/>
      <c r="D277" s="345" t="s">
        <v>976</v>
      </c>
      <c r="E277" s="430">
        <f>E278</f>
        <v>0</v>
      </c>
      <c r="F277" s="430">
        <f t="shared" si="288"/>
        <v>0</v>
      </c>
      <c r="G277" s="430">
        <f t="shared" si="288"/>
        <v>0</v>
      </c>
      <c r="H277" s="430">
        <f t="shared" si="288"/>
        <v>0</v>
      </c>
      <c r="I277" s="430">
        <f t="shared" si="288"/>
        <v>0</v>
      </c>
      <c r="J277" s="430">
        <f t="shared" si="288"/>
        <v>164955840</v>
      </c>
      <c r="K277" s="430">
        <f t="shared" si="288"/>
        <v>164955840</v>
      </c>
      <c r="L277" s="430">
        <f t="shared" si="288"/>
        <v>0</v>
      </c>
      <c r="M277" s="430">
        <f t="shared" si="288"/>
        <v>0</v>
      </c>
      <c r="N277" s="430">
        <f t="shared" si="288"/>
        <v>0</v>
      </c>
      <c r="O277" s="430">
        <f t="shared" si="288"/>
        <v>164955840</v>
      </c>
      <c r="P277" s="430">
        <f t="shared" si="288"/>
        <v>164955840</v>
      </c>
      <c r="Q277" s="194"/>
      <c r="R277" s="195"/>
    </row>
    <row r="278" spans="1:18" ht="321.75" thickTop="1" thickBot="1" x14ac:dyDescent="0.25">
      <c r="A278" s="808" t="s">
        <v>463</v>
      </c>
      <c r="B278" s="808" t="s">
        <v>465</v>
      </c>
      <c r="C278" s="808" t="s">
        <v>213</v>
      </c>
      <c r="D278" s="808" t="s">
        <v>464</v>
      </c>
      <c r="E278" s="804">
        <f t="shared" ref="E278:E285" si="289">F278</f>
        <v>0</v>
      </c>
      <c r="F278" s="305"/>
      <c r="G278" s="305"/>
      <c r="H278" s="305"/>
      <c r="I278" s="305"/>
      <c r="J278" s="804">
        <f t="shared" si="282"/>
        <v>164955840</v>
      </c>
      <c r="K278" s="305">
        <v>164955840</v>
      </c>
      <c r="L278" s="305"/>
      <c r="M278" s="305"/>
      <c r="N278" s="305"/>
      <c r="O278" s="810">
        <f t="shared" ref="O278" si="290">K278</f>
        <v>164955840</v>
      </c>
      <c r="P278" s="804">
        <f t="shared" si="280"/>
        <v>164955840</v>
      </c>
      <c r="Q278" s="194"/>
      <c r="R278" s="234" t="b">
        <f>K278='d6'!J280</f>
        <v>1</v>
      </c>
    </row>
    <row r="279" spans="1:18" s="411" customFormat="1" ht="47.25" thickTop="1" thickBot="1" x14ac:dyDescent="0.25">
      <c r="A279" s="422" t="s">
        <v>977</v>
      </c>
      <c r="B279" s="422" t="s">
        <v>905</v>
      </c>
      <c r="C279" s="808"/>
      <c r="D279" s="422" t="s">
        <v>952</v>
      </c>
      <c r="E279" s="804">
        <f>E280+E288</f>
        <v>0</v>
      </c>
      <c r="F279" s="804">
        <f t="shared" ref="F279:I279" si="291">F280+F288</f>
        <v>0</v>
      </c>
      <c r="G279" s="804">
        <f t="shared" si="291"/>
        <v>0</v>
      </c>
      <c r="H279" s="804">
        <f t="shared" si="291"/>
        <v>0</v>
      </c>
      <c r="I279" s="804">
        <f t="shared" si="291"/>
        <v>0</v>
      </c>
      <c r="J279" s="804">
        <f t="shared" ref="J279" si="292">J280+J288</f>
        <v>158714405.50999999</v>
      </c>
      <c r="K279" s="804">
        <f t="shared" ref="K279" si="293">K280+K288</f>
        <v>157214405.50999999</v>
      </c>
      <c r="L279" s="804">
        <f t="shared" ref="L279" si="294">L280+L288</f>
        <v>0</v>
      </c>
      <c r="M279" s="804">
        <f t="shared" ref="M279" si="295">M280+M288</f>
        <v>0</v>
      </c>
      <c r="N279" s="804">
        <f t="shared" ref="N279" si="296">N280+N288</f>
        <v>0</v>
      </c>
      <c r="O279" s="804">
        <f t="shared" ref="O279" si="297">O280+O288</f>
        <v>158714405.50999999</v>
      </c>
      <c r="P279" s="804">
        <f t="shared" ref="P279" si="298">P280+P288</f>
        <v>158714405.50999999</v>
      </c>
      <c r="Q279" s="194"/>
      <c r="R279" s="195"/>
    </row>
    <row r="280" spans="1:18" s="411" customFormat="1" ht="91.5" thickTop="1" thickBot="1" x14ac:dyDescent="0.25">
      <c r="A280" s="379" t="s">
        <v>978</v>
      </c>
      <c r="B280" s="379" t="s">
        <v>961</v>
      </c>
      <c r="C280" s="379"/>
      <c r="D280" s="379" t="s">
        <v>962</v>
      </c>
      <c r="E280" s="346">
        <f t="shared" ref="E280:P280" si="299">SUM(E281:E287)-E282</f>
        <v>0</v>
      </c>
      <c r="F280" s="346">
        <f t="shared" si="299"/>
        <v>0</v>
      </c>
      <c r="G280" s="346">
        <f t="shared" si="299"/>
        <v>0</v>
      </c>
      <c r="H280" s="346">
        <f t="shared" si="299"/>
        <v>0</v>
      </c>
      <c r="I280" s="346">
        <f t="shared" si="299"/>
        <v>0</v>
      </c>
      <c r="J280" s="346">
        <f t="shared" si="299"/>
        <v>157214405.50999999</v>
      </c>
      <c r="K280" s="346">
        <f t="shared" si="299"/>
        <v>157214405.50999999</v>
      </c>
      <c r="L280" s="346">
        <f t="shared" si="299"/>
        <v>0</v>
      </c>
      <c r="M280" s="346">
        <f t="shared" si="299"/>
        <v>0</v>
      </c>
      <c r="N280" s="346">
        <f t="shared" si="299"/>
        <v>0</v>
      </c>
      <c r="O280" s="346">
        <f t="shared" si="299"/>
        <v>157214405.50999999</v>
      </c>
      <c r="P280" s="346">
        <f t="shared" si="299"/>
        <v>157214405.50999999</v>
      </c>
      <c r="Q280" s="194"/>
      <c r="R280" s="195"/>
    </row>
    <row r="281" spans="1:18" s="533" customFormat="1" ht="99.75" thickTop="1" thickBot="1" x14ac:dyDescent="0.25">
      <c r="A281" s="808" t="s">
        <v>1150</v>
      </c>
      <c r="B281" s="808" t="s">
        <v>324</v>
      </c>
      <c r="C281" s="808" t="s">
        <v>323</v>
      </c>
      <c r="D281" s="808" t="s">
        <v>777</v>
      </c>
      <c r="E281" s="804">
        <f t="shared" ref="E281" si="300">F281</f>
        <v>0</v>
      </c>
      <c r="F281" s="305"/>
      <c r="G281" s="305"/>
      <c r="H281" s="305"/>
      <c r="I281" s="305"/>
      <c r="J281" s="804">
        <f t="shared" ref="J281" si="301">L281+O281</f>
        <v>80574.510000000009</v>
      </c>
      <c r="K281" s="305">
        <f>(36872.51)+43702</f>
        <v>80574.510000000009</v>
      </c>
      <c r="L281" s="305"/>
      <c r="M281" s="305"/>
      <c r="N281" s="305"/>
      <c r="O281" s="810">
        <f>K281</f>
        <v>80574.510000000009</v>
      </c>
      <c r="P281" s="804">
        <f t="shared" ref="P281" si="302">E281+J281</f>
        <v>80574.510000000009</v>
      </c>
      <c r="Q281" s="194"/>
      <c r="R281" s="234" t="b">
        <f>K281='d6'!J282</f>
        <v>1</v>
      </c>
    </row>
    <row r="282" spans="1:18" s="411" customFormat="1" ht="146.25" thickTop="1" thickBot="1" x14ac:dyDescent="0.25">
      <c r="A282" s="345" t="s">
        <v>979</v>
      </c>
      <c r="B282" s="345" t="s">
        <v>980</v>
      </c>
      <c r="C282" s="345"/>
      <c r="D282" s="345" t="s">
        <v>981</v>
      </c>
      <c r="E282" s="347">
        <f>SUM(E283:E284)</f>
        <v>0</v>
      </c>
      <c r="F282" s="347">
        <f t="shared" ref="F282:P282" si="303">SUM(F283:F284)</f>
        <v>0</v>
      </c>
      <c r="G282" s="347">
        <f t="shared" si="303"/>
        <v>0</v>
      </c>
      <c r="H282" s="347">
        <f t="shared" si="303"/>
        <v>0</v>
      </c>
      <c r="I282" s="347">
        <f t="shared" si="303"/>
        <v>0</v>
      </c>
      <c r="J282" s="347">
        <f t="shared" si="303"/>
        <v>26800045</v>
      </c>
      <c r="K282" s="347">
        <f t="shared" si="303"/>
        <v>26800045</v>
      </c>
      <c r="L282" s="347">
        <f t="shared" si="303"/>
        <v>0</v>
      </c>
      <c r="M282" s="347">
        <f t="shared" si="303"/>
        <v>0</v>
      </c>
      <c r="N282" s="347">
        <f t="shared" si="303"/>
        <v>0</v>
      </c>
      <c r="O282" s="347">
        <f t="shared" si="303"/>
        <v>26800045</v>
      </c>
      <c r="P282" s="347">
        <f t="shared" si="303"/>
        <v>26800045</v>
      </c>
      <c r="Q282" s="194"/>
      <c r="R282" s="195"/>
    </row>
    <row r="283" spans="1:18" ht="99.75" thickTop="1" thickBot="1" x14ac:dyDescent="0.25">
      <c r="A283" s="808" t="s">
        <v>333</v>
      </c>
      <c r="B283" s="808" t="s">
        <v>334</v>
      </c>
      <c r="C283" s="808" t="s">
        <v>323</v>
      </c>
      <c r="D283" s="808" t="s">
        <v>778</v>
      </c>
      <c r="E283" s="804">
        <f t="shared" si="289"/>
        <v>0</v>
      </c>
      <c r="F283" s="305"/>
      <c r="G283" s="305"/>
      <c r="H283" s="305"/>
      <c r="I283" s="305"/>
      <c r="J283" s="804">
        <f t="shared" si="282"/>
        <v>26600045</v>
      </c>
      <c r="K283" s="305">
        <f>2785781+(443307+(((6855987)+16002910-1087940)+1600000))</f>
        <v>26600045</v>
      </c>
      <c r="L283" s="305"/>
      <c r="M283" s="305"/>
      <c r="N283" s="305"/>
      <c r="O283" s="810">
        <f>K283</f>
        <v>26600045</v>
      </c>
      <c r="P283" s="804">
        <f t="shared" si="280"/>
        <v>26600045</v>
      </c>
      <c r="Q283" s="185"/>
      <c r="R283" s="234" t="b">
        <f>K283='d6'!J283+'d6'!J284+'d6'!J285+'d6'!J286+'d6'!J287</f>
        <v>1</v>
      </c>
    </row>
    <row r="284" spans="1:18" ht="99.75" thickTop="1" thickBot="1" x14ac:dyDescent="0.25">
      <c r="A284" s="808" t="s">
        <v>563</v>
      </c>
      <c r="B284" s="808" t="s">
        <v>564</v>
      </c>
      <c r="C284" s="808" t="s">
        <v>323</v>
      </c>
      <c r="D284" s="808" t="s">
        <v>779</v>
      </c>
      <c r="E284" s="804">
        <f t="shared" si="289"/>
        <v>0</v>
      </c>
      <c r="F284" s="305"/>
      <c r="G284" s="305"/>
      <c r="H284" s="305"/>
      <c r="I284" s="305"/>
      <c r="J284" s="804">
        <f t="shared" si="282"/>
        <v>200000</v>
      </c>
      <c r="K284" s="305">
        <v>200000</v>
      </c>
      <c r="L284" s="305"/>
      <c r="M284" s="305"/>
      <c r="N284" s="305"/>
      <c r="O284" s="810">
        <f>K284</f>
        <v>200000</v>
      </c>
      <c r="P284" s="804">
        <f t="shared" si="280"/>
        <v>200000</v>
      </c>
      <c r="Q284" s="185"/>
      <c r="R284" s="234" t="b">
        <f>K284='d6'!J288</f>
        <v>1</v>
      </c>
    </row>
    <row r="285" spans="1:18" ht="145.5" hidden="1" thickTop="1" thickBot="1" x14ac:dyDescent="0.25">
      <c r="A285" s="808" t="s">
        <v>335</v>
      </c>
      <c r="B285" s="808" t="s">
        <v>336</v>
      </c>
      <c r="C285" s="808" t="s">
        <v>323</v>
      </c>
      <c r="D285" s="808" t="s">
        <v>780</v>
      </c>
      <c r="E285" s="804">
        <f t="shared" si="289"/>
        <v>0</v>
      </c>
      <c r="F285" s="305"/>
      <c r="G285" s="305"/>
      <c r="H285" s="305"/>
      <c r="I285" s="305"/>
      <c r="J285" s="804">
        <f t="shared" si="282"/>
        <v>0</v>
      </c>
      <c r="K285" s="305">
        <v>0</v>
      </c>
      <c r="L285" s="305"/>
      <c r="M285" s="305"/>
      <c r="N285" s="305"/>
      <c r="O285" s="810">
        <f>K285</f>
        <v>0</v>
      </c>
      <c r="P285" s="804">
        <f t="shared" si="280"/>
        <v>0</v>
      </c>
      <c r="Q285" s="185"/>
    </row>
    <row r="286" spans="1:18" ht="99.75" thickTop="1" thickBot="1" x14ac:dyDescent="0.3">
      <c r="A286" s="808" t="s">
        <v>337</v>
      </c>
      <c r="B286" s="808" t="s">
        <v>338</v>
      </c>
      <c r="C286" s="808" t="s">
        <v>323</v>
      </c>
      <c r="D286" s="808" t="s">
        <v>781</v>
      </c>
      <c r="E286" s="804">
        <f>F286</f>
        <v>0</v>
      </c>
      <c r="F286" s="305"/>
      <c r="G286" s="305"/>
      <c r="H286" s="305"/>
      <c r="I286" s="305"/>
      <c r="J286" s="804">
        <f t="shared" si="282"/>
        <v>20252484</v>
      </c>
      <c r="K286" s="305">
        <f>2778058+(-487009+(((9126836+5000000+370000)+2068629+795970)-1400000)+2000000)</f>
        <v>20252484</v>
      </c>
      <c r="L286" s="305"/>
      <c r="M286" s="305"/>
      <c r="N286" s="305"/>
      <c r="O286" s="810">
        <f>K286</f>
        <v>20252484</v>
      </c>
      <c r="P286" s="804">
        <f t="shared" si="280"/>
        <v>20252484</v>
      </c>
      <c r="Q286" s="197"/>
      <c r="R286" s="234" t="b">
        <f>K286='d6'!J289+'d6'!J291+'d6'!J292+'d6'!J293+'d6'!J294+'d6'!J295+'d6'!J296+'d6'!J297+'d6'!J298+'d6'!J299+'d6'!J300+'d6'!J301+'d6'!J290</f>
        <v>1</v>
      </c>
    </row>
    <row r="287" spans="1:18" ht="138.75" thickTop="1" thickBot="1" x14ac:dyDescent="0.25">
      <c r="A287" s="808" t="s">
        <v>469</v>
      </c>
      <c r="B287" s="808" t="s">
        <v>376</v>
      </c>
      <c r="C287" s="808" t="s">
        <v>184</v>
      </c>
      <c r="D287" s="808" t="s">
        <v>280</v>
      </c>
      <c r="E287" s="804">
        <f>F287</f>
        <v>0</v>
      </c>
      <c r="F287" s="305"/>
      <c r="G287" s="305"/>
      <c r="H287" s="305"/>
      <c r="I287" s="305"/>
      <c r="J287" s="804">
        <f t="shared" si="282"/>
        <v>110081302</v>
      </c>
      <c r="K287" s="305">
        <f>((23737852+6343450)+20000000)+60000000</f>
        <v>110081302</v>
      </c>
      <c r="L287" s="305"/>
      <c r="M287" s="305"/>
      <c r="N287" s="305"/>
      <c r="O287" s="810">
        <f>K287</f>
        <v>110081302</v>
      </c>
      <c r="P287" s="804">
        <f t="shared" si="280"/>
        <v>110081302</v>
      </c>
      <c r="R287" s="234" t="b">
        <f>K287='d6'!J302</f>
        <v>1</v>
      </c>
    </row>
    <row r="288" spans="1:18" s="649" customFormat="1" ht="136.5" thickTop="1" thickBot="1" x14ac:dyDescent="0.25">
      <c r="A288" s="379" t="s">
        <v>1289</v>
      </c>
      <c r="B288" s="379" t="s">
        <v>847</v>
      </c>
      <c r="C288" s="379"/>
      <c r="D288" s="379" t="s">
        <v>845</v>
      </c>
      <c r="E288" s="429">
        <f>E289</f>
        <v>0</v>
      </c>
      <c r="F288" s="429">
        <f>F289</f>
        <v>0</v>
      </c>
      <c r="G288" s="429">
        <f>G289</f>
        <v>0</v>
      </c>
      <c r="H288" s="429">
        <f>H289</f>
        <v>0</v>
      </c>
      <c r="I288" s="429">
        <f>I289</f>
        <v>0</v>
      </c>
      <c r="J288" s="429">
        <f t="shared" ref="J288:O288" si="304">J289</f>
        <v>1500000</v>
      </c>
      <c r="K288" s="429">
        <f t="shared" si="304"/>
        <v>0</v>
      </c>
      <c r="L288" s="429">
        <f t="shared" si="304"/>
        <v>0</v>
      </c>
      <c r="M288" s="429">
        <f t="shared" si="304"/>
        <v>0</v>
      </c>
      <c r="N288" s="429">
        <f t="shared" si="304"/>
        <v>0</v>
      </c>
      <c r="O288" s="429">
        <f t="shared" si="304"/>
        <v>1500000</v>
      </c>
      <c r="P288" s="429">
        <f>P289</f>
        <v>1500000</v>
      </c>
      <c r="Q288" s="656"/>
      <c r="R288" s="234"/>
    </row>
    <row r="289" spans="1:18" s="649" customFormat="1" ht="48" thickTop="1" thickBot="1" x14ac:dyDescent="0.25">
      <c r="A289" s="345" t="s">
        <v>1290</v>
      </c>
      <c r="B289" s="345" t="s">
        <v>850</v>
      </c>
      <c r="C289" s="345"/>
      <c r="D289" s="345" t="s">
        <v>955</v>
      </c>
      <c r="E289" s="430">
        <f>E290</f>
        <v>0</v>
      </c>
      <c r="F289" s="430">
        <f t="shared" ref="F289:P289" si="305">F290</f>
        <v>0</v>
      </c>
      <c r="G289" s="430">
        <f t="shared" si="305"/>
        <v>0</v>
      </c>
      <c r="H289" s="430">
        <f t="shared" si="305"/>
        <v>0</v>
      </c>
      <c r="I289" s="430">
        <f t="shared" si="305"/>
        <v>0</v>
      </c>
      <c r="J289" s="430">
        <f t="shared" si="305"/>
        <v>1500000</v>
      </c>
      <c r="K289" s="430">
        <f t="shared" si="305"/>
        <v>0</v>
      </c>
      <c r="L289" s="430">
        <f t="shared" si="305"/>
        <v>0</v>
      </c>
      <c r="M289" s="430">
        <f t="shared" si="305"/>
        <v>0</v>
      </c>
      <c r="N289" s="430">
        <f t="shared" si="305"/>
        <v>0</v>
      </c>
      <c r="O289" s="430">
        <f t="shared" si="305"/>
        <v>1500000</v>
      </c>
      <c r="P289" s="430">
        <f t="shared" si="305"/>
        <v>1500000</v>
      </c>
      <c r="Q289" s="656"/>
      <c r="R289" s="234"/>
    </row>
    <row r="290" spans="1:18" s="649" customFormat="1" ht="409.6" thickTop="1" thickBot="1" x14ac:dyDescent="0.7">
      <c r="A290" s="983" t="s">
        <v>1291</v>
      </c>
      <c r="B290" s="983" t="s">
        <v>363</v>
      </c>
      <c r="C290" s="983" t="s">
        <v>184</v>
      </c>
      <c r="D290" s="315" t="s">
        <v>473</v>
      </c>
      <c r="E290" s="984">
        <f t="shared" ref="E290" si="306">F290</f>
        <v>0</v>
      </c>
      <c r="F290" s="985"/>
      <c r="G290" s="985"/>
      <c r="H290" s="985"/>
      <c r="I290" s="985"/>
      <c r="J290" s="984">
        <f t="shared" ref="J290" si="307">L290+O290</f>
        <v>1500000</v>
      </c>
      <c r="K290" s="985"/>
      <c r="L290" s="985"/>
      <c r="M290" s="985"/>
      <c r="N290" s="985"/>
      <c r="O290" s="987">
        <f>K290+1500000</f>
        <v>1500000</v>
      </c>
      <c r="P290" s="978">
        <f>E290+J290</f>
        <v>1500000</v>
      </c>
      <c r="Q290" s="656"/>
      <c r="R290" s="234"/>
    </row>
    <row r="291" spans="1:18" s="649" customFormat="1" ht="184.5" thickTop="1" thickBot="1" x14ac:dyDescent="0.25">
      <c r="A291" s="983"/>
      <c r="B291" s="983"/>
      <c r="C291" s="983"/>
      <c r="D291" s="317" t="s">
        <v>474</v>
      </c>
      <c r="E291" s="984"/>
      <c r="F291" s="985"/>
      <c r="G291" s="985"/>
      <c r="H291" s="985"/>
      <c r="I291" s="985"/>
      <c r="J291" s="984"/>
      <c r="K291" s="985"/>
      <c r="L291" s="985"/>
      <c r="M291" s="985"/>
      <c r="N291" s="985"/>
      <c r="O291" s="987"/>
      <c r="P291" s="978"/>
      <c r="Q291" s="656"/>
      <c r="R291" s="234"/>
    </row>
    <row r="292" spans="1:18" ht="181.5" thickTop="1" thickBot="1" x14ac:dyDescent="0.25">
      <c r="A292" s="825" t="s">
        <v>174</v>
      </c>
      <c r="B292" s="825"/>
      <c r="C292" s="825"/>
      <c r="D292" s="826" t="s">
        <v>1066</v>
      </c>
      <c r="E292" s="827">
        <f>E293</f>
        <v>6166215</v>
      </c>
      <c r="F292" s="828">
        <f t="shared" ref="F292:G292" si="308">F293</f>
        <v>6166215</v>
      </c>
      <c r="G292" s="828">
        <f t="shared" si="308"/>
        <v>4432575</v>
      </c>
      <c r="H292" s="828">
        <f>H293</f>
        <v>177645</v>
      </c>
      <c r="I292" s="828">
        <f t="shared" ref="I292" si="309">I293</f>
        <v>0</v>
      </c>
      <c r="J292" s="827">
        <f>J293</f>
        <v>837700</v>
      </c>
      <c r="K292" s="828">
        <f>K293</f>
        <v>837700</v>
      </c>
      <c r="L292" s="828">
        <f>L293</f>
        <v>0</v>
      </c>
      <c r="M292" s="828">
        <f t="shared" ref="M292" si="310">M293</f>
        <v>0</v>
      </c>
      <c r="N292" s="828">
        <f>N293</f>
        <v>0</v>
      </c>
      <c r="O292" s="827">
        <f>O293</f>
        <v>837700</v>
      </c>
      <c r="P292" s="828">
        <f t="shared" ref="P292" si="311">P293</f>
        <v>7003915</v>
      </c>
    </row>
    <row r="293" spans="1:18" ht="181.5" thickTop="1" thickBot="1" x14ac:dyDescent="0.25">
      <c r="A293" s="829" t="s">
        <v>175</v>
      </c>
      <c r="B293" s="829"/>
      <c r="C293" s="829"/>
      <c r="D293" s="830" t="s">
        <v>1067</v>
      </c>
      <c r="E293" s="831">
        <f>E294+E297</f>
        <v>6166215</v>
      </c>
      <c r="F293" s="831">
        <f>F294+F297</f>
        <v>6166215</v>
      </c>
      <c r="G293" s="831">
        <f>G294+G297</f>
        <v>4432575</v>
      </c>
      <c r="H293" s="831">
        <f>H294+H297</f>
        <v>177645</v>
      </c>
      <c r="I293" s="831">
        <f>I294+I297</f>
        <v>0</v>
      </c>
      <c r="J293" s="831">
        <f>L293+O293</f>
        <v>837700</v>
      </c>
      <c r="K293" s="831">
        <f>K294+K297</f>
        <v>837700</v>
      </c>
      <c r="L293" s="831">
        <f>L294+L297</f>
        <v>0</v>
      </c>
      <c r="M293" s="831">
        <f>M294+M297</f>
        <v>0</v>
      </c>
      <c r="N293" s="831">
        <f>N294+N297</f>
        <v>0</v>
      </c>
      <c r="O293" s="831">
        <f>O294+O297</f>
        <v>837700</v>
      </c>
      <c r="P293" s="831">
        <f>E293+J293</f>
        <v>7003915</v>
      </c>
      <c r="Q293" s="125" t="b">
        <f>P293=P295+P296+P299</f>
        <v>1</v>
      </c>
      <c r="R293" s="234" t="b">
        <f>J293='d6'!J303</f>
        <v>1</v>
      </c>
    </row>
    <row r="294" spans="1:18" s="411" customFormat="1" ht="47.25" thickTop="1" thickBot="1" x14ac:dyDescent="0.25">
      <c r="A294" s="422" t="s">
        <v>982</v>
      </c>
      <c r="B294" s="422" t="s">
        <v>840</v>
      </c>
      <c r="C294" s="422"/>
      <c r="D294" s="422" t="s">
        <v>841</v>
      </c>
      <c r="E294" s="804">
        <f>SUM(E295:E296)</f>
        <v>6166215</v>
      </c>
      <c r="F294" s="804">
        <f t="shared" ref="F294" si="312">SUM(F295:F296)</f>
        <v>6166215</v>
      </c>
      <c r="G294" s="804">
        <f t="shared" ref="G294" si="313">SUM(G295:G296)</f>
        <v>4432575</v>
      </c>
      <c r="H294" s="804">
        <f t="shared" ref="H294" si="314">SUM(H295:H296)</f>
        <v>177645</v>
      </c>
      <c r="I294" s="804">
        <f t="shared" ref="I294" si="315">SUM(I295:I296)</f>
        <v>0</v>
      </c>
      <c r="J294" s="804">
        <f t="shared" ref="J294" si="316">SUM(J295:J296)</f>
        <v>239700</v>
      </c>
      <c r="K294" s="804">
        <f t="shared" ref="K294" si="317">SUM(K295:K296)</f>
        <v>239700</v>
      </c>
      <c r="L294" s="804">
        <f t="shared" ref="L294" si="318">SUM(L295:L296)</f>
        <v>0</v>
      </c>
      <c r="M294" s="804">
        <f t="shared" ref="M294" si="319">SUM(M295:M296)</f>
        <v>0</v>
      </c>
      <c r="N294" s="804">
        <f t="shared" ref="N294" si="320">SUM(N295:N296)</f>
        <v>0</v>
      </c>
      <c r="O294" s="804">
        <f t="shared" ref="O294" si="321">SUM(O295:O296)</f>
        <v>239700</v>
      </c>
      <c r="P294" s="804">
        <f t="shared" ref="P294" si="322">SUM(P295:P296)</f>
        <v>6405915</v>
      </c>
      <c r="Q294" s="125"/>
      <c r="R294" s="234"/>
    </row>
    <row r="295" spans="1:18" ht="230.25" thickTop="1" thickBot="1" x14ac:dyDescent="0.25">
      <c r="A295" s="808" t="s">
        <v>447</v>
      </c>
      <c r="B295" s="808" t="s">
        <v>254</v>
      </c>
      <c r="C295" s="808" t="s">
        <v>252</v>
      </c>
      <c r="D295" s="808" t="s">
        <v>253</v>
      </c>
      <c r="E295" s="804">
        <f>F295</f>
        <v>6159215</v>
      </c>
      <c r="F295" s="305">
        <f>-53000+(-450000-115000+41600+7000+((6523715-7000)+55900+140000+16000))</f>
        <v>6159215</v>
      </c>
      <c r="G295" s="305">
        <f>-43000+((4925575)-450000)</f>
        <v>4432575</v>
      </c>
      <c r="H295" s="305">
        <f>41600+7000+(97095+1950+30000)</f>
        <v>177645</v>
      </c>
      <c r="I295" s="305"/>
      <c r="J295" s="804">
        <f>L295+O295</f>
        <v>239700</v>
      </c>
      <c r="K295" s="305">
        <f>63700+((140000)+36000)</f>
        <v>239700</v>
      </c>
      <c r="L295" s="305"/>
      <c r="M295" s="305"/>
      <c r="N295" s="305"/>
      <c r="O295" s="810">
        <f>K295</f>
        <v>239700</v>
      </c>
      <c r="P295" s="804">
        <f>E295+J295</f>
        <v>6398915</v>
      </c>
      <c r="Q295" s="194"/>
      <c r="R295" s="234" t="b">
        <f>K295='d6'!J305</f>
        <v>1</v>
      </c>
    </row>
    <row r="296" spans="1:18" s="310" customFormat="1" ht="184.5" thickTop="1" thickBot="1" x14ac:dyDescent="0.25">
      <c r="A296" s="808" t="s">
        <v>786</v>
      </c>
      <c r="B296" s="808" t="s">
        <v>388</v>
      </c>
      <c r="C296" s="808" t="s">
        <v>775</v>
      </c>
      <c r="D296" s="808" t="s">
        <v>776</v>
      </c>
      <c r="E296" s="313">
        <f>F296</f>
        <v>7000</v>
      </c>
      <c r="F296" s="167">
        <v>7000</v>
      </c>
      <c r="G296" s="167"/>
      <c r="H296" s="167"/>
      <c r="I296" s="167"/>
      <c r="J296" s="804">
        <f t="shared" ref="J296" si="323">L296+O296</f>
        <v>0</v>
      </c>
      <c r="K296" s="167"/>
      <c r="L296" s="761"/>
      <c r="M296" s="761"/>
      <c r="N296" s="761"/>
      <c r="O296" s="810">
        <f t="shared" ref="O296" si="324">K296</f>
        <v>0</v>
      </c>
      <c r="P296" s="804">
        <f t="shared" ref="P296" si="325">+J296+E296</f>
        <v>7000</v>
      </c>
      <c r="Q296" s="194"/>
      <c r="R296" s="234"/>
    </row>
    <row r="297" spans="1:18" s="491" customFormat="1" ht="47.25" thickTop="1" thickBot="1" x14ac:dyDescent="0.25">
      <c r="A297" s="422" t="s">
        <v>1112</v>
      </c>
      <c r="B297" s="422" t="s">
        <v>905</v>
      </c>
      <c r="C297" s="808"/>
      <c r="D297" s="422" t="s">
        <v>952</v>
      </c>
      <c r="E297" s="804">
        <f>E298</f>
        <v>0</v>
      </c>
      <c r="F297" s="804">
        <f t="shared" ref="F297:P298" si="326">F298</f>
        <v>0</v>
      </c>
      <c r="G297" s="804">
        <f t="shared" si="326"/>
        <v>0</v>
      </c>
      <c r="H297" s="804">
        <f t="shared" si="326"/>
        <v>0</v>
      </c>
      <c r="I297" s="804">
        <f t="shared" si="326"/>
        <v>0</v>
      </c>
      <c r="J297" s="804">
        <f t="shared" si="326"/>
        <v>598000</v>
      </c>
      <c r="K297" s="804">
        <f t="shared" si="326"/>
        <v>598000</v>
      </c>
      <c r="L297" s="804">
        <f t="shared" si="326"/>
        <v>0</v>
      </c>
      <c r="M297" s="804">
        <f t="shared" si="326"/>
        <v>0</v>
      </c>
      <c r="N297" s="804">
        <f t="shared" si="326"/>
        <v>0</v>
      </c>
      <c r="O297" s="804">
        <f t="shared" si="326"/>
        <v>598000</v>
      </c>
      <c r="P297" s="804">
        <f t="shared" si="326"/>
        <v>598000</v>
      </c>
      <c r="Q297" s="194"/>
      <c r="R297" s="234"/>
    </row>
    <row r="298" spans="1:18" s="491" customFormat="1" ht="91.5" thickTop="1" thickBot="1" x14ac:dyDescent="0.25">
      <c r="A298" s="379" t="s">
        <v>1113</v>
      </c>
      <c r="B298" s="379" t="s">
        <v>961</v>
      </c>
      <c r="C298" s="379"/>
      <c r="D298" s="379" t="s">
        <v>962</v>
      </c>
      <c r="E298" s="346">
        <f>E299</f>
        <v>0</v>
      </c>
      <c r="F298" s="346">
        <f t="shared" si="326"/>
        <v>0</v>
      </c>
      <c r="G298" s="346">
        <f t="shared" si="326"/>
        <v>0</v>
      </c>
      <c r="H298" s="346">
        <f t="shared" si="326"/>
        <v>0</v>
      </c>
      <c r="I298" s="346">
        <f t="shared" si="326"/>
        <v>0</v>
      </c>
      <c r="J298" s="346">
        <f t="shared" si="326"/>
        <v>598000</v>
      </c>
      <c r="K298" s="346">
        <f t="shared" si="326"/>
        <v>598000</v>
      </c>
      <c r="L298" s="346">
        <f t="shared" si="326"/>
        <v>0</v>
      </c>
      <c r="M298" s="346">
        <f t="shared" si="326"/>
        <v>0</v>
      </c>
      <c r="N298" s="346">
        <f t="shared" si="326"/>
        <v>0</v>
      </c>
      <c r="O298" s="346">
        <f t="shared" si="326"/>
        <v>598000</v>
      </c>
      <c r="P298" s="346">
        <f t="shared" si="326"/>
        <v>598000</v>
      </c>
      <c r="Q298" s="194"/>
      <c r="R298" s="234"/>
    </row>
    <row r="299" spans="1:18" s="491" customFormat="1" ht="138.75" thickTop="1" thickBot="1" x14ac:dyDescent="0.25">
      <c r="A299" s="808" t="s">
        <v>1114</v>
      </c>
      <c r="B299" s="808" t="s">
        <v>1115</v>
      </c>
      <c r="C299" s="808" t="s">
        <v>323</v>
      </c>
      <c r="D299" s="808" t="s">
        <v>1116</v>
      </c>
      <c r="E299" s="313">
        <f>F299</f>
        <v>0</v>
      </c>
      <c r="F299" s="167"/>
      <c r="G299" s="167"/>
      <c r="H299" s="167"/>
      <c r="I299" s="167"/>
      <c r="J299" s="804">
        <f t="shared" ref="J299" si="327">L299+O299</f>
        <v>598000</v>
      </c>
      <c r="K299" s="167">
        <f>(611000)-13000</f>
        <v>598000</v>
      </c>
      <c r="L299" s="761"/>
      <c r="M299" s="761"/>
      <c r="N299" s="761"/>
      <c r="O299" s="810">
        <f t="shared" ref="O299" si="328">K299</f>
        <v>598000</v>
      </c>
      <c r="P299" s="804">
        <f t="shared" ref="P299" si="329">+J299+E299</f>
        <v>598000</v>
      </c>
      <c r="Q299" s="194"/>
      <c r="R299" s="234" t="b">
        <f>K299='d6'!J308+'d6'!J307+'d6'!J306</f>
        <v>1</v>
      </c>
    </row>
    <row r="300" spans="1:18" ht="136.5" thickTop="1" thickBot="1" x14ac:dyDescent="0.25">
      <c r="A300" s="825" t="s">
        <v>477</v>
      </c>
      <c r="B300" s="825"/>
      <c r="C300" s="825"/>
      <c r="D300" s="826" t="s">
        <v>479</v>
      </c>
      <c r="E300" s="827">
        <f>E301</f>
        <v>91056453</v>
      </c>
      <c r="F300" s="828">
        <f t="shared" ref="F300:G300" si="330">F301</f>
        <v>91056453</v>
      </c>
      <c r="G300" s="828">
        <f t="shared" si="330"/>
        <v>2436610</v>
      </c>
      <c r="H300" s="828">
        <f>H301</f>
        <v>72945</v>
      </c>
      <c r="I300" s="828">
        <f t="shared" ref="I300" si="331">I301</f>
        <v>0</v>
      </c>
      <c r="J300" s="827">
        <f>J301</f>
        <v>36000</v>
      </c>
      <c r="K300" s="828">
        <f>K301</f>
        <v>36000</v>
      </c>
      <c r="L300" s="828">
        <f>L301</f>
        <v>0</v>
      </c>
      <c r="M300" s="828">
        <f t="shared" ref="M300" si="332">M301</f>
        <v>0</v>
      </c>
      <c r="N300" s="828">
        <f>N301</f>
        <v>0</v>
      </c>
      <c r="O300" s="827">
        <f>O301</f>
        <v>36000</v>
      </c>
      <c r="P300" s="828">
        <f t="shared" ref="P300" si="333">P301</f>
        <v>91092453</v>
      </c>
    </row>
    <row r="301" spans="1:18" ht="181.5" thickTop="1" thickBot="1" x14ac:dyDescent="0.25">
      <c r="A301" s="829" t="s">
        <v>478</v>
      </c>
      <c r="B301" s="829"/>
      <c r="C301" s="829"/>
      <c r="D301" s="830" t="s">
        <v>480</v>
      </c>
      <c r="E301" s="831">
        <f>E302+E306</f>
        <v>91056453</v>
      </c>
      <c r="F301" s="831">
        <f t="shared" ref="F301:I301" si="334">F302+F306</f>
        <v>91056453</v>
      </c>
      <c r="G301" s="831">
        <f t="shared" si="334"/>
        <v>2436610</v>
      </c>
      <c r="H301" s="831">
        <f t="shared" si="334"/>
        <v>72945</v>
      </c>
      <c r="I301" s="831">
        <f t="shared" si="334"/>
        <v>0</v>
      </c>
      <c r="J301" s="831">
        <f>L301+O301</f>
        <v>36000</v>
      </c>
      <c r="K301" s="831">
        <f t="shared" ref="K301:O301" si="335">K302+K306</f>
        <v>36000</v>
      </c>
      <c r="L301" s="831">
        <f t="shared" si="335"/>
        <v>0</v>
      </c>
      <c r="M301" s="831">
        <f t="shared" si="335"/>
        <v>0</v>
      </c>
      <c r="N301" s="831">
        <f t="shared" si="335"/>
        <v>0</v>
      </c>
      <c r="O301" s="831">
        <f t="shared" si="335"/>
        <v>36000</v>
      </c>
      <c r="P301" s="831">
        <f>E301+J301</f>
        <v>91092453</v>
      </c>
      <c r="Q301" s="125" t="b">
        <f>P301=P303+P305+P311+P304+P309+P312</f>
        <v>1</v>
      </c>
      <c r="R301" s="234" t="b">
        <f>K301='d6'!J309</f>
        <v>1</v>
      </c>
    </row>
    <row r="302" spans="1:18" s="411" customFormat="1" ht="47.25" thickTop="1" thickBot="1" x14ac:dyDescent="0.25">
      <c r="A302" s="422" t="s">
        <v>983</v>
      </c>
      <c r="B302" s="422" t="s">
        <v>840</v>
      </c>
      <c r="C302" s="422"/>
      <c r="D302" s="422" t="s">
        <v>841</v>
      </c>
      <c r="E302" s="804">
        <f>SUM(E303:E304)</f>
        <v>3713840</v>
      </c>
      <c r="F302" s="804">
        <f t="shared" ref="F302" si="336">SUM(F303:F304)</f>
        <v>3713840</v>
      </c>
      <c r="G302" s="804">
        <f t="shared" ref="G302" si="337">SUM(G303:G304)</f>
        <v>2436610</v>
      </c>
      <c r="H302" s="804">
        <f t="shared" ref="H302" si="338">SUM(H303:H304)</f>
        <v>72945</v>
      </c>
      <c r="I302" s="804">
        <f t="shared" ref="I302" si="339">SUM(I303:I304)</f>
        <v>0</v>
      </c>
      <c r="J302" s="804">
        <f t="shared" ref="J302" si="340">SUM(J303:J304)</f>
        <v>36000</v>
      </c>
      <c r="K302" s="804">
        <f t="shared" ref="K302" si="341">SUM(K303:K304)</f>
        <v>36000</v>
      </c>
      <c r="L302" s="804">
        <f t="shared" ref="L302" si="342">SUM(L303:L304)</f>
        <v>0</v>
      </c>
      <c r="M302" s="804">
        <f t="shared" ref="M302" si="343">SUM(M303:M304)</f>
        <v>0</v>
      </c>
      <c r="N302" s="804">
        <f t="shared" ref="N302" si="344">SUM(N303:N304)</f>
        <v>0</v>
      </c>
      <c r="O302" s="804">
        <f t="shared" ref="O302" si="345">SUM(O303:O304)</f>
        <v>36000</v>
      </c>
      <c r="P302" s="804">
        <f t="shared" ref="P302" si="346">SUM(P303:P304)</f>
        <v>3749840</v>
      </c>
      <c r="Q302" s="125"/>
      <c r="R302" s="234"/>
    </row>
    <row r="303" spans="1:18" ht="230.25" thickTop="1" thickBot="1" x14ac:dyDescent="0.25">
      <c r="A303" s="808" t="s">
        <v>481</v>
      </c>
      <c r="B303" s="808" t="s">
        <v>254</v>
      </c>
      <c r="C303" s="808" t="s">
        <v>252</v>
      </c>
      <c r="D303" s="808" t="s">
        <v>253</v>
      </c>
      <c r="E303" s="804">
        <f>F303</f>
        <v>3708760</v>
      </c>
      <c r="F303" s="305">
        <f>-33000+(7800+40000+49530+7000+2000+49000+((3546620-5080)+240240+4650-200000))</f>
        <v>3708760</v>
      </c>
      <c r="G303" s="305">
        <f>(2452610)-16000</f>
        <v>2436610</v>
      </c>
      <c r="H303" s="305">
        <f>7800+(40290+1200+22400+1255)</f>
        <v>72945</v>
      </c>
      <c r="I303" s="305"/>
      <c r="J303" s="804">
        <f>L303+O303</f>
        <v>36000</v>
      </c>
      <c r="K303" s="305">
        <f>(18000)+18000</f>
        <v>36000</v>
      </c>
      <c r="L303" s="305"/>
      <c r="M303" s="305"/>
      <c r="N303" s="305"/>
      <c r="O303" s="810">
        <f>K303</f>
        <v>36000</v>
      </c>
      <c r="P303" s="804">
        <f>E303+J303</f>
        <v>3744760</v>
      </c>
      <c r="Q303" s="194"/>
      <c r="R303" s="234" t="b">
        <f>K303='d6'!J311</f>
        <v>1</v>
      </c>
    </row>
    <row r="304" spans="1:18" s="310" customFormat="1" ht="184.5" thickTop="1" thickBot="1" x14ac:dyDescent="0.25">
      <c r="A304" s="808" t="s">
        <v>787</v>
      </c>
      <c r="B304" s="808" t="s">
        <v>388</v>
      </c>
      <c r="C304" s="808" t="s">
        <v>775</v>
      </c>
      <c r="D304" s="808" t="s">
        <v>776</v>
      </c>
      <c r="E304" s="313">
        <f>F304</f>
        <v>5080</v>
      </c>
      <c r="F304" s="167">
        <v>5080</v>
      </c>
      <c r="G304" s="167"/>
      <c r="H304" s="167"/>
      <c r="I304" s="167"/>
      <c r="J304" s="804">
        <f t="shared" ref="J304" si="347">L304+O304</f>
        <v>0</v>
      </c>
      <c r="K304" s="167"/>
      <c r="L304" s="761"/>
      <c r="M304" s="761"/>
      <c r="N304" s="761"/>
      <c r="O304" s="810">
        <f t="shared" ref="O304" si="348">K304</f>
        <v>0</v>
      </c>
      <c r="P304" s="804">
        <f t="shared" ref="P304" si="349">+J304+E304</f>
        <v>5080</v>
      </c>
      <c r="Q304" s="194"/>
      <c r="R304" s="234"/>
    </row>
    <row r="305" spans="1:18" ht="93" hidden="1" thickTop="1" thickBot="1" x14ac:dyDescent="0.25">
      <c r="A305" s="835" t="s">
        <v>504</v>
      </c>
      <c r="B305" s="835" t="s">
        <v>440</v>
      </c>
      <c r="C305" s="835" t="s">
        <v>441</v>
      </c>
      <c r="D305" s="835" t="s">
        <v>442</v>
      </c>
      <c r="E305" s="775">
        <f>F305</f>
        <v>0</v>
      </c>
      <c r="F305" s="776">
        <f>(34016813)-19850000-9713396-4453417</f>
        <v>0</v>
      </c>
      <c r="G305" s="776"/>
      <c r="H305" s="776"/>
      <c r="I305" s="776"/>
      <c r="J305" s="775">
        <f>L305+O305</f>
        <v>0</v>
      </c>
      <c r="K305" s="776"/>
      <c r="L305" s="776"/>
      <c r="M305" s="776"/>
      <c r="N305" s="776"/>
      <c r="O305" s="777">
        <f>K305</f>
        <v>0</v>
      </c>
      <c r="P305" s="775">
        <f>E305+J305</f>
        <v>0</v>
      </c>
      <c r="Q305" s="194"/>
      <c r="R305" s="195"/>
    </row>
    <row r="306" spans="1:18" s="411" customFormat="1" ht="47.25" thickTop="1" thickBot="1" x14ac:dyDescent="0.25">
      <c r="A306" s="422" t="s">
        <v>984</v>
      </c>
      <c r="B306" s="422" t="s">
        <v>905</v>
      </c>
      <c r="C306" s="808"/>
      <c r="D306" s="422" t="s">
        <v>952</v>
      </c>
      <c r="E306" s="804">
        <f>E307</f>
        <v>87342613</v>
      </c>
      <c r="F306" s="804">
        <f t="shared" ref="F306:P310" si="350">F307</f>
        <v>87342613</v>
      </c>
      <c r="G306" s="804">
        <f t="shared" si="350"/>
        <v>0</v>
      </c>
      <c r="H306" s="804">
        <f t="shared" si="350"/>
        <v>0</v>
      </c>
      <c r="I306" s="804">
        <f t="shared" si="350"/>
        <v>0</v>
      </c>
      <c r="J306" s="804">
        <f t="shared" si="350"/>
        <v>0</v>
      </c>
      <c r="K306" s="804">
        <f t="shared" si="350"/>
        <v>0</v>
      </c>
      <c r="L306" s="804">
        <f t="shared" si="350"/>
        <v>0</v>
      </c>
      <c r="M306" s="804">
        <f t="shared" si="350"/>
        <v>0</v>
      </c>
      <c r="N306" s="804">
        <f t="shared" si="350"/>
        <v>0</v>
      </c>
      <c r="O306" s="804">
        <f t="shared" si="350"/>
        <v>0</v>
      </c>
      <c r="P306" s="804">
        <f t="shared" si="350"/>
        <v>87342613</v>
      </c>
      <c r="Q306" s="194"/>
      <c r="R306" s="195"/>
    </row>
    <row r="307" spans="1:18" s="411" customFormat="1" ht="136.5" thickTop="1" thickBot="1" x14ac:dyDescent="0.25">
      <c r="A307" s="379" t="s">
        <v>985</v>
      </c>
      <c r="B307" s="379" t="s">
        <v>964</v>
      </c>
      <c r="C307" s="379"/>
      <c r="D307" s="379" t="s">
        <v>965</v>
      </c>
      <c r="E307" s="346">
        <f>E310+E308+E312</f>
        <v>87342613</v>
      </c>
      <c r="F307" s="346">
        <f t="shared" ref="F307:P307" si="351">F310+F308+F312</f>
        <v>87342613</v>
      </c>
      <c r="G307" s="346">
        <f t="shared" si="351"/>
        <v>0</v>
      </c>
      <c r="H307" s="346">
        <f t="shared" si="351"/>
        <v>0</v>
      </c>
      <c r="I307" s="346">
        <f t="shared" si="351"/>
        <v>0</v>
      </c>
      <c r="J307" s="346">
        <f t="shared" si="351"/>
        <v>0</v>
      </c>
      <c r="K307" s="346">
        <f t="shared" si="351"/>
        <v>0</v>
      </c>
      <c r="L307" s="346">
        <f t="shared" si="351"/>
        <v>0</v>
      </c>
      <c r="M307" s="346">
        <f t="shared" si="351"/>
        <v>0</v>
      </c>
      <c r="N307" s="346">
        <f t="shared" si="351"/>
        <v>0</v>
      </c>
      <c r="O307" s="346">
        <f t="shared" si="351"/>
        <v>0</v>
      </c>
      <c r="P307" s="346">
        <f t="shared" si="351"/>
        <v>87342613</v>
      </c>
      <c r="Q307" s="194"/>
      <c r="R307" s="195"/>
    </row>
    <row r="308" spans="1:18" s="658" customFormat="1" ht="138.75" hidden="1" thickTop="1" thickBot="1" x14ac:dyDescent="0.25">
      <c r="A308" s="345" t="s">
        <v>1334</v>
      </c>
      <c r="B308" s="345" t="s">
        <v>1335</v>
      </c>
      <c r="C308" s="345"/>
      <c r="D308" s="345" t="s">
        <v>1333</v>
      </c>
      <c r="E308" s="347">
        <f>E309</f>
        <v>0</v>
      </c>
      <c r="F308" s="347">
        <f t="shared" ref="F308:O308" si="352">F309</f>
        <v>0</v>
      </c>
      <c r="G308" s="347">
        <f t="shared" si="352"/>
        <v>0</v>
      </c>
      <c r="H308" s="347">
        <f t="shared" si="352"/>
        <v>0</v>
      </c>
      <c r="I308" s="347">
        <f t="shared" si="352"/>
        <v>0</v>
      </c>
      <c r="J308" s="347">
        <f t="shared" si="352"/>
        <v>0</v>
      </c>
      <c r="K308" s="347">
        <f t="shared" si="352"/>
        <v>0</v>
      </c>
      <c r="L308" s="347">
        <f t="shared" si="352"/>
        <v>0</v>
      </c>
      <c r="M308" s="347">
        <f t="shared" si="352"/>
        <v>0</v>
      </c>
      <c r="N308" s="347">
        <f t="shared" si="352"/>
        <v>0</v>
      </c>
      <c r="O308" s="347">
        <f t="shared" si="352"/>
        <v>0</v>
      </c>
      <c r="P308" s="347">
        <f t="shared" si="350"/>
        <v>0</v>
      </c>
      <c r="Q308" s="194"/>
      <c r="R308" s="195"/>
    </row>
    <row r="309" spans="1:18" s="658" customFormat="1" ht="93" hidden="1" thickTop="1" thickBot="1" x14ac:dyDescent="0.25">
      <c r="A309" s="808" t="s">
        <v>504</v>
      </c>
      <c r="B309" s="808" t="s">
        <v>440</v>
      </c>
      <c r="C309" s="808" t="s">
        <v>441</v>
      </c>
      <c r="D309" s="808" t="s">
        <v>442</v>
      </c>
      <c r="E309" s="804">
        <f>F309</f>
        <v>0</v>
      </c>
      <c r="F309" s="305">
        <f>-2093008+(2093008)</f>
        <v>0</v>
      </c>
      <c r="G309" s="305"/>
      <c r="H309" s="305"/>
      <c r="I309" s="305"/>
      <c r="J309" s="804">
        <f>L309+O309</f>
        <v>0</v>
      </c>
      <c r="K309" s="305"/>
      <c r="L309" s="305"/>
      <c r="M309" s="305"/>
      <c r="N309" s="305"/>
      <c r="O309" s="810">
        <f>K309</f>
        <v>0</v>
      </c>
      <c r="P309" s="804">
        <f>E309+J309</f>
        <v>0</v>
      </c>
      <c r="Q309" s="194"/>
      <c r="R309" s="195"/>
    </row>
    <row r="310" spans="1:18" s="411" customFormat="1" ht="138.75" thickTop="1" thickBot="1" x14ac:dyDescent="0.25">
      <c r="A310" s="345" t="s">
        <v>986</v>
      </c>
      <c r="B310" s="345" t="s">
        <v>987</v>
      </c>
      <c r="C310" s="345"/>
      <c r="D310" s="345" t="s">
        <v>988</v>
      </c>
      <c r="E310" s="347">
        <f>E311</f>
        <v>87142613</v>
      </c>
      <c r="F310" s="347">
        <f t="shared" si="350"/>
        <v>87142613</v>
      </c>
      <c r="G310" s="347">
        <f t="shared" si="350"/>
        <v>0</v>
      </c>
      <c r="H310" s="347">
        <f t="shared" si="350"/>
        <v>0</v>
      </c>
      <c r="I310" s="347">
        <f t="shared" si="350"/>
        <v>0</v>
      </c>
      <c r="J310" s="347">
        <f t="shared" si="350"/>
        <v>0</v>
      </c>
      <c r="K310" s="347">
        <f t="shared" si="350"/>
        <v>0</v>
      </c>
      <c r="L310" s="347">
        <f t="shared" si="350"/>
        <v>0</v>
      </c>
      <c r="M310" s="347">
        <f t="shared" si="350"/>
        <v>0</v>
      </c>
      <c r="N310" s="347">
        <f t="shared" si="350"/>
        <v>0</v>
      </c>
      <c r="O310" s="347">
        <f t="shared" si="350"/>
        <v>0</v>
      </c>
      <c r="P310" s="347">
        <f t="shared" si="350"/>
        <v>87142613</v>
      </c>
      <c r="Q310" s="194"/>
      <c r="R310" s="195"/>
    </row>
    <row r="311" spans="1:18" ht="93" thickTop="1" thickBot="1" x14ac:dyDescent="0.25">
      <c r="A311" s="808" t="s">
        <v>505</v>
      </c>
      <c r="B311" s="808" t="s">
        <v>309</v>
      </c>
      <c r="C311" s="808" t="s">
        <v>311</v>
      </c>
      <c r="D311" s="808" t="s">
        <v>310</v>
      </c>
      <c r="E311" s="804">
        <f>F311</f>
        <v>87142613</v>
      </c>
      <c r="F311" s="305">
        <f>-1500000+((54505073)+34137540)</f>
        <v>87142613</v>
      </c>
      <c r="G311" s="305"/>
      <c r="H311" s="305"/>
      <c r="I311" s="305"/>
      <c r="J311" s="804">
        <f>L311+O311</f>
        <v>0</v>
      </c>
      <c r="K311" s="305"/>
      <c r="L311" s="305"/>
      <c r="M311" s="305"/>
      <c r="N311" s="305"/>
      <c r="O311" s="810">
        <f>K311</f>
        <v>0</v>
      </c>
      <c r="P311" s="804">
        <f>E311+J311</f>
        <v>87142613</v>
      </c>
      <c r="Q311" s="194"/>
      <c r="R311" s="195"/>
    </row>
    <row r="312" spans="1:18" s="787" customFormat="1" ht="93" thickTop="1" thickBot="1" x14ac:dyDescent="0.25">
      <c r="A312" s="808" t="s">
        <v>1462</v>
      </c>
      <c r="B312" s="808" t="s">
        <v>1463</v>
      </c>
      <c r="C312" s="808" t="s">
        <v>314</v>
      </c>
      <c r="D312" s="808" t="s">
        <v>1461</v>
      </c>
      <c r="E312" s="804">
        <f>F312</f>
        <v>200000</v>
      </c>
      <c r="F312" s="305">
        <v>200000</v>
      </c>
      <c r="G312" s="305"/>
      <c r="H312" s="305"/>
      <c r="I312" s="305"/>
      <c r="J312" s="804">
        <f>L312+O312</f>
        <v>0</v>
      </c>
      <c r="K312" s="305"/>
      <c r="L312" s="305"/>
      <c r="M312" s="305"/>
      <c r="N312" s="305"/>
      <c r="O312" s="810">
        <f>K312</f>
        <v>0</v>
      </c>
      <c r="P312" s="804">
        <f>E312+J312</f>
        <v>200000</v>
      </c>
      <c r="Q312" s="194"/>
      <c r="R312" s="195"/>
    </row>
    <row r="313" spans="1:18" ht="136.5" thickTop="1" thickBot="1" x14ac:dyDescent="0.25">
      <c r="A313" s="825" t="s">
        <v>180</v>
      </c>
      <c r="B313" s="825"/>
      <c r="C313" s="825"/>
      <c r="D313" s="826" t="s">
        <v>380</v>
      </c>
      <c r="E313" s="827">
        <f>E314</f>
        <v>11386858.41</v>
      </c>
      <c r="F313" s="828">
        <f t="shared" ref="F313:G313" si="353">F314</f>
        <v>11386858.41</v>
      </c>
      <c r="G313" s="828">
        <f t="shared" si="353"/>
        <v>0</v>
      </c>
      <c r="H313" s="828">
        <f>H314</f>
        <v>0</v>
      </c>
      <c r="I313" s="828">
        <f t="shared" ref="I313" si="354">I314</f>
        <v>0</v>
      </c>
      <c r="J313" s="827">
        <f>J314</f>
        <v>1569885</v>
      </c>
      <c r="K313" s="828">
        <f>K314</f>
        <v>1569885</v>
      </c>
      <c r="L313" s="828">
        <f>L314</f>
        <v>0</v>
      </c>
      <c r="M313" s="828">
        <f t="shared" ref="M313" si="355">M314</f>
        <v>0</v>
      </c>
      <c r="N313" s="828">
        <f>N314</f>
        <v>0</v>
      </c>
      <c r="O313" s="827">
        <f>O314</f>
        <v>1569885</v>
      </c>
      <c r="P313" s="828">
        <f t="shared" ref="P313" si="356">P314</f>
        <v>12956743.41</v>
      </c>
    </row>
    <row r="314" spans="1:18" ht="136.5" thickTop="1" thickBot="1" x14ac:dyDescent="0.25">
      <c r="A314" s="829" t="s">
        <v>181</v>
      </c>
      <c r="B314" s="829"/>
      <c r="C314" s="829"/>
      <c r="D314" s="830" t="s">
        <v>381</v>
      </c>
      <c r="E314" s="831">
        <f>E315+E323</f>
        <v>11386858.41</v>
      </c>
      <c r="F314" s="831">
        <f>F315+F323</f>
        <v>11386858.41</v>
      </c>
      <c r="G314" s="831">
        <f t="shared" ref="G314:K314" si="357">G315+G323</f>
        <v>0</v>
      </c>
      <c r="H314" s="831">
        <f t="shared" si="357"/>
        <v>0</v>
      </c>
      <c r="I314" s="831">
        <f t="shared" si="357"/>
        <v>0</v>
      </c>
      <c r="J314" s="831">
        <f t="shared" ref="J314:J322" si="358">L314+O314</f>
        <v>1569885</v>
      </c>
      <c r="K314" s="831">
        <f t="shared" si="357"/>
        <v>1569885</v>
      </c>
      <c r="L314" s="831">
        <f t="shared" ref="L314" si="359">L315+L323</f>
        <v>0</v>
      </c>
      <c r="M314" s="831">
        <f t="shared" ref="M314" si="360">M315+M323</f>
        <v>0</v>
      </c>
      <c r="N314" s="831">
        <f t="shared" ref="N314" si="361">N315+N323</f>
        <v>0</v>
      </c>
      <c r="O314" s="831">
        <f t="shared" ref="O314" si="362">O315+O323</f>
        <v>1569885</v>
      </c>
      <c r="P314" s="831">
        <f t="shared" ref="P314:P322" si="363">E314+J314</f>
        <v>12956743.41</v>
      </c>
      <c r="Q314" s="125" t="b">
        <f>P314=P319+P320+P322+P325+P317</f>
        <v>1</v>
      </c>
      <c r="R314" s="234" t="b">
        <f>K314='d6'!J313</f>
        <v>1</v>
      </c>
    </row>
    <row r="315" spans="1:18" s="411" customFormat="1" ht="47.25" thickTop="1" thickBot="1" x14ac:dyDescent="0.25">
      <c r="A315" s="422" t="s">
        <v>989</v>
      </c>
      <c r="B315" s="422" t="s">
        <v>905</v>
      </c>
      <c r="C315" s="808"/>
      <c r="D315" s="422" t="s">
        <v>952</v>
      </c>
      <c r="E315" s="435">
        <f t="shared" ref="E315:P315" si="364">E318+E316</f>
        <v>9346858.4100000001</v>
      </c>
      <c r="F315" s="435">
        <f t="shared" si="364"/>
        <v>9346858.4100000001</v>
      </c>
      <c r="G315" s="435">
        <f t="shared" si="364"/>
        <v>0</v>
      </c>
      <c r="H315" s="435">
        <f t="shared" si="364"/>
        <v>0</v>
      </c>
      <c r="I315" s="435">
        <f t="shared" si="364"/>
        <v>0</v>
      </c>
      <c r="J315" s="435">
        <f t="shared" si="364"/>
        <v>209885</v>
      </c>
      <c r="K315" s="435">
        <f t="shared" si="364"/>
        <v>209885</v>
      </c>
      <c r="L315" s="435">
        <f t="shared" si="364"/>
        <v>0</v>
      </c>
      <c r="M315" s="435">
        <f t="shared" si="364"/>
        <v>0</v>
      </c>
      <c r="N315" s="435">
        <f t="shared" si="364"/>
        <v>0</v>
      </c>
      <c r="O315" s="435">
        <f t="shared" si="364"/>
        <v>209885</v>
      </c>
      <c r="P315" s="435">
        <f t="shared" si="364"/>
        <v>9556743.4100000001</v>
      </c>
      <c r="Q315" s="125"/>
      <c r="R315" s="234"/>
    </row>
    <row r="316" spans="1:18" s="658" customFormat="1" ht="91.5" thickTop="1" thickBot="1" x14ac:dyDescent="0.25">
      <c r="A316" s="379" t="s">
        <v>1331</v>
      </c>
      <c r="B316" s="379" t="s">
        <v>961</v>
      </c>
      <c r="C316" s="379"/>
      <c r="D316" s="379" t="s">
        <v>962</v>
      </c>
      <c r="E316" s="436">
        <f>E317</f>
        <v>24357</v>
      </c>
      <c r="F316" s="436">
        <f>F317</f>
        <v>24357</v>
      </c>
      <c r="G316" s="436">
        <f t="shared" ref="G316:O316" si="365">G317</f>
        <v>0</v>
      </c>
      <c r="H316" s="436">
        <f t="shared" si="365"/>
        <v>0</v>
      </c>
      <c r="I316" s="436">
        <f t="shared" si="365"/>
        <v>0</v>
      </c>
      <c r="J316" s="436">
        <f t="shared" si="365"/>
        <v>0</v>
      </c>
      <c r="K316" s="436">
        <f t="shared" si="365"/>
        <v>0</v>
      </c>
      <c r="L316" s="436">
        <f t="shared" si="365"/>
        <v>0</v>
      </c>
      <c r="M316" s="436">
        <f t="shared" si="365"/>
        <v>0</v>
      </c>
      <c r="N316" s="436">
        <f t="shared" si="365"/>
        <v>0</v>
      </c>
      <c r="O316" s="436">
        <f t="shared" si="365"/>
        <v>0</v>
      </c>
      <c r="P316" s="436">
        <f>P317</f>
        <v>24357</v>
      </c>
      <c r="Q316" s="125"/>
      <c r="R316" s="234"/>
    </row>
    <row r="317" spans="1:18" s="658" customFormat="1" ht="138.75" thickTop="1" thickBot="1" x14ac:dyDescent="0.25">
      <c r="A317" s="808" t="s">
        <v>1332</v>
      </c>
      <c r="B317" s="808" t="s">
        <v>376</v>
      </c>
      <c r="C317" s="808" t="s">
        <v>184</v>
      </c>
      <c r="D317" s="808" t="s">
        <v>280</v>
      </c>
      <c r="E317" s="804">
        <f t="shared" ref="E317" si="366">F317</f>
        <v>24357</v>
      </c>
      <c r="F317" s="305">
        <f>-45643+(70000)</f>
        <v>24357</v>
      </c>
      <c r="G317" s="305"/>
      <c r="H317" s="305"/>
      <c r="I317" s="305"/>
      <c r="J317" s="804">
        <f t="shared" ref="J317" si="367">L317+O317</f>
        <v>0</v>
      </c>
      <c r="K317" s="305"/>
      <c r="L317" s="305"/>
      <c r="M317" s="305"/>
      <c r="N317" s="305"/>
      <c r="O317" s="810">
        <f>K317</f>
        <v>0</v>
      </c>
      <c r="P317" s="804">
        <f t="shared" ref="P317" si="368">E317+J317</f>
        <v>24357</v>
      </c>
      <c r="Q317" s="125"/>
      <c r="R317" s="234"/>
    </row>
    <row r="318" spans="1:18" s="411" customFormat="1" ht="136.5" thickTop="1" thickBot="1" x14ac:dyDescent="0.25">
      <c r="A318" s="379" t="s">
        <v>990</v>
      </c>
      <c r="B318" s="379" t="s">
        <v>847</v>
      </c>
      <c r="C318" s="379"/>
      <c r="D318" s="379" t="s">
        <v>845</v>
      </c>
      <c r="E318" s="436">
        <f>SUM(E319:E322)-E321</f>
        <v>9322501.4100000001</v>
      </c>
      <c r="F318" s="436">
        <f t="shared" ref="F318:P318" si="369">SUM(F319:F322)-F321</f>
        <v>9322501.4100000001</v>
      </c>
      <c r="G318" s="436">
        <f t="shared" si="369"/>
        <v>0</v>
      </c>
      <c r="H318" s="436">
        <f t="shared" si="369"/>
        <v>0</v>
      </c>
      <c r="I318" s="436">
        <f t="shared" si="369"/>
        <v>0</v>
      </c>
      <c r="J318" s="436">
        <f t="shared" si="369"/>
        <v>209885</v>
      </c>
      <c r="K318" s="436">
        <f t="shared" si="369"/>
        <v>209885</v>
      </c>
      <c r="L318" s="436">
        <f t="shared" si="369"/>
        <v>0</v>
      </c>
      <c r="M318" s="436">
        <f t="shared" si="369"/>
        <v>0</v>
      </c>
      <c r="N318" s="436">
        <f t="shared" si="369"/>
        <v>0</v>
      </c>
      <c r="O318" s="436">
        <f t="shared" si="369"/>
        <v>209885</v>
      </c>
      <c r="P318" s="436">
        <f t="shared" si="369"/>
        <v>9532386.4100000001</v>
      </c>
      <c r="Q318" s="125"/>
      <c r="R318" s="234"/>
    </row>
    <row r="319" spans="1:18" ht="93" thickTop="1" thickBot="1" x14ac:dyDescent="0.25">
      <c r="A319" s="808" t="s">
        <v>278</v>
      </c>
      <c r="B319" s="808" t="s">
        <v>279</v>
      </c>
      <c r="C319" s="808" t="s">
        <v>277</v>
      </c>
      <c r="D319" s="808" t="s">
        <v>276</v>
      </c>
      <c r="E319" s="804">
        <f t="shared" ref="E319:E322" si="370">F319</f>
        <v>3702230</v>
      </c>
      <c r="F319" s="305">
        <f>-750000+(-150000+(-490000+300000+((5588200)-795970)))</f>
        <v>3702230</v>
      </c>
      <c r="G319" s="305"/>
      <c r="H319" s="305"/>
      <c r="I319" s="305"/>
      <c r="J319" s="804">
        <f t="shared" si="358"/>
        <v>0</v>
      </c>
      <c r="K319" s="305"/>
      <c r="L319" s="305"/>
      <c r="M319" s="305"/>
      <c r="N319" s="305"/>
      <c r="O319" s="810">
        <f>K319</f>
        <v>0</v>
      </c>
      <c r="P319" s="804">
        <f t="shared" si="363"/>
        <v>3702230</v>
      </c>
      <c r="R319" s="234"/>
    </row>
    <row r="320" spans="1:18" ht="138.75" thickTop="1" thickBot="1" x14ac:dyDescent="0.25">
      <c r="A320" s="808" t="s">
        <v>270</v>
      </c>
      <c r="B320" s="808" t="s">
        <v>272</v>
      </c>
      <c r="C320" s="808" t="s">
        <v>231</v>
      </c>
      <c r="D320" s="808" t="s">
        <v>271</v>
      </c>
      <c r="E320" s="804">
        <f t="shared" si="370"/>
        <v>1235000</v>
      </c>
      <c r="F320" s="305">
        <f>(745000)+490000</f>
        <v>1235000</v>
      </c>
      <c r="G320" s="305"/>
      <c r="H320" s="305"/>
      <c r="I320" s="305"/>
      <c r="J320" s="804">
        <f t="shared" si="358"/>
        <v>0</v>
      </c>
      <c r="K320" s="305"/>
      <c r="L320" s="305"/>
      <c r="M320" s="305"/>
      <c r="N320" s="305"/>
      <c r="O320" s="810">
        <f>K320</f>
        <v>0</v>
      </c>
      <c r="P320" s="804">
        <f t="shared" si="363"/>
        <v>1235000</v>
      </c>
      <c r="R320" s="234"/>
    </row>
    <row r="321" spans="1:18" s="411" customFormat="1" ht="48" thickTop="1" thickBot="1" x14ac:dyDescent="0.25">
      <c r="A321" s="345" t="s">
        <v>991</v>
      </c>
      <c r="B321" s="345" t="s">
        <v>850</v>
      </c>
      <c r="C321" s="345"/>
      <c r="D321" s="345" t="s">
        <v>848</v>
      </c>
      <c r="E321" s="347">
        <f>E322</f>
        <v>4385271.41</v>
      </c>
      <c r="F321" s="347">
        <f t="shared" ref="F321:P321" si="371">F322</f>
        <v>4385271.41</v>
      </c>
      <c r="G321" s="347">
        <f t="shared" si="371"/>
        <v>0</v>
      </c>
      <c r="H321" s="347">
        <f t="shared" si="371"/>
        <v>0</v>
      </c>
      <c r="I321" s="347">
        <f t="shared" si="371"/>
        <v>0</v>
      </c>
      <c r="J321" s="347">
        <f t="shared" si="371"/>
        <v>209885</v>
      </c>
      <c r="K321" s="347">
        <f t="shared" si="371"/>
        <v>209885</v>
      </c>
      <c r="L321" s="347">
        <f t="shared" si="371"/>
        <v>0</v>
      </c>
      <c r="M321" s="347">
        <f t="shared" si="371"/>
        <v>0</v>
      </c>
      <c r="N321" s="347">
        <f t="shared" si="371"/>
        <v>0</v>
      </c>
      <c r="O321" s="347">
        <f t="shared" si="371"/>
        <v>209885</v>
      </c>
      <c r="P321" s="347">
        <f t="shared" si="371"/>
        <v>4595156.41</v>
      </c>
      <c r="Q321" s="413"/>
      <c r="R321" s="234"/>
    </row>
    <row r="322" spans="1:18" ht="93" thickTop="1" thickBot="1" x14ac:dyDescent="0.25">
      <c r="A322" s="808" t="s">
        <v>274</v>
      </c>
      <c r="B322" s="808" t="s">
        <v>275</v>
      </c>
      <c r="C322" s="808" t="s">
        <v>184</v>
      </c>
      <c r="D322" s="808" t="s">
        <v>273</v>
      </c>
      <c r="E322" s="804">
        <f t="shared" si="370"/>
        <v>4385271.41</v>
      </c>
      <c r="F322" s="305">
        <f>500000+1500000+(30296+105938+(800000+2049580)-1600542.59+300000+700000)</f>
        <v>4385271.41</v>
      </c>
      <c r="G322" s="305"/>
      <c r="H322" s="305"/>
      <c r="I322" s="305"/>
      <c r="J322" s="804">
        <f t="shared" si="358"/>
        <v>209885</v>
      </c>
      <c r="K322" s="305">
        <f>(400000)-190115</f>
        <v>209885</v>
      </c>
      <c r="L322" s="305"/>
      <c r="M322" s="305"/>
      <c r="N322" s="305"/>
      <c r="O322" s="810">
        <f>K322</f>
        <v>209885</v>
      </c>
      <c r="P322" s="804">
        <f t="shared" si="363"/>
        <v>4595156.41</v>
      </c>
      <c r="R322" s="234" t="b">
        <f>K322='d6'!J314</f>
        <v>1</v>
      </c>
    </row>
    <row r="323" spans="1:18" s="475" customFormat="1" ht="47.25" thickTop="1" thickBot="1" x14ac:dyDescent="0.25">
      <c r="A323" s="422" t="s">
        <v>1099</v>
      </c>
      <c r="B323" s="422" t="s">
        <v>858</v>
      </c>
      <c r="C323" s="422"/>
      <c r="D323" s="422" t="s">
        <v>859</v>
      </c>
      <c r="E323" s="804">
        <f>E324</f>
        <v>2040000</v>
      </c>
      <c r="F323" s="804">
        <f t="shared" ref="F323:P324" si="372">F324</f>
        <v>2040000</v>
      </c>
      <c r="G323" s="804">
        <f t="shared" si="372"/>
        <v>0</v>
      </c>
      <c r="H323" s="804">
        <f t="shared" si="372"/>
        <v>0</v>
      </c>
      <c r="I323" s="804">
        <f t="shared" si="372"/>
        <v>0</v>
      </c>
      <c r="J323" s="804">
        <f t="shared" si="372"/>
        <v>1360000</v>
      </c>
      <c r="K323" s="804">
        <f t="shared" si="372"/>
        <v>1360000</v>
      </c>
      <c r="L323" s="804">
        <f t="shared" si="372"/>
        <v>0</v>
      </c>
      <c r="M323" s="804">
        <f t="shared" si="372"/>
        <v>0</v>
      </c>
      <c r="N323" s="804">
        <f t="shared" si="372"/>
        <v>0</v>
      </c>
      <c r="O323" s="804">
        <f t="shared" si="372"/>
        <v>1360000</v>
      </c>
      <c r="P323" s="804">
        <f t="shared" si="372"/>
        <v>3400000</v>
      </c>
      <c r="Q323" s="479"/>
      <c r="R323" s="234"/>
    </row>
    <row r="324" spans="1:18" s="475" customFormat="1" ht="271.5" thickTop="1" thickBot="1" x14ac:dyDescent="0.25">
      <c r="A324" s="379" t="s">
        <v>1100</v>
      </c>
      <c r="B324" s="379" t="s">
        <v>861</v>
      </c>
      <c r="C324" s="379"/>
      <c r="D324" s="379" t="s">
        <v>862</v>
      </c>
      <c r="E324" s="346">
        <f>E325</f>
        <v>2040000</v>
      </c>
      <c r="F324" s="346">
        <f t="shared" si="372"/>
        <v>2040000</v>
      </c>
      <c r="G324" s="346">
        <f t="shared" si="372"/>
        <v>0</v>
      </c>
      <c r="H324" s="346">
        <f t="shared" si="372"/>
        <v>0</v>
      </c>
      <c r="I324" s="346">
        <f t="shared" si="372"/>
        <v>0</v>
      </c>
      <c r="J324" s="346">
        <f t="shared" si="372"/>
        <v>1360000</v>
      </c>
      <c r="K324" s="346">
        <f t="shared" si="372"/>
        <v>1360000</v>
      </c>
      <c r="L324" s="346">
        <f t="shared" si="372"/>
        <v>0</v>
      </c>
      <c r="M324" s="346">
        <f t="shared" si="372"/>
        <v>0</v>
      </c>
      <c r="N324" s="346">
        <f t="shared" si="372"/>
        <v>0</v>
      </c>
      <c r="O324" s="346">
        <f t="shared" si="372"/>
        <v>1360000</v>
      </c>
      <c r="P324" s="346">
        <f t="shared" si="372"/>
        <v>3400000</v>
      </c>
      <c r="Q324" s="479"/>
      <c r="R324" s="234"/>
    </row>
    <row r="325" spans="1:18" s="475" customFormat="1" ht="93" thickTop="1" thickBot="1" x14ac:dyDescent="0.25">
      <c r="A325" s="808" t="s">
        <v>1101</v>
      </c>
      <c r="B325" s="808" t="s">
        <v>389</v>
      </c>
      <c r="C325" s="808" t="s">
        <v>45</v>
      </c>
      <c r="D325" s="808" t="s">
        <v>390</v>
      </c>
      <c r="E325" s="804">
        <f t="shared" ref="E325" si="373">F325</f>
        <v>2040000</v>
      </c>
      <c r="F325" s="305">
        <f>((700000)+1000000)+340000</f>
        <v>2040000</v>
      </c>
      <c r="G325" s="305"/>
      <c r="H325" s="305"/>
      <c r="I325" s="305"/>
      <c r="J325" s="804">
        <f>L325+O325</f>
        <v>1360000</v>
      </c>
      <c r="K325" s="305">
        <f>(1000000)+700000-340000</f>
        <v>1360000</v>
      </c>
      <c r="L325" s="305"/>
      <c r="M325" s="305"/>
      <c r="N325" s="305"/>
      <c r="O325" s="810">
        <f>K325</f>
        <v>1360000</v>
      </c>
      <c r="P325" s="804">
        <f>E325+J325</f>
        <v>3400000</v>
      </c>
      <c r="Q325" s="479"/>
      <c r="R325" s="234" t="b">
        <f>K325='d6'!J315</f>
        <v>1</v>
      </c>
    </row>
    <row r="326" spans="1:18" ht="226.5" thickTop="1" thickBot="1" x14ac:dyDescent="0.25">
      <c r="A326" s="825" t="s">
        <v>178</v>
      </c>
      <c r="B326" s="825"/>
      <c r="C326" s="825"/>
      <c r="D326" s="826" t="s">
        <v>1058</v>
      </c>
      <c r="E326" s="827">
        <f>E327</f>
        <v>5912885</v>
      </c>
      <c r="F326" s="828">
        <f t="shared" ref="F326:G326" si="374">F327</f>
        <v>5912885</v>
      </c>
      <c r="G326" s="828">
        <f t="shared" si="374"/>
        <v>4635055</v>
      </c>
      <c r="H326" s="828">
        <f>H327</f>
        <v>89200</v>
      </c>
      <c r="I326" s="828">
        <f t="shared" ref="I326" si="375">I327</f>
        <v>0</v>
      </c>
      <c r="J326" s="827">
        <f>J327</f>
        <v>3249138.96</v>
      </c>
      <c r="K326" s="828">
        <f>K327</f>
        <v>64000</v>
      </c>
      <c r="L326" s="828">
        <f>L327</f>
        <v>1485138.96</v>
      </c>
      <c r="M326" s="828">
        <f t="shared" ref="M326" si="376">M327</f>
        <v>0</v>
      </c>
      <c r="N326" s="828">
        <f>N327</f>
        <v>0</v>
      </c>
      <c r="O326" s="827">
        <f>O327</f>
        <v>1764000</v>
      </c>
      <c r="P326" s="828">
        <f t="shared" ref="P326" si="377">P327</f>
        <v>9162023.9600000009</v>
      </c>
    </row>
    <row r="327" spans="1:18" ht="226.5" thickTop="1" thickBot="1" x14ac:dyDescent="0.25">
      <c r="A327" s="829" t="s">
        <v>179</v>
      </c>
      <c r="B327" s="829"/>
      <c r="C327" s="829"/>
      <c r="D327" s="830" t="s">
        <v>1057</v>
      </c>
      <c r="E327" s="831">
        <f>E328+E331</f>
        <v>5912885</v>
      </c>
      <c r="F327" s="831">
        <f t="shared" ref="F327:I327" si="378">F328+F331</f>
        <v>5912885</v>
      </c>
      <c r="G327" s="831">
        <f t="shared" si="378"/>
        <v>4635055</v>
      </c>
      <c r="H327" s="831">
        <f t="shared" si="378"/>
        <v>89200</v>
      </c>
      <c r="I327" s="831">
        <f t="shared" si="378"/>
        <v>0</v>
      </c>
      <c r="J327" s="831">
        <f>L327+O327</f>
        <v>3249138.96</v>
      </c>
      <c r="K327" s="831">
        <f t="shared" ref="K327:O327" si="379">K328+K331</f>
        <v>64000</v>
      </c>
      <c r="L327" s="831">
        <f t="shared" si="379"/>
        <v>1485138.96</v>
      </c>
      <c r="M327" s="831">
        <f t="shared" si="379"/>
        <v>0</v>
      </c>
      <c r="N327" s="831">
        <f t="shared" si="379"/>
        <v>0</v>
      </c>
      <c r="O327" s="831">
        <f t="shared" si="379"/>
        <v>1764000</v>
      </c>
      <c r="P327" s="831">
        <f t="shared" ref="P327:P337" si="380">E327+J327</f>
        <v>9162023.9600000009</v>
      </c>
      <c r="Q327" s="125" t="b">
        <f>P327=P334+P337+P329+P335+P336+P330</f>
        <v>1</v>
      </c>
      <c r="R327" s="234" t="b">
        <f>K327='d6'!J316</f>
        <v>1</v>
      </c>
    </row>
    <row r="328" spans="1:18" s="411" customFormat="1" ht="47.25" thickTop="1" thickBot="1" x14ac:dyDescent="0.25">
      <c r="A328" s="422" t="s">
        <v>992</v>
      </c>
      <c r="B328" s="422" t="s">
        <v>840</v>
      </c>
      <c r="C328" s="422"/>
      <c r="D328" s="422" t="s">
        <v>841</v>
      </c>
      <c r="E328" s="804">
        <f>SUM(E329:E330)</f>
        <v>5912885</v>
      </c>
      <c r="F328" s="804">
        <f t="shared" ref="F328" si="381">SUM(F329:F330)</f>
        <v>5912885</v>
      </c>
      <c r="G328" s="804">
        <f t="shared" ref="G328" si="382">SUM(G329:G330)</f>
        <v>4635055</v>
      </c>
      <c r="H328" s="804">
        <f t="shared" ref="H328" si="383">SUM(H329:H330)</f>
        <v>89200</v>
      </c>
      <c r="I328" s="804">
        <f t="shared" ref="I328" si="384">SUM(I329:I330)</f>
        <v>0</v>
      </c>
      <c r="J328" s="804">
        <f t="shared" ref="J328" si="385">SUM(J329:J330)</f>
        <v>64000</v>
      </c>
      <c r="K328" s="804">
        <f t="shared" ref="K328" si="386">SUM(K329:K330)</f>
        <v>64000</v>
      </c>
      <c r="L328" s="804">
        <f t="shared" ref="L328" si="387">SUM(L329:L330)</f>
        <v>0</v>
      </c>
      <c r="M328" s="804">
        <f t="shared" ref="M328" si="388">SUM(M329:M330)</f>
        <v>0</v>
      </c>
      <c r="N328" s="804">
        <f t="shared" ref="N328" si="389">SUM(N329:N330)</f>
        <v>0</v>
      </c>
      <c r="O328" s="804">
        <f>SUM(O329:O330)</f>
        <v>64000</v>
      </c>
      <c r="P328" s="804">
        <f t="shared" ref="P328" si="390">SUM(P329:P330)</f>
        <v>5976885</v>
      </c>
      <c r="Q328" s="125"/>
      <c r="R328" s="234"/>
    </row>
    <row r="329" spans="1:18" s="99" customFormat="1" ht="230.25" thickTop="1" thickBot="1" x14ac:dyDescent="0.25">
      <c r="A329" s="808" t="s">
        <v>450</v>
      </c>
      <c r="B329" s="808" t="s">
        <v>254</v>
      </c>
      <c r="C329" s="808" t="s">
        <v>252</v>
      </c>
      <c r="D329" s="808" t="s">
        <v>253</v>
      </c>
      <c r="E329" s="804">
        <f>F329</f>
        <v>5907885</v>
      </c>
      <c r="F329" s="305">
        <f>67000+(-40000-84000-10000-4500+(5984385-5000))</f>
        <v>5907885</v>
      </c>
      <c r="G329" s="305">
        <f>67000+(-40000+(4608055))</f>
        <v>4635055</v>
      </c>
      <c r="H329" s="305">
        <f>-10000-4500+(70880+8160+21000+3660)</f>
        <v>89200</v>
      </c>
      <c r="I329" s="305"/>
      <c r="J329" s="804">
        <f t="shared" ref="J329:J337" si="391">L329+O329</f>
        <v>64000</v>
      </c>
      <c r="K329" s="305">
        <f>(18000)+46000</f>
        <v>64000</v>
      </c>
      <c r="L329" s="305"/>
      <c r="M329" s="305"/>
      <c r="N329" s="305"/>
      <c r="O329" s="810">
        <f>K329</f>
        <v>64000</v>
      </c>
      <c r="P329" s="804">
        <f t="shared" si="380"/>
        <v>5971885</v>
      </c>
      <c r="Q329" s="254"/>
      <c r="R329" s="234" t="b">
        <f>K329='d6'!J318</f>
        <v>1</v>
      </c>
    </row>
    <row r="330" spans="1:18" s="99" customFormat="1" ht="184.5" thickTop="1" thickBot="1" x14ac:dyDescent="0.25">
      <c r="A330" s="808" t="s">
        <v>788</v>
      </c>
      <c r="B330" s="808" t="s">
        <v>388</v>
      </c>
      <c r="C330" s="808" t="s">
        <v>775</v>
      </c>
      <c r="D330" s="808" t="s">
        <v>776</v>
      </c>
      <c r="E330" s="313">
        <f>F330</f>
        <v>5000</v>
      </c>
      <c r="F330" s="167">
        <v>5000</v>
      </c>
      <c r="G330" s="167"/>
      <c r="H330" s="167"/>
      <c r="I330" s="167"/>
      <c r="J330" s="804">
        <f t="shared" si="391"/>
        <v>0</v>
      </c>
      <c r="K330" s="167"/>
      <c r="L330" s="761"/>
      <c r="M330" s="761"/>
      <c r="N330" s="761"/>
      <c r="O330" s="810">
        <f t="shared" ref="O330" si="392">K330</f>
        <v>0</v>
      </c>
      <c r="P330" s="804">
        <f t="shared" ref="P330" si="393">+J330+E330</f>
        <v>5000</v>
      </c>
      <c r="Q330" s="254"/>
      <c r="R330" s="234"/>
    </row>
    <row r="331" spans="1:18" s="99" customFormat="1" ht="47.25" thickTop="1" thickBot="1" x14ac:dyDescent="0.25">
      <c r="A331" s="422" t="s">
        <v>993</v>
      </c>
      <c r="B331" s="422" t="s">
        <v>852</v>
      </c>
      <c r="C331" s="422"/>
      <c r="D331" s="422" t="s">
        <v>853</v>
      </c>
      <c r="E331" s="313">
        <f>E332</f>
        <v>0</v>
      </c>
      <c r="F331" s="313">
        <f t="shared" ref="F331:P331" si="394">F332</f>
        <v>0</v>
      </c>
      <c r="G331" s="313">
        <f t="shared" si="394"/>
        <v>0</v>
      </c>
      <c r="H331" s="313">
        <f t="shared" si="394"/>
        <v>0</v>
      </c>
      <c r="I331" s="313">
        <f t="shared" si="394"/>
        <v>0</v>
      </c>
      <c r="J331" s="313">
        <f t="shared" si="394"/>
        <v>3185138.96</v>
      </c>
      <c r="K331" s="313">
        <f t="shared" si="394"/>
        <v>0</v>
      </c>
      <c r="L331" s="313">
        <f t="shared" si="394"/>
        <v>1485138.96</v>
      </c>
      <c r="M331" s="313">
        <f t="shared" si="394"/>
        <v>0</v>
      </c>
      <c r="N331" s="313">
        <f t="shared" si="394"/>
        <v>0</v>
      </c>
      <c r="O331" s="313">
        <f t="shared" si="394"/>
        <v>1700000</v>
      </c>
      <c r="P331" s="313">
        <f t="shared" si="394"/>
        <v>3185138.96</v>
      </c>
      <c r="Q331" s="254"/>
      <c r="R331" s="234"/>
    </row>
    <row r="332" spans="1:18" s="99" customFormat="1" ht="91.5" thickTop="1" thickBot="1" x14ac:dyDescent="0.25">
      <c r="A332" s="379" t="s">
        <v>994</v>
      </c>
      <c r="B332" s="379" t="s">
        <v>995</v>
      </c>
      <c r="C332" s="379"/>
      <c r="D332" s="379" t="s">
        <v>996</v>
      </c>
      <c r="E332" s="429">
        <f>SUM(E333:E337)-E333</f>
        <v>0</v>
      </c>
      <c r="F332" s="429">
        <f t="shared" ref="F332:P332" si="395">SUM(F333:F337)-F333</f>
        <v>0</v>
      </c>
      <c r="G332" s="429">
        <f t="shared" si="395"/>
        <v>0</v>
      </c>
      <c r="H332" s="429">
        <f t="shared" si="395"/>
        <v>0</v>
      </c>
      <c r="I332" s="429">
        <f t="shared" si="395"/>
        <v>0</v>
      </c>
      <c r="J332" s="429">
        <f t="shared" si="395"/>
        <v>3185138.96</v>
      </c>
      <c r="K332" s="429">
        <f t="shared" si="395"/>
        <v>0</v>
      </c>
      <c r="L332" s="429">
        <f t="shared" si="395"/>
        <v>1485138.96</v>
      </c>
      <c r="M332" s="429">
        <f t="shared" si="395"/>
        <v>0</v>
      </c>
      <c r="N332" s="429">
        <f t="shared" si="395"/>
        <v>0</v>
      </c>
      <c r="O332" s="429">
        <f t="shared" si="395"/>
        <v>1700000</v>
      </c>
      <c r="P332" s="429">
        <f t="shared" si="395"/>
        <v>3185138.96</v>
      </c>
      <c r="Q332" s="254"/>
      <c r="R332" s="234"/>
    </row>
    <row r="333" spans="1:18" s="99" customFormat="1" ht="138.75" thickTop="1" thickBot="1" x14ac:dyDescent="0.25">
      <c r="A333" s="345" t="s">
        <v>997</v>
      </c>
      <c r="B333" s="345" t="s">
        <v>998</v>
      </c>
      <c r="C333" s="345"/>
      <c r="D333" s="345" t="s">
        <v>999</v>
      </c>
      <c r="E333" s="430">
        <f>SUM(E334:E335)</f>
        <v>0</v>
      </c>
      <c r="F333" s="430">
        <f t="shared" ref="F333:P333" si="396">SUM(F334:F335)</f>
        <v>0</v>
      </c>
      <c r="G333" s="430">
        <f t="shared" si="396"/>
        <v>0</v>
      </c>
      <c r="H333" s="430">
        <f t="shared" si="396"/>
        <v>0</v>
      </c>
      <c r="I333" s="430">
        <f t="shared" si="396"/>
        <v>0</v>
      </c>
      <c r="J333" s="430">
        <f t="shared" si="396"/>
        <v>765138.96</v>
      </c>
      <c r="K333" s="430">
        <f t="shared" si="396"/>
        <v>0</v>
      </c>
      <c r="L333" s="430">
        <f t="shared" si="396"/>
        <v>765138.96</v>
      </c>
      <c r="M333" s="430">
        <f t="shared" si="396"/>
        <v>0</v>
      </c>
      <c r="N333" s="430">
        <f t="shared" si="396"/>
        <v>0</v>
      </c>
      <c r="O333" s="430">
        <f t="shared" si="396"/>
        <v>0</v>
      </c>
      <c r="P333" s="430">
        <f t="shared" si="396"/>
        <v>765138.96</v>
      </c>
      <c r="Q333" s="254"/>
      <c r="R333" s="234"/>
    </row>
    <row r="334" spans="1:18" s="99" customFormat="1" ht="138.75" thickTop="1" thickBot="1" x14ac:dyDescent="0.25">
      <c r="A334" s="808" t="s">
        <v>328</v>
      </c>
      <c r="B334" s="808" t="s">
        <v>329</v>
      </c>
      <c r="C334" s="808" t="s">
        <v>54</v>
      </c>
      <c r="D334" s="808" t="s">
        <v>55</v>
      </c>
      <c r="E334" s="804">
        <f t="shared" ref="E334:E336" si="397">F334</f>
        <v>0</v>
      </c>
      <c r="F334" s="305"/>
      <c r="G334" s="305"/>
      <c r="H334" s="305"/>
      <c r="I334" s="305"/>
      <c r="J334" s="804">
        <f t="shared" si="391"/>
        <v>403900</v>
      </c>
      <c r="K334" s="305"/>
      <c r="L334" s="305">
        <f>(248900)+155000</f>
        <v>403900</v>
      </c>
      <c r="M334" s="305"/>
      <c r="N334" s="305"/>
      <c r="O334" s="810">
        <f t="shared" ref="O334:O335" si="398">K334</f>
        <v>0</v>
      </c>
      <c r="P334" s="804">
        <f t="shared" si="380"/>
        <v>403900</v>
      </c>
      <c r="Q334" s="125" t="b">
        <f>J334='d9'!F13+'d9'!F14+'d9'!F15+'d9'!F16</f>
        <v>1</v>
      </c>
      <c r="R334" s="198"/>
    </row>
    <row r="335" spans="1:18" s="99" customFormat="1" ht="48" thickTop="1" thickBot="1" x14ac:dyDescent="0.25">
      <c r="A335" s="808" t="s">
        <v>508</v>
      </c>
      <c r="B335" s="808" t="s">
        <v>509</v>
      </c>
      <c r="C335" s="808" t="s">
        <v>507</v>
      </c>
      <c r="D335" s="808" t="s">
        <v>510</v>
      </c>
      <c r="E335" s="804">
        <f t="shared" si="397"/>
        <v>0</v>
      </c>
      <c r="F335" s="305"/>
      <c r="G335" s="305"/>
      <c r="H335" s="305"/>
      <c r="I335" s="305"/>
      <c r="J335" s="804">
        <f t="shared" si="391"/>
        <v>361238.96</v>
      </c>
      <c r="K335" s="305"/>
      <c r="L335" s="305">
        <f>(70000)+291238.96</f>
        <v>361238.96</v>
      </c>
      <c r="M335" s="305"/>
      <c r="N335" s="305"/>
      <c r="O335" s="810">
        <f t="shared" si="398"/>
        <v>0</v>
      </c>
      <c r="P335" s="804">
        <f t="shared" si="380"/>
        <v>361238.96</v>
      </c>
      <c r="Q335" s="125" t="b">
        <f>J335='d9'!F17+'d9'!F18</f>
        <v>1</v>
      </c>
      <c r="R335" s="198"/>
    </row>
    <row r="336" spans="1:18" s="99" customFormat="1" ht="93" thickTop="1" thickBot="1" x14ac:dyDescent="0.25">
      <c r="A336" s="808" t="s">
        <v>569</v>
      </c>
      <c r="B336" s="808" t="s">
        <v>567</v>
      </c>
      <c r="C336" s="808" t="s">
        <v>570</v>
      </c>
      <c r="D336" s="808" t="s">
        <v>568</v>
      </c>
      <c r="E336" s="804">
        <f t="shared" si="397"/>
        <v>0</v>
      </c>
      <c r="F336" s="305"/>
      <c r="G336" s="305"/>
      <c r="H336" s="305"/>
      <c r="I336" s="305"/>
      <c r="J336" s="804">
        <f t="shared" si="391"/>
        <v>175000</v>
      </c>
      <c r="K336" s="305"/>
      <c r="L336" s="305">
        <f>(125000)+50000</f>
        <v>175000</v>
      </c>
      <c r="M336" s="305"/>
      <c r="N336" s="305"/>
      <c r="O336" s="810">
        <f>K336</f>
        <v>0</v>
      </c>
      <c r="P336" s="804">
        <f t="shared" si="380"/>
        <v>175000</v>
      </c>
      <c r="Q336" s="125" t="b">
        <f>J336='d9'!F19+'d9'!F20+'d9'!F21</f>
        <v>1</v>
      </c>
      <c r="R336" s="198"/>
    </row>
    <row r="337" spans="1:19" s="99" customFormat="1" ht="138.75" thickTop="1" thickBot="1" x14ac:dyDescent="0.25">
      <c r="A337" s="808" t="s">
        <v>330</v>
      </c>
      <c r="B337" s="808" t="s">
        <v>331</v>
      </c>
      <c r="C337" s="808" t="s">
        <v>56</v>
      </c>
      <c r="D337" s="808" t="s">
        <v>511</v>
      </c>
      <c r="E337" s="804">
        <v>0</v>
      </c>
      <c r="F337" s="305"/>
      <c r="G337" s="305"/>
      <c r="H337" s="305"/>
      <c r="I337" s="305"/>
      <c r="J337" s="804">
        <f t="shared" si="391"/>
        <v>2245000</v>
      </c>
      <c r="K337" s="804"/>
      <c r="L337" s="305">
        <f>(187000)+358000</f>
        <v>545000</v>
      </c>
      <c r="M337" s="305"/>
      <c r="N337" s="305"/>
      <c r="O337" s="810">
        <f>K337+1700000</f>
        <v>1700000</v>
      </c>
      <c r="P337" s="804">
        <f t="shared" si="380"/>
        <v>2245000</v>
      </c>
      <c r="Q337" s="125" t="b">
        <f>J337='d9'!F22+'d9'!F23+'d9'!F24+'d9'!F25+'d9'!F26+'d9'!F27+'d9'!F28+1700000</f>
        <v>1</v>
      </c>
      <c r="R337" s="198"/>
    </row>
    <row r="338" spans="1:19" ht="181.5" thickTop="1" thickBot="1" x14ac:dyDescent="0.25">
      <c r="A338" s="825" t="s">
        <v>176</v>
      </c>
      <c r="B338" s="825"/>
      <c r="C338" s="825"/>
      <c r="D338" s="826" t="s">
        <v>1070</v>
      </c>
      <c r="E338" s="827">
        <f>E339</f>
        <v>6972225</v>
      </c>
      <c r="F338" s="828">
        <f t="shared" ref="F338:G338" si="399">F339</f>
        <v>6972225</v>
      </c>
      <c r="G338" s="828">
        <f t="shared" si="399"/>
        <v>5096200</v>
      </c>
      <c r="H338" s="828">
        <f>H339</f>
        <v>133200</v>
      </c>
      <c r="I338" s="828">
        <f t="shared" ref="I338" si="400">I339</f>
        <v>0</v>
      </c>
      <c r="J338" s="827">
        <f>J339</f>
        <v>350000</v>
      </c>
      <c r="K338" s="828">
        <f>K339</f>
        <v>350000</v>
      </c>
      <c r="L338" s="828">
        <f>L339</f>
        <v>0</v>
      </c>
      <c r="M338" s="828">
        <f t="shared" ref="M338" si="401">M339</f>
        <v>0</v>
      </c>
      <c r="N338" s="828">
        <f>N339</f>
        <v>0</v>
      </c>
      <c r="O338" s="827">
        <f>O339</f>
        <v>350000</v>
      </c>
      <c r="P338" s="828">
        <f t="shared" ref="P338" si="402">P339</f>
        <v>7322225</v>
      </c>
    </row>
    <row r="339" spans="1:19" ht="181.5" thickTop="1" thickBot="1" x14ac:dyDescent="0.25">
      <c r="A339" s="829" t="s">
        <v>177</v>
      </c>
      <c r="B339" s="829"/>
      <c r="C339" s="829"/>
      <c r="D339" s="830" t="s">
        <v>1069</v>
      </c>
      <c r="E339" s="831">
        <f>E340+E342</f>
        <v>6972225</v>
      </c>
      <c r="F339" s="831">
        <f t="shared" ref="F339:I339" si="403">F340+F342</f>
        <v>6972225</v>
      </c>
      <c r="G339" s="831">
        <f t="shared" si="403"/>
        <v>5096200</v>
      </c>
      <c r="H339" s="831">
        <f t="shared" si="403"/>
        <v>133200</v>
      </c>
      <c r="I339" s="831">
        <f t="shared" si="403"/>
        <v>0</v>
      </c>
      <c r="J339" s="831">
        <f>L339+O339</f>
        <v>350000</v>
      </c>
      <c r="K339" s="831">
        <f t="shared" ref="K339:O339" si="404">K340+K342</f>
        <v>350000</v>
      </c>
      <c r="L339" s="831">
        <f t="shared" si="404"/>
        <v>0</v>
      </c>
      <c r="M339" s="831">
        <f t="shared" si="404"/>
        <v>0</v>
      </c>
      <c r="N339" s="831">
        <f t="shared" si="404"/>
        <v>0</v>
      </c>
      <c r="O339" s="831">
        <f t="shared" si="404"/>
        <v>350000</v>
      </c>
      <c r="P339" s="831">
        <f>E339+J339</f>
        <v>7322225</v>
      </c>
      <c r="Q339" s="125" t="b">
        <f>P339=P344+P346+P341</f>
        <v>1</v>
      </c>
      <c r="R339" s="125" t="b">
        <f>K339='d6'!J319</f>
        <v>1</v>
      </c>
    </row>
    <row r="340" spans="1:19" s="411" customFormat="1" ht="47.25" thickTop="1" thickBot="1" x14ac:dyDescent="0.25">
      <c r="A340" s="422" t="s">
        <v>1000</v>
      </c>
      <c r="B340" s="422" t="s">
        <v>840</v>
      </c>
      <c r="C340" s="422"/>
      <c r="D340" s="422" t="s">
        <v>841</v>
      </c>
      <c r="E340" s="804">
        <f>SUM(E341)</f>
        <v>6972225</v>
      </c>
      <c r="F340" s="804">
        <f t="shared" ref="F340:P340" si="405">SUM(F341)</f>
        <v>6972225</v>
      </c>
      <c r="G340" s="804">
        <f t="shared" si="405"/>
        <v>5096200</v>
      </c>
      <c r="H340" s="804">
        <f t="shared" si="405"/>
        <v>133200</v>
      </c>
      <c r="I340" s="804">
        <f t="shared" si="405"/>
        <v>0</v>
      </c>
      <c r="J340" s="804">
        <f t="shared" si="405"/>
        <v>100000</v>
      </c>
      <c r="K340" s="804">
        <f t="shared" si="405"/>
        <v>100000</v>
      </c>
      <c r="L340" s="804">
        <f t="shared" si="405"/>
        <v>0</v>
      </c>
      <c r="M340" s="804">
        <f t="shared" si="405"/>
        <v>0</v>
      </c>
      <c r="N340" s="804">
        <f t="shared" si="405"/>
        <v>0</v>
      </c>
      <c r="O340" s="804">
        <f t="shared" si="405"/>
        <v>100000</v>
      </c>
      <c r="P340" s="804">
        <f t="shared" si="405"/>
        <v>7072225</v>
      </c>
      <c r="Q340" s="125"/>
      <c r="R340" s="125"/>
    </row>
    <row r="341" spans="1:19" ht="230.25" thickTop="1" thickBot="1" x14ac:dyDescent="0.25">
      <c r="A341" s="808" t="s">
        <v>446</v>
      </c>
      <c r="B341" s="808" t="s">
        <v>254</v>
      </c>
      <c r="C341" s="808" t="s">
        <v>252</v>
      </c>
      <c r="D341" s="808" t="s">
        <v>253</v>
      </c>
      <c r="E341" s="804">
        <f>F341</f>
        <v>6972225</v>
      </c>
      <c r="F341" s="305">
        <f>-129000+(23900+2600+((5014525)+1688700+371500))</f>
        <v>6972225</v>
      </c>
      <c r="G341" s="305">
        <f>-215000+((3622500)+1688700)</f>
        <v>5096200</v>
      </c>
      <c r="H341" s="305">
        <f>34000+(23900+2600+(53320+2000+17380))</f>
        <v>133200</v>
      </c>
      <c r="I341" s="305"/>
      <c r="J341" s="804">
        <f>L341+O341</f>
        <v>100000</v>
      </c>
      <c r="K341" s="305">
        <v>100000</v>
      </c>
      <c r="L341" s="305"/>
      <c r="M341" s="305"/>
      <c r="N341" s="305"/>
      <c r="O341" s="810">
        <f>K341</f>
        <v>100000</v>
      </c>
      <c r="P341" s="804">
        <f>E341+J341</f>
        <v>7072225</v>
      </c>
      <c r="R341" s="125" t="b">
        <f>K341='d6'!J321</f>
        <v>1</v>
      </c>
    </row>
    <row r="342" spans="1:19" s="411" customFormat="1" ht="47.25" thickTop="1" thickBot="1" x14ac:dyDescent="0.25">
      <c r="A342" s="422" t="s">
        <v>1001</v>
      </c>
      <c r="B342" s="422" t="s">
        <v>905</v>
      </c>
      <c r="C342" s="808"/>
      <c r="D342" s="422" t="s">
        <v>952</v>
      </c>
      <c r="E342" s="804">
        <f t="shared" ref="E342:P342" si="406">E343+E345</f>
        <v>0</v>
      </c>
      <c r="F342" s="804">
        <f t="shared" si="406"/>
        <v>0</v>
      </c>
      <c r="G342" s="804">
        <f t="shared" si="406"/>
        <v>0</v>
      </c>
      <c r="H342" s="804">
        <f t="shared" si="406"/>
        <v>0</v>
      </c>
      <c r="I342" s="804">
        <f t="shared" si="406"/>
        <v>0</v>
      </c>
      <c r="J342" s="804">
        <f t="shared" si="406"/>
        <v>250000</v>
      </c>
      <c r="K342" s="804">
        <f t="shared" si="406"/>
        <v>250000</v>
      </c>
      <c r="L342" s="804">
        <f t="shared" si="406"/>
        <v>0</v>
      </c>
      <c r="M342" s="804">
        <f t="shared" si="406"/>
        <v>0</v>
      </c>
      <c r="N342" s="804">
        <f t="shared" si="406"/>
        <v>0</v>
      </c>
      <c r="O342" s="804">
        <f t="shared" si="406"/>
        <v>250000</v>
      </c>
      <c r="P342" s="804">
        <f t="shared" si="406"/>
        <v>250000</v>
      </c>
      <c r="R342" s="194"/>
    </row>
    <row r="343" spans="1:19" s="411" customFormat="1" ht="91.5" thickTop="1" thickBot="1" x14ac:dyDescent="0.25">
      <c r="A343" s="379" t="s">
        <v>1002</v>
      </c>
      <c r="B343" s="379" t="s">
        <v>1003</v>
      </c>
      <c r="C343" s="379"/>
      <c r="D343" s="379" t="s">
        <v>1004</v>
      </c>
      <c r="E343" s="346">
        <f>SUM(E344)</f>
        <v>0</v>
      </c>
      <c r="F343" s="346">
        <f t="shared" ref="F343:P343" si="407">SUM(F344)</f>
        <v>0</v>
      </c>
      <c r="G343" s="346">
        <f t="shared" si="407"/>
        <v>0</v>
      </c>
      <c r="H343" s="346">
        <f t="shared" si="407"/>
        <v>0</v>
      </c>
      <c r="I343" s="346">
        <f t="shared" si="407"/>
        <v>0</v>
      </c>
      <c r="J343" s="346">
        <f t="shared" si="407"/>
        <v>200000</v>
      </c>
      <c r="K343" s="346">
        <f t="shared" si="407"/>
        <v>200000</v>
      </c>
      <c r="L343" s="346">
        <f t="shared" si="407"/>
        <v>0</v>
      </c>
      <c r="M343" s="346">
        <f t="shared" si="407"/>
        <v>0</v>
      </c>
      <c r="N343" s="346">
        <f t="shared" si="407"/>
        <v>0</v>
      </c>
      <c r="O343" s="346">
        <f t="shared" si="407"/>
        <v>200000</v>
      </c>
      <c r="P343" s="346">
        <f t="shared" si="407"/>
        <v>200000</v>
      </c>
      <c r="R343" s="194"/>
    </row>
    <row r="344" spans="1:19" ht="93" thickTop="1" thickBot="1" x14ac:dyDescent="0.25">
      <c r="A344" s="808" t="s">
        <v>325</v>
      </c>
      <c r="B344" s="808" t="s">
        <v>326</v>
      </c>
      <c r="C344" s="808" t="s">
        <v>327</v>
      </c>
      <c r="D344" s="808" t="s">
        <v>497</v>
      </c>
      <c r="E344" s="804">
        <f>F344</f>
        <v>0</v>
      </c>
      <c r="F344" s="305"/>
      <c r="G344" s="305"/>
      <c r="H344" s="305"/>
      <c r="I344" s="305"/>
      <c r="J344" s="804">
        <f>L344+O344</f>
        <v>200000</v>
      </c>
      <c r="K344" s="305">
        <v>200000</v>
      </c>
      <c r="L344" s="305"/>
      <c r="M344" s="305"/>
      <c r="N344" s="305"/>
      <c r="O344" s="810">
        <v>200000</v>
      </c>
      <c r="P344" s="804">
        <f>E344+J344</f>
        <v>200000</v>
      </c>
      <c r="R344" s="125" t="b">
        <f>K344='d6'!J322+'d6'!J323</f>
        <v>1</v>
      </c>
    </row>
    <row r="345" spans="1:19" s="411" customFormat="1" ht="136.5" thickTop="1" thickBot="1" x14ac:dyDescent="0.25">
      <c r="A345" s="379" t="s">
        <v>1005</v>
      </c>
      <c r="B345" s="379" t="s">
        <v>847</v>
      </c>
      <c r="C345" s="808"/>
      <c r="D345" s="379" t="s">
        <v>1006</v>
      </c>
      <c r="E345" s="346">
        <f>SUM(E346)</f>
        <v>0</v>
      </c>
      <c r="F345" s="346">
        <f t="shared" ref="F345:P345" si="408">SUM(F346)</f>
        <v>0</v>
      </c>
      <c r="G345" s="346">
        <f t="shared" si="408"/>
        <v>0</v>
      </c>
      <c r="H345" s="346">
        <f t="shared" si="408"/>
        <v>0</v>
      </c>
      <c r="I345" s="346">
        <f t="shared" si="408"/>
        <v>0</v>
      </c>
      <c r="J345" s="346">
        <f t="shared" si="408"/>
        <v>50000</v>
      </c>
      <c r="K345" s="346">
        <f t="shared" si="408"/>
        <v>50000</v>
      </c>
      <c r="L345" s="346">
        <f t="shared" si="408"/>
        <v>0</v>
      </c>
      <c r="M345" s="346">
        <f t="shared" si="408"/>
        <v>0</v>
      </c>
      <c r="N345" s="346">
        <f t="shared" si="408"/>
        <v>0</v>
      </c>
      <c r="O345" s="346">
        <f t="shared" si="408"/>
        <v>50000</v>
      </c>
      <c r="P345" s="346">
        <f t="shared" si="408"/>
        <v>50000</v>
      </c>
      <c r="R345" s="413"/>
    </row>
    <row r="346" spans="1:19" ht="138.75" thickTop="1" thickBot="1" x14ac:dyDescent="0.25">
      <c r="A346" s="808" t="s">
        <v>394</v>
      </c>
      <c r="B346" s="808" t="s">
        <v>395</v>
      </c>
      <c r="C346" s="808" t="s">
        <v>184</v>
      </c>
      <c r="D346" s="808" t="s">
        <v>396</v>
      </c>
      <c r="E346" s="804">
        <f>F346</f>
        <v>0</v>
      </c>
      <c r="F346" s="305"/>
      <c r="G346" s="305"/>
      <c r="H346" s="305"/>
      <c r="I346" s="305"/>
      <c r="J346" s="804">
        <f>L346+O346</f>
        <v>50000</v>
      </c>
      <c r="K346" s="305">
        <v>50000</v>
      </c>
      <c r="L346" s="305"/>
      <c r="M346" s="305"/>
      <c r="N346" s="305"/>
      <c r="O346" s="810">
        <f>K346</f>
        <v>50000</v>
      </c>
      <c r="P346" s="804">
        <f>E346+J346</f>
        <v>50000</v>
      </c>
      <c r="R346" s="125" t="b">
        <f>K346='d6'!J324</f>
        <v>1</v>
      </c>
    </row>
    <row r="347" spans="1:19" ht="136.5" thickTop="1" thickBot="1" x14ac:dyDescent="0.25">
      <c r="A347" s="825" t="s">
        <v>182</v>
      </c>
      <c r="B347" s="825"/>
      <c r="C347" s="825"/>
      <c r="D347" s="826" t="s">
        <v>27</v>
      </c>
      <c r="E347" s="827">
        <f>E348</f>
        <v>86965348.180000007</v>
      </c>
      <c r="F347" s="828">
        <f t="shared" ref="F347:G347" si="409">F348</f>
        <v>86965348.180000007</v>
      </c>
      <c r="G347" s="828">
        <f t="shared" si="409"/>
        <v>6715000</v>
      </c>
      <c r="H347" s="828">
        <f>H348</f>
        <v>158150</v>
      </c>
      <c r="I347" s="828">
        <f t="shared" ref="I347" si="410">I348</f>
        <v>0</v>
      </c>
      <c r="J347" s="827">
        <f>J348</f>
        <v>65000</v>
      </c>
      <c r="K347" s="828">
        <f>K348</f>
        <v>65000</v>
      </c>
      <c r="L347" s="828">
        <f>L348</f>
        <v>0</v>
      </c>
      <c r="M347" s="828">
        <f t="shared" ref="M347" si="411">M348</f>
        <v>0</v>
      </c>
      <c r="N347" s="828">
        <f>N348</f>
        <v>0</v>
      </c>
      <c r="O347" s="827">
        <f>O348</f>
        <v>65000</v>
      </c>
      <c r="P347" s="828">
        <f t="shared" ref="P347" si="412">P348</f>
        <v>87030348.180000007</v>
      </c>
    </row>
    <row r="348" spans="1:19" ht="136.5" thickTop="1" thickBot="1" x14ac:dyDescent="0.25">
      <c r="A348" s="829" t="s">
        <v>183</v>
      </c>
      <c r="B348" s="829"/>
      <c r="C348" s="829"/>
      <c r="D348" s="830" t="s">
        <v>42</v>
      </c>
      <c r="E348" s="831">
        <f>E349+E352+E356</f>
        <v>86965348.180000007</v>
      </c>
      <c r="F348" s="831">
        <f t="shared" ref="F348:I348" si="413">F349+F352+F356</f>
        <v>86965348.180000007</v>
      </c>
      <c r="G348" s="831">
        <f t="shared" si="413"/>
        <v>6715000</v>
      </c>
      <c r="H348" s="831">
        <f t="shared" si="413"/>
        <v>158150</v>
      </c>
      <c r="I348" s="831">
        <f t="shared" si="413"/>
        <v>0</v>
      </c>
      <c r="J348" s="831">
        <f>L348+O348</f>
        <v>65000</v>
      </c>
      <c r="K348" s="831">
        <f t="shared" ref="K348:O348" si="414">K349+K352+K356</f>
        <v>65000</v>
      </c>
      <c r="L348" s="831">
        <f t="shared" si="414"/>
        <v>0</v>
      </c>
      <c r="M348" s="831">
        <f t="shared" si="414"/>
        <v>0</v>
      </c>
      <c r="N348" s="831">
        <f t="shared" si="414"/>
        <v>0</v>
      </c>
      <c r="O348" s="831">
        <f t="shared" si="414"/>
        <v>65000</v>
      </c>
      <c r="P348" s="831">
        <f>E348+J348</f>
        <v>87030348.180000007</v>
      </c>
      <c r="Q348" s="125" t="b">
        <f>P348=P353+P355+P358+P350+P351</f>
        <v>1</v>
      </c>
      <c r="R348" s="125" t="b">
        <f>K348='d6'!J325</f>
        <v>1</v>
      </c>
    </row>
    <row r="349" spans="1:19" s="411" customFormat="1" ht="47.25" thickTop="1" thickBot="1" x14ac:dyDescent="0.25">
      <c r="A349" s="422" t="s">
        <v>1007</v>
      </c>
      <c r="B349" s="422" t="s">
        <v>840</v>
      </c>
      <c r="C349" s="422"/>
      <c r="D349" s="422" t="s">
        <v>841</v>
      </c>
      <c r="E349" s="804">
        <f>SUM(E350:E351)</f>
        <v>8434005</v>
      </c>
      <c r="F349" s="804">
        <f t="shared" ref="F349:P349" si="415">SUM(F350:F351)</f>
        <v>8434005</v>
      </c>
      <c r="G349" s="804">
        <f t="shared" si="415"/>
        <v>6715000</v>
      </c>
      <c r="H349" s="804">
        <f t="shared" si="415"/>
        <v>158150</v>
      </c>
      <c r="I349" s="804">
        <f t="shared" si="415"/>
        <v>0</v>
      </c>
      <c r="J349" s="804">
        <f t="shared" si="415"/>
        <v>65000</v>
      </c>
      <c r="K349" s="804">
        <f t="shared" si="415"/>
        <v>65000</v>
      </c>
      <c r="L349" s="804">
        <f t="shared" si="415"/>
        <v>0</v>
      </c>
      <c r="M349" s="804">
        <f t="shared" si="415"/>
        <v>0</v>
      </c>
      <c r="N349" s="804">
        <f t="shared" si="415"/>
        <v>0</v>
      </c>
      <c r="O349" s="804">
        <f t="shared" si="415"/>
        <v>65000</v>
      </c>
      <c r="P349" s="804">
        <f t="shared" si="415"/>
        <v>8499005</v>
      </c>
      <c r="Q349" s="125"/>
      <c r="R349" s="195"/>
    </row>
    <row r="350" spans="1:19" ht="230.25" thickTop="1" thickBot="1" x14ac:dyDescent="0.25">
      <c r="A350" s="808" t="s">
        <v>448</v>
      </c>
      <c r="B350" s="808" t="s">
        <v>254</v>
      </c>
      <c r="C350" s="808" t="s">
        <v>252</v>
      </c>
      <c r="D350" s="808" t="s">
        <v>253</v>
      </c>
      <c r="E350" s="804">
        <f>F350</f>
        <v>8431005</v>
      </c>
      <c r="F350" s="305">
        <f>-25000+(-100000-80000+19400+7400+(((7700000+1540000+152690+146035+7000+71000+4400+51000+4950+1075-3000)-205945)-860000))</f>
        <v>8431005</v>
      </c>
      <c r="G350" s="305">
        <f>-25000+(-100000+((7700000)-860000))</f>
        <v>6715000</v>
      </c>
      <c r="H350" s="305">
        <f>19400+7400+(71000+4400+51000+4950)</f>
        <v>158150</v>
      </c>
      <c r="I350" s="305"/>
      <c r="J350" s="804">
        <f>L350+O350</f>
        <v>65000</v>
      </c>
      <c r="K350" s="305">
        <f>25000+(40000)</f>
        <v>65000</v>
      </c>
      <c r="L350" s="305"/>
      <c r="M350" s="305"/>
      <c r="N350" s="305"/>
      <c r="O350" s="810">
        <f>K350</f>
        <v>65000</v>
      </c>
      <c r="P350" s="804">
        <f>E350+J350</f>
        <v>8496005</v>
      </c>
      <c r="Q350" s="125" t="b">
        <f>K350='d6'!J327</f>
        <v>1</v>
      </c>
      <c r="R350" s="195"/>
      <c r="S350" s="194">
        <f>'d6'!J327</f>
        <v>65000</v>
      </c>
    </row>
    <row r="351" spans="1:19" s="310" customFormat="1" ht="184.5" thickTop="1" thickBot="1" x14ac:dyDescent="0.25">
      <c r="A351" s="808" t="s">
        <v>789</v>
      </c>
      <c r="B351" s="808" t="s">
        <v>388</v>
      </c>
      <c r="C351" s="808" t="s">
        <v>775</v>
      </c>
      <c r="D351" s="808" t="s">
        <v>776</v>
      </c>
      <c r="E351" s="313">
        <f>F351</f>
        <v>3000</v>
      </c>
      <c r="F351" s="167">
        <v>3000</v>
      </c>
      <c r="G351" s="167"/>
      <c r="H351" s="167"/>
      <c r="I351" s="167"/>
      <c r="J351" s="804">
        <f t="shared" ref="J351" si="416">L351+O351</f>
        <v>0</v>
      </c>
      <c r="K351" s="167"/>
      <c r="L351" s="761"/>
      <c r="M351" s="761"/>
      <c r="N351" s="761"/>
      <c r="O351" s="810">
        <f t="shared" ref="O351" si="417">K351</f>
        <v>0</v>
      </c>
      <c r="P351" s="804">
        <f t="shared" ref="P351" si="418">+J351+E351</f>
        <v>3000</v>
      </c>
      <c r="Q351" s="194"/>
      <c r="R351" s="195"/>
    </row>
    <row r="352" spans="1:19" s="411" customFormat="1" ht="47.25" thickTop="1" thickBot="1" x14ac:dyDescent="0.25">
      <c r="A352" s="422" t="s">
        <v>1008</v>
      </c>
      <c r="B352" s="422" t="s">
        <v>852</v>
      </c>
      <c r="C352" s="422"/>
      <c r="D352" s="422" t="s">
        <v>853</v>
      </c>
      <c r="E352" s="313">
        <f>E353+E354</f>
        <v>5227443.18</v>
      </c>
      <c r="F352" s="313">
        <f t="shared" ref="F352:P352" si="419">F353+F354</f>
        <v>5227443.18</v>
      </c>
      <c r="G352" s="313">
        <f t="shared" si="419"/>
        <v>0</v>
      </c>
      <c r="H352" s="313">
        <f t="shared" si="419"/>
        <v>0</v>
      </c>
      <c r="I352" s="313">
        <f t="shared" si="419"/>
        <v>0</v>
      </c>
      <c r="J352" s="313">
        <f t="shared" si="419"/>
        <v>0</v>
      </c>
      <c r="K352" s="313">
        <f t="shared" si="419"/>
        <v>0</v>
      </c>
      <c r="L352" s="313">
        <f t="shared" si="419"/>
        <v>0</v>
      </c>
      <c r="M352" s="313">
        <f t="shared" si="419"/>
        <v>0</v>
      </c>
      <c r="N352" s="313">
        <f t="shared" si="419"/>
        <v>0</v>
      </c>
      <c r="O352" s="313">
        <f t="shared" si="419"/>
        <v>0</v>
      </c>
      <c r="P352" s="313">
        <f t="shared" si="419"/>
        <v>5227443.18</v>
      </c>
      <c r="Q352" s="194"/>
      <c r="R352" s="195"/>
    </row>
    <row r="353" spans="1:18" ht="91.5" thickTop="1" thickBot="1" x14ac:dyDescent="0.25">
      <c r="A353" s="437">
        <v>3718600</v>
      </c>
      <c r="B353" s="437">
        <v>8600</v>
      </c>
      <c r="C353" s="379" t="s">
        <v>388</v>
      </c>
      <c r="D353" s="437" t="s">
        <v>488</v>
      </c>
      <c r="E353" s="346">
        <f>F353</f>
        <v>4377443.18</v>
      </c>
      <c r="F353" s="346">
        <f>200000+355467.18+(((1033835)+205945)+2582196)</f>
        <v>4377443.18</v>
      </c>
      <c r="G353" s="346"/>
      <c r="H353" s="346"/>
      <c r="I353" s="346"/>
      <c r="J353" s="346">
        <f>L353+O353</f>
        <v>0</v>
      </c>
      <c r="K353" s="346"/>
      <c r="L353" s="346"/>
      <c r="M353" s="346"/>
      <c r="N353" s="346"/>
      <c r="O353" s="778">
        <f>K353</f>
        <v>0</v>
      </c>
      <c r="P353" s="346">
        <f>E353+J353</f>
        <v>4377443.18</v>
      </c>
    </row>
    <row r="354" spans="1:18" s="411" customFormat="1" ht="47.25" thickTop="1" thickBot="1" x14ac:dyDescent="0.25">
      <c r="A354" s="437">
        <v>3718700</v>
      </c>
      <c r="B354" s="437">
        <v>8700</v>
      </c>
      <c r="C354" s="379"/>
      <c r="D354" s="437" t="s">
        <v>1009</v>
      </c>
      <c r="E354" s="346">
        <f>E355</f>
        <v>850000</v>
      </c>
      <c r="F354" s="346">
        <f>F355</f>
        <v>850000</v>
      </c>
      <c r="G354" s="346">
        <f t="shared" ref="G354:P354" si="420">G355</f>
        <v>0</v>
      </c>
      <c r="H354" s="346">
        <f t="shared" si="420"/>
        <v>0</v>
      </c>
      <c r="I354" s="346">
        <f t="shared" si="420"/>
        <v>0</v>
      </c>
      <c r="J354" s="346">
        <f t="shared" si="420"/>
        <v>0</v>
      </c>
      <c r="K354" s="346">
        <f t="shared" si="420"/>
        <v>0</v>
      </c>
      <c r="L354" s="346">
        <f t="shared" si="420"/>
        <v>0</v>
      </c>
      <c r="M354" s="346">
        <f t="shared" si="420"/>
        <v>0</v>
      </c>
      <c r="N354" s="346">
        <f t="shared" si="420"/>
        <v>0</v>
      </c>
      <c r="O354" s="346">
        <f t="shared" si="420"/>
        <v>0</v>
      </c>
      <c r="P354" s="346">
        <f t="shared" si="420"/>
        <v>850000</v>
      </c>
      <c r="Q354" s="413"/>
      <c r="R354" s="413"/>
    </row>
    <row r="355" spans="1:18" ht="93" thickTop="1" thickBot="1" x14ac:dyDescent="0.25">
      <c r="A355" s="322">
        <v>3718710</v>
      </c>
      <c r="B355" s="322">
        <v>8710</v>
      </c>
      <c r="C355" s="808" t="s">
        <v>44</v>
      </c>
      <c r="D355" s="321" t="s">
        <v>795</v>
      </c>
      <c r="E355" s="804">
        <f>F355</f>
        <v>850000</v>
      </c>
      <c r="F355" s="305">
        <f>((3000000)-100000)-900000-1000000-150000</f>
        <v>850000</v>
      </c>
      <c r="G355" s="305"/>
      <c r="H355" s="305"/>
      <c r="I355" s="305"/>
      <c r="J355" s="804">
        <f>L355+O355</f>
        <v>0</v>
      </c>
      <c r="K355" s="305"/>
      <c r="L355" s="305"/>
      <c r="M355" s="305"/>
      <c r="N355" s="305"/>
      <c r="O355" s="810">
        <f>K355</f>
        <v>0</v>
      </c>
      <c r="P355" s="804">
        <f>E355+J355</f>
        <v>850000</v>
      </c>
    </row>
    <row r="356" spans="1:18" s="411" customFormat="1" ht="47.25" thickTop="1" thickBot="1" x14ac:dyDescent="0.25">
      <c r="A356" s="422" t="s">
        <v>1010</v>
      </c>
      <c r="B356" s="422" t="s">
        <v>858</v>
      </c>
      <c r="C356" s="422"/>
      <c r="D356" s="422" t="s">
        <v>859</v>
      </c>
      <c r="E356" s="804">
        <f>E357</f>
        <v>73303900</v>
      </c>
      <c r="F356" s="804">
        <f t="shared" ref="F356:P357" si="421">F357</f>
        <v>73303900</v>
      </c>
      <c r="G356" s="804">
        <f t="shared" si="421"/>
        <v>0</v>
      </c>
      <c r="H356" s="804">
        <f t="shared" si="421"/>
        <v>0</v>
      </c>
      <c r="I356" s="804">
        <f t="shared" si="421"/>
        <v>0</v>
      </c>
      <c r="J356" s="804">
        <f t="shared" si="421"/>
        <v>0</v>
      </c>
      <c r="K356" s="804">
        <f t="shared" si="421"/>
        <v>0</v>
      </c>
      <c r="L356" s="804">
        <f t="shared" si="421"/>
        <v>0</v>
      </c>
      <c r="M356" s="804">
        <f t="shared" si="421"/>
        <v>0</v>
      </c>
      <c r="N356" s="804">
        <f t="shared" si="421"/>
        <v>0</v>
      </c>
      <c r="O356" s="804">
        <f t="shared" si="421"/>
        <v>0</v>
      </c>
      <c r="P356" s="804">
        <f t="shared" si="421"/>
        <v>73303900</v>
      </c>
      <c r="Q356" s="413"/>
      <c r="R356" s="413"/>
    </row>
    <row r="357" spans="1:18" s="411" customFormat="1" ht="91.5" thickTop="1" thickBot="1" x14ac:dyDescent="0.25">
      <c r="A357" s="437">
        <v>3719100</v>
      </c>
      <c r="B357" s="379" t="s">
        <v>1012</v>
      </c>
      <c r="C357" s="379"/>
      <c r="D357" s="379" t="s">
        <v>1011</v>
      </c>
      <c r="E357" s="346">
        <f>E358</f>
        <v>73303900</v>
      </c>
      <c r="F357" s="346">
        <f t="shared" si="421"/>
        <v>73303900</v>
      </c>
      <c r="G357" s="346">
        <f t="shared" si="421"/>
        <v>0</v>
      </c>
      <c r="H357" s="346">
        <f t="shared" si="421"/>
        <v>0</v>
      </c>
      <c r="I357" s="346">
        <f t="shared" si="421"/>
        <v>0</v>
      </c>
      <c r="J357" s="346">
        <f t="shared" si="421"/>
        <v>0</v>
      </c>
      <c r="K357" s="346">
        <f t="shared" si="421"/>
        <v>0</v>
      </c>
      <c r="L357" s="346">
        <f t="shared" si="421"/>
        <v>0</v>
      </c>
      <c r="M357" s="346">
        <f t="shared" si="421"/>
        <v>0</v>
      </c>
      <c r="N357" s="346">
        <f t="shared" si="421"/>
        <v>0</v>
      </c>
      <c r="O357" s="346">
        <f t="shared" si="421"/>
        <v>0</v>
      </c>
      <c r="P357" s="346">
        <f t="shared" si="421"/>
        <v>73303900</v>
      </c>
      <c r="Q357" s="413"/>
      <c r="R357" s="413"/>
    </row>
    <row r="358" spans="1:18" ht="48" thickTop="1" thickBot="1" x14ac:dyDescent="0.25">
      <c r="A358" s="322">
        <v>3719110</v>
      </c>
      <c r="B358" s="322">
        <v>9110</v>
      </c>
      <c r="C358" s="808" t="s">
        <v>45</v>
      </c>
      <c r="D358" s="321" t="s">
        <v>487</v>
      </c>
      <c r="E358" s="804">
        <f>F358</f>
        <v>73303900</v>
      </c>
      <c r="F358" s="305">
        <v>73303900</v>
      </c>
      <c r="G358" s="305"/>
      <c r="H358" s="305"/>
      <c r="I358" s="305"/>
      <c r="J358" s="804">
        <f>L358+O358</f>
        <v>0</v>
      </c>
      <c r="K358" s="305"/>
      <c r="L358" s="305"/>
      <c r="M358" s="305"/>
      <c r="N358" s="305"/>
      <c r="O358" s="810">
        <f>K358</f>
        <v>0</v>
      </c>
      <c r="P358" s="804">
        <f>E358+J358</f>
        <v>73303900</v>
      </c>
    </row>
    <row r="359" spans="1:18" ht="159.75" customHeight="1" thickTop="1" thickBot="1" x14ac:dyDescent="0.25">
      <c r="A359" s="242" t="s">
        <v>408</v>
      </c>
      <c r="B359" s="242" t="s">
        <v>408</v>
      </c>
      <c r="C359" s="242" t="s">
        <v>408</v>
      </c>
      <c r="D359" s="243" t="s">
        <v>418</v>
      </c>
      <c r="E359" s="323">
        <f t="shared" ref="E359:P359" si="422">E17+E42+E190+E89+E113+E170++E271+E293+E348+E314+E327+E339+E301+E242+E223</f>
        <v>2780642732.9999995</v>
      </c>
      <c r="F359" s="323">
        <f t="shared" si="422"/>
        <v>2780642732.9999995</v>
      </c>
      <c r="G359" s="323">
        <f t="shared" si="422"/>
        <v>1440251626.5</v>
      </c>
      <c r="H359" s="323">
        <f t="shared" si="422"/>
        <v>135669283.78999999</v>
      </c>
      <c r="I359" s="323">
        <f t="shared" si="422"/>
        <v>0</v>
      </c>
      <c r="J359" s="323">
        <f t="shared" si="422"/>
        <v>816186447.88</v>
      </c>
      <c r="K359" s="323">
        <f t="shared" si="422"/>
        <v>645199818.30999994</v>
      </c>
      <c r="L359" s="323">
        <f t="shared" si="422"/>
        <v>164250711.54000002</v>
      </c>
      <c r="M359" s="323">
        <f t="shared" si="422"/>
        <v>50901291</v>
      </c>
      <c r="N359" s="323">
        <f t="shared" si="422"/>
        <v>14435909.09</v>
      </c>
      <c r="O359" s="323">
        <f t="shared" si="422"/>
        <v>651935736.34000003</v>
      </c>
      <c r="P359" s="323">
        <f t="shared" si="422"/>
        <v>3596829180.8800001</v>
      </c>
      <c r="Q359" s="38" t="b">
        <f>K359='d6'!J328</f>
        <v>1</v>
      </c>
      <c r="R359" s="38" t="b">
        <f>P359=J359+E359</f>
        <v>1</v>
      </c>
    </row>
    <row r="360" spans="1:18" ht="46.5" thickTop="1" x14ac:dyDescent="0.2">
      <c r="A360" s="1012" t="s">
        <v>542</v>
      </c>
      <c r="B360" s="1013"/>
      <c r="C360" s="1013"/>
      <c r="D360" s="1013"/>
      <c r="E360" s="1013"/>
      <c r="F360" s="1013"/>
      <c r="G360" s="1013"/>
      <c r="H360" s="1013"/>
      <c r="I360" s="1013"/>
      <c r="J360" s="1013"/>
      <c r="K360" s="1013"/>
      <c r="L360" s="1013"/>
      <c r="M360" s="1013"/>
      <c r="N360" s="1013"/>
      <c r="O360" s="1013"/>
      <c r="P360" s="1013"/>
      <c r="Q360" s="200"/>
    </row>
    <row r="361" spans="1:18" ht="60.75" hidden="1" x14ac:dyDescent="0.2">
      <c r="A361" s="136"/>
      <c r="B361" s="137"/>
      <c r="C361" s="137"/>
      <c r="D361" s="137"/>
      <c r="E361" s="78">
        <f>F361</f>
        <v>2780642733</v>
      </c>
      <c r="F361" s="78">
        <f>7637377.34+(((77438986.82+'d2'!E19+((((2638170564+6058967+642850)-'d4'!F17+'d2'!E28)+16026676.66+1406835-100000)+9712966))+553900)+32367649.18-213900)</f>
        <v>2780642733</v>
      </c>
      <c r="G361" s="78">
        <f>200000-224000-5950000+288838-166226+((828700-600000+9997450+1414400+359540+((354000+540000+1494859+80242670+1114143912+4186600+68381820+89280550+40854695+37511680)-3284345.53+1122300+879350))-5636312+6090001.03-2025200-32000-1655)</f>
        <v>1440251626.5</v>
      </c>
      <c r="H361" s="78">
        <f>-288000+93639+614390+132700-46317+(133595871.79+1567000)</f>
        <v>135669283.79000002</v>
      </c>
      <c r="I361" s="78">
        <v>0</v>
      </c>
      <c r="J361" s="78">
        <f>7802091.66+(1200000-376956+52955840+(((-10623233.82+41402316+((((356021747.58+79713450)+73413409.53-123742.2+22276190+100000)+60000000+70000000)+26383129))+5835403.78+19271337.53)+10721564.82+213900))</f>
        <v>816186447.88</v>
      </c>
      <c r="K361" s="78">
        <f>7802091.66+(1200000-376956+52955840+(((-10623233.82+41402316-2300000-1326174+((((356021747.58+79713450)-4201200-630900-155853885)+73413409.53-123742.2-1155966.58-127015.03-854238.96-95000+(22276190-1700000+100000)+60000000+70000000)+26383129))+5835403.78+19271337.53)+10721564.82-2242250-500000+213900))</f>
        <v>645199818.31000006</v>
      </c>
      <c r="L361" s="78">
        <f>-46000+((-230522+1326174+((4201200-49000)+630900+(155853885-1788820-106000))+78600-9947+1155966.58+854238.96-50000)+2242250+222586-34800)</f>
        <v>164250711.54000002</v>
      </c>
      <c r="M361" s="78">
        <f>(332110+14400+(866362+41217060+104000+7345900))+1021459</f>
        <v>50901291</v>
      </c>
      <c r="N361" s="78">
        <v>14435909.09</v>
      </c>
      <c r="O361" s="78">
        <f>7802091.66+46000+(1200000-376956+52955840+(((-10623233.82+41402316-2300000-1326174+2530522+((((356021747.58+79713450)-(4201200-49000)-630900-(155853885-1788820-106000))+16400+9947+(73413409.53-123742.2-95000-1155966.58-854238.96)+50000+(22276190+100000)+60000000+70000000)+26383129))+5835403.78+19271337.53)+10721564.82-2242250-222586+34800+213900))</f>
        <v>651935736.33999991</v>
      </c>
      <c r="P361" s="78">
        <f>15439469+(1200000-376956+52955840+((((((2994192311.58+6058967+80356300)-'d4'!F20+'d2'!E28+(89440086.19-123742.2)+23683025+60000000+70000000)+36096095)+118841302.82+'d2'!E19-10623233.82)+4665403.78+1170000+19825237.53)+43089214))</f>
        <v>3596829180.8800001</v>
      </c>
      <c r="Q361" s="38" t="b">
        <f>E361+J361=P361</f>
        <v>1</v>
      </c>
      <c r="R361" s="200"/>
    </row>
    <row r="362" spans="1:18" s="467" customFormat="1" ht="60.75" x14ac:dyDescent="0.2">
      <c r="A362" s="599"/>
      <c r="B362" s="600"/>
      <c r="C362" s="600"/>
      <c r="D362" s="600"/>
      <c r="E362" s="601"/>
      <c r="F362" s="601"/>
      <c r="G362" s="601"/>
      <c r="H362" s="601"/>
      <c r="I362" s="601"/>
      <c r="J362" s="601"/>
      <c r="K362" s="601"/>
      <c r="L362" s="601"/>
      <c r="M362" s="601"/>
      <c r="N362" s="601"/>
      <c r="O362" s="601"/>
      <c r="P362" s="601"/>
      <c r="Q362" s="602"/>
      <c r="R362" s="603"/>
    </row>
    <row r="363" spans="1:18" ht="75.75" customHeight="1" x14ac:dyDescent="0.65">
      <c r="A363" s="136"/>
      <c r="B363" s="137"/>
      <c r="C363" s="137"/>
      <c r="D363" s="695" t="s">
        <v>1532</v>
      </c>
      <c r="E363" s="598"/>
      <c r="F363" s="693"/>
      <c r="G363" s="598"/>
      <c r="H363" s="598"/>
      <c r="I363" s="123"/>
      <c r="J363" s="123"/>
      <c r="K363" s="598" t="s">
        <v>1534</v>
      </c>
      <c r="L363" s="123"/>
      <c r="M363" s="123"/>
      <c r="N363" s="123"/>
      <c r="O363" s="123"/>
      <c r="P363" s="123"/>
      <c r="Q363" s="200"/>
    </row>
    <row r="364" spans="1:18" s="141" customFormat="1" ht="12.75" customHeight="1" x14ac:dyDescent="0.65">
      <c r="A364" s="142"/>
      <c r="B364" s="143"/>
      <c r="C364" s="143"/>
      <c r="D364" s="954"/>
      <c r="E364" s="954"/>
      <c r="F364" s="954"/>
      <c r="G364" s="954"/>
      <c r="H364" s="954"/>
      <c r="I364" s="954"/>
      <c r="J364" s="954"/>
      <c r="K364" s="954"/>
      <c r="L364" s="954"/>
      <c r="M364" s="954"/>
      <c r="N364" s="954"/>
      <c r="O364" s="954"/>
      <c r="P364" s="954"/>
      <c r="Q364" s="200"/>
      <c r="R364" s="184"/>
    </row>
    <row r="365" spans="1:18" s="141" customFormat="1" ht="46.5" thickBot="1" x14ac:dyDescent="0.7">
      <c r="A365" s="142"/>
      <c r="B365" s="143"/>
      <c r="C365" s="143"/>
      <c r="D365" s="144"/>
      <c r="E365" s="693"/>
      <c r="F365" s="693"/>
      <c r="G365" s="693"/>
      <c r="H365" s="144"/>
      <c r="I365" s="123"/>
      <c r="J365" s="123"/>
      <c r="K365" s="144"/>
      <c r="L365" s="123"/>
      <c r="M365" s="123"/>
      <c r="N365" s="123"/>
      <c r="O365" s="123"/>
      <c r="P365" s="123"/>
      <c r="Q365" s="200"/>
      <c r="R365" s="184"/>
    </row>
    <row r="366" spans="1:18" ht="47.25" thickTop="1" thickBot="1" x14ac:dyDescent="0.7">
      <c r="A366" s="134"/>
      <c r="B366" s="134"/>
      <c r="C366" s="134"/>
      <c r="D366" s="954"/>
      <c r="E366" s="954"/>
      <c r="F366" s="954"/>
      <c r="G366" s="954"/>
      <c r="H366" s="954"/>
      <c r="I366" s="954"/>
      <c r="J366" s="954"/>
      <c r="K366" s="954"/>
      <c r="L366" s="954"/>
      <c r="M366" s="954"/>
      <c r="N366" s="954"/>
      <c r="O366" s="954"/>
      <c r="P366" s="954"/>
      <c r="Q366" s="323"/>
    </row>
    <row r="367" spans="1:18" ht="150.75" hidden="1" customHeight="1" x14ac:dyDescent="0.65">
      <c r="D367" s="954" t="s">
        <v>608</v>
      </c>
      <c r="E367" s="954"/>
      <c r="F367" s="954"/>
      <c r="G367" s="954"/>
      <c r="H367" s="954"/>
      <c r="I367" s="954"/>
      <c r="J367" s="954"/>
      <c r="K367" s="954"/>
      <c r="L367" s="954"/>
      <c r="M367" s="954"/>
      <c r="N367" s="954"/>
      <c r="O367" s="954"/>
      <c r="P367" s="954"/>
    </row>
    <row r="368" spans="1:18" ht="95.25" customHeight="1" thickTop="1" x14ac:dyDescent="0.55000000000000004">
      <c r="G368" s="288"/>
      <c r="H368" s="288"/>
      <c r="Q368" s="192"/>
    </row>
    <row r="369" spans="1:18" hidden="1" x14ac:dyDescent="0.2">
      <c r="E369" s="4"/>
      <c r="F369" s="3"/>
      <c r="G369" s="288"/>
      <c r="H369" s="288"/>
      <c r="J369" s="4"/>
      <c r="K369" s="4"/>
    </row>
    <row r="370" spans="1:18" hidden="1" x14ac:dyDescent="0.2">
      <c r="E370" s="4"/>
      <c r="F370" s="3"/>
      <c r="G370" s="288"/>
      <c r="H370" s="288"/>
      <c r="J370" s="4"/>
      <c r="K370" s="4"/>
    </row>
    <row r="371" spans="1:18" ht="60.75" x14ac:dyDescent="0.2">
      <c r="E371" s="38" t="b">
        <f>E361=E359</f>
        <v>1</v>
      </c>
      <c r="F371" s="38" t="b">
        <f>F361=F359</f>
        <v>1</v>
      </c>
      <c r="G371" s="38" t="b">
        <f>G361=G359</f>
        <v>1</v>
      </c>
      <c r="H371" s="38" t="b">
        <f t="shared" ref="H371:O371" si="423">H361=H359</f>
        <v>1</v>
      </c>
      <c r="I371" s="38" t="b">
        <f>I361=I359</f>
        <v>1</v>
      </c>
      <c r="J371" s="38" t="b">
        <f>J359=J361</f>
        <v>1</v>
      </c>
      <c r="K371" s="38" t="b">
        <f>K361=K359</f>
        <v>1</v>
      </c>
      <c r="L371" s="38" t="b">
        <f t="shared" si="423"/>
        <v>1</v>
      </c>
      <c r="M371" s="38" t="b">
        <f t="shared" si="423"/>
        <v>1</v>
      </c>
      <c r="N371" s="38" t="b">
        <f t="shared" si="423"/>
        <v>1</v>
      </c>
      <c r="O371" s="38" t="b">
        <f t="shared" si="423"/>
        <v>1</v>
      </c>
      <c r="P371" s="38" t="b">
        <f>P361=P359</f>
        <v>1</v>
      </c>
    </row>
    <row r="372" spans="1:18" ht="61.5" x14ac:dyDescent="0.2">
      <c r="E372" s="38" t="b">
        <f>E359=F359</f>
        <v>1</v>
      </c>
      <c r="F372" s="779">
        <f>F355/E359*100</f>
        <v>3.0568472170567056E-2</v>
      </c>
      <c r="G372" s="780" t="s">
        <v>343</v>
      </c>
      <c r="H372" s="292"/>
      <c r="I372" s="126"/>
      <c r="J372" s="38" t="b">
        <f>J361=L361+O361</f>
        <v>1</v>
      </c>
      <c r="K372" s="127"/>
      <c r="L372" s="38"/>
      <c r="M372" s="126"/>
      <c r="N372" s="126"/>
      <c r="O372" s="38"/>
      <c r="P372" s="38" t="b">
        <f>E359+J359=P359</f>
        <v>1</v>
      </c>
    </row>
    <row r="373" spans="1:18" ht="60.75" x14ac:dyDescent="0.2">
      <c r="E373" s="128"/>
      <c r="F373" s="129"/>
      <c r="G373" s="128"/>
      <c r="H373" s="293"/>
      <c r="I373" s="128"/>
      <c r="J373" s="4"/>
      <c r="K373" s="4"/>
    </row>
    <row r="374" spans="1:18" ht="61.5" x14ac:dyDescent="0.2">
      <c r="A374" s="132"/>
      <c r="B374" s="132"/>
      <c r="C374" s="132"/>
      <c r="D374" s="6"/>
      <c r="E374" s="132"/>
      <c r="F374" s="45"/>
      <c r="G374" s="45"/>
      <c r="H374" s="292"/>
      <c r="I374" s="6"/>
      <c r="J374" s="48">
        <f>J359-J361</f>
        <v>0</v>
      </c>
      <c r="K374" s="48">
        <f>K359-K361</f>
        <v>0</v>
      </c>
      <c r="L374" s="48"/>
      <c r="M374" s="48"/>
      <c r="N374" s="48"/>
      <c r="O374" s="48">
        <f>O359-O361</f>
        <v>0</v>
      </c>
      <c r="P374" s="48"/>
    </row>
    <row r="375" spans="1:18" ht="61.5" x14ac:dyDescent="0.2">
      <c r="D375" s="6"/>
      <c r="E375" s="48"/>
      <c r="F375" s="130"/>
      <c r="G375" s="38"/>
      <c r="H375" s="292"/>
      <c r="I375" s="6"/>
      <c r="J375" s="48"/>
      <c r="K375" s="48"/>
      <c r="L375" s="102"/>
      <c r="P375" s="38"/>
      <c r="Q375" s="196"/>
      <c r="R375" s="199"/>
    </row>
    <row r="376" spans="1:18" ht="60.75" x14ac:dyDescent="0.2">
      <c r="A376" s="132"/>
      <c r="B376" s="132"/>
      <c r="C376" s="132"/>
      <c r="D376" s="6"/>
      <c r="E376" s="124"/>
      <c r="F376" s="124">
        <f>F361-F359</f>
        <v>0</v>
      </c>
      <c r="G376" s="124"/>
      <c r="H376" s="124">
        <f>H361-H359</f>
        <v>0</v>
      </c>
      <c r="I376" s="131"/>
      <c r="J376" s="124"/>
      <c r="K376" s="124"/>
      <c r="L376" s="124"/>
      <c r="M376" s="124"/>
      <c r="N376" s="124"/>
      <c r="O376" s="124"/>
      <c r="P376" s="124"/>
      <c r="Q376" s="196"/>
      <c r="R376" s="199"/>
    </row>
    <row r="377" spans="1:18" ht="60.75" x14ac:dyDescent="0.2">
      <c r="D377" s="6"/>
      <c r="E377" s="48"/>
      <c r="F377" s="68"/>
      <c r="G377" s="260"/>
      <c r="O377" s="38"/>
      <c r="P377" s="38"/>
    </row>
    <row r="378" spans="1:18" ht="60.75" x14ac:dyDescent="0.2">
      <c r="A378" s="132"/>
      <c r="B378" s="132"/>
      <c r="C378" s="132"/>
      <c r="D378" s="6"/>
      <c r="E378" s="48"/>
      <c r="F378" s="45"/>
      <c r="G378" s="102"/>
      <c r="I378" s="138"/>
      <c r="J378" s="4"/>
      <c r="K378" s="4"/>
      <c r="L378" s="132"/>
      <c r="M378" s="132"/>
      <c r="N378" s="132"/>
      <c r="O378" s="132"/>
      <c r="P378" s="38"/>
    </row>
    <row r="379" spans="1:18" ht="62.25" x14ac:dyDescent="0.8">
      <c r="A379" s="132"/>
      <c r="B379" s="132"/>
      <c r="C379" s="132"/>
      <c r="D379" s="132"/>
      <c r="E379" s="9"/>
      <c r="F379" s="45"/>
      <c r="J379" s="4"/>
      <c r="K379" s="4"/>
      <c r="L379" s="132"/>
      <c r="M379" s="132"/>
      <c r="N379" s="132"/>
      <c r="O379" s="132"/>
      <c r="P379" s="50"/>
    </row>
    <row r="380" spans="1:18" ht="45.75" x14ac:dyDescent="0.2">
      <c r="E380" s="103">
        <f>E355/E359</f>
        <v>3.0568472170567056E-4</v>
      </c>
      <c r="F380" s="68"/>
    </row>
    <row r="381" spans="1:18" ht="45.75" x14ac:dyDescent="0.2">
      <c r="A381" s="132"/>
      <c r="B381" s="132"/>
      <c r="C381" s="132"/>
      <c r="D381" s="132"/>
      <c r="E381" s="9"/>
      <c r="F381" s="45"/>
      <c r="L381" s="132"/>
      <c r="M381" s="132"/>
      <c r="N381" s="132"/>
      <c r="O381" s="132"/>
      <c r="P381" s="132"/>
    </row>
    <row r="382" spans="1:18" ht="45.75" x14ac:dyDescent="0.2">
      <c r="E382" s="10"/>
      <c r="F382" s="68"/>
    </row>
    <row r="383" spans="1:18" ht="45.75" x14ac:dyDescent="0.2">
      <c r="E383" s="10"/>
      <c r="F383" s="68"/>
    </row>
    <row r="384" spans="1:18" ht="45.75" x14ac:dyDescent="0.2">
      <c r="E384" s="10"/>
      <c r="F384" s="68"/>
    </row>
    <row r="385" spans="1:16" ht="45.75" x14ac:dyDescent="0.2">
      <c r="A385" s="132"/>
      <c r="B385" s="132"/>
      <c r="C385" s="132"/>
      <c r="D385" s="132"/>
      <c r="E385" s="10"/>
      <c r="F385" s="68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</row>
    <row r="386" spans="1:16" ht="45.75" x14ac:dyDescent="0.2">
      <c r="A386" s="132"/>
      <c r="B386" s="132"/>
      <c r="C386" s="132"/>
      <c r="D386" s="132"/>
      <c r="E386" s="10"/>
      <c r="F386" s="68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</row>
    <row r="387" spans="1:16" ht="45.75" x14ac:dyDescent="0.2">
      <c r="A387" s="132"/>
      <c r="B387" s="132"/>
      <c r="C387" s="132"/>
      <c r="D387" s="132"/>
      <c r="E387" s="10"/>
      <c r="F387" s="68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</row>
    <row r="388" spans="1:16" ht="45.75" x14ac:dyDescent="0.2">
      <c r="A388" s="132"/>
      <c r="B388" s="132"/>
      <c r="C388" s="132"/>
      <c r="D388" s="132"/>
      <c r="E388" s="10"/>
      <c r="F388" s="68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</row>
  </sheetData>
  <mergeCells count="198">
    <mergeCell ref="D367:P367"/>
    <mergeCell ref="A360:P360"/>
    <mergeCell ref="D366:P366"/>
    <mergeCell ref="K30:K31"/>
    <mergeCell ref="L30:L31"/>
    <mergeCell ref="M30:M31"/>
    <mergeCell ref="N30:N31"/>
    <mergeCell ref="O30:O31"/>
    <mergeCell ref="P30:P31"/>
    <mergeCell ref="E239:E240"/>
    <mergeCell ref="F239:F240"/>
    <mergeCell ref="G239:G240"/>
    <mergeCell ref="H239:H240"/>
    <mergeCell ref="I239:I240"/>
    <mergeCell ref="J239:J240"/>
    <mergeCell ref="A30:A31"/>
    <mergeCell ref="E30:E31"/>
    <mergeCell ref="F30:F31"/>
    <mergeCell ref="G30:G31"/>
    <mergeCell ref="H30:H31"/>
    <mergeCell ref="J30:J31"/>
    <mergeCell ref="A263:A264"/>
    <mergeCell ref="A51:A52"/>
    <mergeCell ref="B51:B5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  <mergeCell ref="A10:B10"/>
    <mergeCell ref="A12:A14"/>
    <mergeCell ref="B12:B14"/>
    <mergeCell ref="C12:C14"/>
    <mergeCell ref="D12:D14"/>
    <mergeCell ref="E12:I12"/>
    <mergeCell ref="L51:L52"/>
    <mergeCell ref="M51:M52"/>
    <mergeCell ref="N51:N52"/>
    <mergeCell ref="G167:G168"/>
    <mergeCell ref="C51:C52"/>
    <mergeCell ref="E51:E52"/>
    <mergeCell ref="F51:F52"/>
    <mergeCell ref="H167:H168"/>
    <mergeCell ref="I167:I168"/>
    <mergeCell ref="C167:C168"/>
    <mergeCell ref="E167:E168"/>
    <mergeCell ref="F167:F168"/>
    <mergeCell ref="C70:C71"/>
    <mergeCell ref="D70:D71"/>
    <mergeCell ref="E70:E71"/>
    <mergeCell ref="C141:C143"/>
    <mergeCell ref="E141:E143"/>
    <mergeCell ref="F141:F143"/>
    <mergeCell ref="G141:G143"/>
    <mergeCell ref="H141:H143"/>
    <mergeCell ref="I141:I143"/>
    <mergeCell ref="K144:K147"/>
    <mergeCell ref="L144:L147"/>
    <mergeCell ref="M144:M147"/>
    <mergeCell ref="P239:P240"/>
    <mergeCell ref="K167:K168"/>
    <mergeCell ref="L167:L168"/>
    <mergeCell ref="M167:M168"/>
    <mergeCell ref="N167:N168"/>
    <mergeCell ref="O167:O168"/>
    <mergeCell ref="P167:P168"/>
    <mergeCell ref="K239:K240"/>
    <mergeCell ref="L239:L240"/>
    <mergeCell ref="M239:M240"/>
    <mergeCell ref="N239:N240"/>
    <mergeCell ref="O239:O240"/>
    <mergeCell ref="H263:H264"/>
    <mergeCell ref="I263:I264"/>
    <mergeCell ref="I30:I31"/>
    <mergeCell ref="B30:B31"/>
    <mergeCell ref="C30:C31"/>
    <mergeCell ref="J263:J264"/>
    <mergeCell ref="A239:A240"/>
    <mergeCell ref="B239:B240"/>
    <mergeCell ref="C239:C240"/>
    <mergeCell ref="J167:J168"/>
    <mergeCell ref="A167:A168"/>
    <mergeCell ref="B167:B168"/>
    <mergeCell ref="A70:A71"/>
    <mergeCell ref="B70:B71"/>
    <mergeCell ref="B141:B143"/>
    <mergeCell ref="A151:A153"/>
    <mergeCell ref="B151:B153"/>
    <mergeCell ref="I144:I147"/>
    <mergeCell ref="J144:J147"/>
    <mergeCell ref="P70:P71"/>
    <mergeCell ref="A141:A143"/>
    <mergeCell ref="D364:P364"/>
    <mergeCell ref="O51:O52"/>
    <mergeCell ref="P51:P52"/>
    <mergeCell ref="G51:G52"/>
    <mergeCell ref="H51:H52"/>
    <mergeCell ref="I51:I52"/>
    <mergeCell ref="J51:J52"/>
    <mergeCell ref="K51:K52"/>
    <mergeCell ref="O263:O264"/>
    <mergeCell ref="P263:P264"/>
    <mergeCell ref="K263:K264"/>
    <mergeCell ref="L263:L264"/>
    <mergeCell ref="M263:M264"/>
    <mergeCell ref="N263:N264"/>
    <mergeCell ref="K290:K291"/>
    <mergeCell ref="L290:L291"/>
    <mergeCell ref="M290:M291"/>
    <mergeCell ref="N290:N291"/>
    <mergeCell ref="O290:O291"/>
    <mergeCell ref="E263:E264"/>
    <mergeCell ref="F263:F264"/>
    <mergeCell ref="G263:G264"/>
    <mergeCell ref="Q141:Q143"/>
    <mergeCell ref="A144:A147"/>
    <mergeCell ref="P290:P291"/>
    <mergeCell ref="I70:I71"/>
    <mergeCell ref="J70:J71"/>
    <mergeCell ref="K70:K71"/>
    <mergeCell ref="L70:L71"/>
    <mergeCell ref="A290:A291"/>
    <mergeCell ref="B290:B291"/>
    <mergeCell ref="C290:C291"/>
    <mergeCell ref="E290:E291"/>
    <mergeCell ref="F290:F291"/>
    <mergeCell ref="G290:G291"/>
    <mergeCell ref="H290:H291"/>
    <mergeCell ref="I290:I291"/>
    <mergeCell ref="J290:J291"/>
    <mergeCell ref="F70:F71"/>
    <mergeCell ref="G70:G71"/>
    <mergeCell ref="H70:H71"/>
    <mergeCell ref="M70:M71"/>
    <mergeCell ref="N70:N71"/>
    <mergeCell ref="B263:B264"/>
    <mergeCell ref="C263:C264"/>
    <mergeCell ref="O70:O71"/>
    <mergeCell ref="N144:N147"/>
    <mergeCell ref="O144:O147"/>
    <mergeCell ref="P144:P147"/>
    <mergeCell ref="J141:J143"/>
    <mergeCell ref="K141:K143"/>
    <mergeCell ref="L141:L143"/>
    <mergeCell ref="M141:M143"/>
    <mergeCell ref="N141:N143"/>
    <mergeCell ref="O141:O143"/>
    <mergeCell ref="P141:P143"/>
    <mergeCell ref="R141:R143"/>
    <mergeCell ref="R148:R150"/>
    <mergeCell ref="A148:A150"/>
    <mergeCell ref="B148:B150"/>
    <mergeCell ref="C148:C150"/>
    <mergeCell ref="E148:E150"/>
    <mergeCell ref="F148:F150"/>
    <mergeCell ref="G148:G150"/>
    <mergeCell ref="H148:H150"/>
    <mergeCell ref="I148:I150"/>
    <mergeCell ref="J148:J150"/>
    <mergeCell ref="K148:K150"/>
    <mergeCell ref="L148:L150"/>
    <mergeCell ref="M148:M150"/>
    <mergeCell ref="N148:N150"/>
    <mergeCell ref="O148:O150"/>
    <mergeCell ref="P148:P150"/>
    <mergeCell ref="R144:R147"/>
    <mergeCell ref="B144:B147"/>
    <mergeCell ref="C144:C147"/>
    <mergeCell ref="E144:E147"/>
    <mergeCell ref="F144:F147"/>
    <mergeCell ref="G144:G147"/>
    <mergeCell ref="H144:H147"/>
    <mergeCell ref="M151:M153"/>
    <mergeCell ref="N151:N153"/>
    <mergeCell ref="O151:O153"/>
    <mergeCell ref="P151:P153"/>
    <mergeCell ref="R151:R153"/>
    <mergeCell ref="C151:C153"/>
    <mergeCell ref="E151:E153"/>
    <mergeCell ref="F151:F153"/>
    <mergeCell ref="G151:G153"/>
    <mergeCell ref="H151:H153"/>
    <mergeCell ref="I151:I153"/>
    <mergeCell ref="J151:J153"/>
    <mergeCell ref="K151:K153"/>
    <mergeCell ref="L151:L153"/>
  </mergeCells>
  <conditionalFormatting sqref="Q348:Q349 Q351:R352 R350:S350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41:R343 Q339:R340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4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14:R318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03:Q312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03:R312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01:Q302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01:R302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293:R29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293:Q299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295:R29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27:R328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29:R33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27:Q333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R319:R325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3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33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3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35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4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4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46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5" max="15" man="1"/>
    <brk id="52" max="15" man="1"/>
    <brk id="256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2:R167"/>
  <sheetViews>
    <sheetView showGridLines="0" view="pageBreakPreview" topLeftCell="B4" zoomScale="85" zoomScaleNormal="85" zoomScaleSheetLayoutView="85" workbookViewId="0">
      <selection activeCell="N23" sqref="N23"/>
    </sheetView>
  </sheetViews>
  <sheetFormatPr defaultColWidth="7.85546875" defaultRowHeight="12.75" x14ac:dyDescent="0.2"/>
  <cols>
    <col min="1" max="1" width="0" style="8" hidden="1" customWidth="1"/>
    <col min="2" max="2" width="13" style="20" customWidth="1"/>
    <col min="3" max="3" width="13.5703125" style="20" customWidth="1"/>
    <col min="4" max="4" width="15.28515625" style="20" customWidth="1"/>
    <col min="5" max="5" width="38.85546875" style="20" customWidth="1"/>
    <col min="6" max="6" width="11.85546875" style="20" bestFit="1" customWidth="1"/>
    <col min="7" max="7" width="11.85546875" style="20" customWidth="1"/>
    <col min="8" max="8" width="13.28515625" style="20" customWidth="1"/>
    <col min="9" max="9" width="12.5703125" style="20" customWidth="1"/>
    <col min="10" max="10" width="12.140625" style="20" customWidth="1"/>
    <col min="11" max="11" width="18.140625" style="20" customWidth="1"/>
    <col min="12" max="12" width="13.5703125" style="20" customWidth="1"/>
    <col min="13" max="13" width="13" style="20" customWidth="1"/>
    <col min="14" max="14" width="11.42578125" style="20" customWidth="1"/>
    <col min="15" max="15" width="12.7109375" style="20" customWidth="1"/>
    <col min="16" max="16" width="12.5703125" style="20" customWidth="1"/>
    <col min="17" max="17" width="12.7109375" style="20" customWidth="1"/>
    <col min="18" max="18" width="10" style="203" bestFit="1" customWidth="1"/>
    <col min="19" max="16384" width="7.85546875" style="20"/>
  </cols>
  <sheetData>
    <row r="2" spans="1:18" ht="64.5" customHeight="1" x14ac:dyDescent="0.2">
      <c r="B2" s="8"/>
      <c r="C2" s="8"/>
      <c r="D2" s="8"/>
      <c r="M2" s="1024" t="s">
        <v>1240</v>
      </c>
      <c r="N2" s="1024"/>
      <c r="O2" s="1024"/>
      <c r="P2" s="1024"/>
      <c r="Q2" s="1024"/>
    </row>
    <row r="3" spans="1:18" ht="18.75" x14ac:dyDescent="0.2">
      <c r="B3" s="1028"/>
      <c r="C3" s="1028"/>
      <c r="D3" s="8"/>
      <c r="E3" s="1025" t="s">
        <v>687</v>
      </c>
      <c r="F3" s="1025"/>
      <c r="G3" s="1025"/>
      <c r="H3" s="1025"/>
      <c r="I3" s="1025"/>
      <c r="J3" s="1025"/>
      <c r="K3" s="1025"/>
      <c r="L3" s="1025"/>
      <c r="M3" s="1025"/>
      <c r="N3" s="22"/>
      <c r="O3" s="22"/>
      <c r="P3" s="22"/>
      <c r="Q3" s="22"/>
    </row>
    <row r="4" spans="1:18" s="160" customFormat="1" ht="21" customHeight="1" x14ac:dyDescent="0.2">
      <c r="A4" s="8"/>
      <c r="B4" s="158"/>
      <c r="C4" s="159"/>
      <c r="D4" s="24"/>
      <c r="E4" s="1025" t="s">
        <v>686</v>
      </c>
      <c r="F4" s="1036"/>
      <c r="G4" s="1036"/>
      <c r="H4" s="1036"/>
      <c r="I4" s="1036"/>
      <c r="J4" s="1036"/>
      <c r="K4" s="1036"/>
      <c r="L4" s="1036"/>
      <c r="M4" s="1036"/>
      <c r="N4" s="8"/>
      <c r="O4" s="8"/>
      <c r="P4" s="8"/>
      <c r="Q4" s="25"/>
      <c r="R4" s="203"/>
    </row>
    <row r="5" spans="1:18" s="82" customFormat="1" ht="12" customHeight="1" x14ac:dyDescent="0.2">
      <c r="A5" s="8"/>
      <c r="B5" s="1029">
        <v>22564000000</v>
      </c>
      <c r="C5" s="1030"/>
      <c r="D5" s="24"/>
      <c r="E5" s="83"/>
      <c r="F5" s="83"/>
      <c r="G5" s="83"/>
      <c r="H5" s="83"/>
      <c r="I5" s="83"/>
      <c r="J5" s="83"/>
      <c r="K5" s="83"/>
      <c r="L5" s="83"/>
      <c r="M5" s="83"/>
      <c r="N5" s="8"/>
      <c r="O5" s="8"/>
      <c r="P5" s="8"/>
      <c r="Q5" s="25"/>
      <c r="R5" s="203"/>
    </row>
    <row r="6" spans="1:18" s="82" customFormat="1" ht="12" customHeight="1" x14ac:dyDescent="0.2">
      <c r="A6" s="8"/>
      <c r="B6" s="1031" t="s">
        <v>535</v>
      </c>
      <c r="C6" s="1032"/>
      <c r="D6" s="24"/>
      <c r="E6" s="83"/>
      <c r="F6" s="83"/>
      <c r="G6" s="83"/>
      <c r="H6" s="83"/>
      <c r="I6" s="83"/>
      <c r="J6" s="83"/>
      <c r="K6" s="83"/>
      <c r="L6" s="83"/>
      <c r="M6" s="83"/>
      <c r="N6" s="8"/>
      <c r="O6" s="8"/>
      <c r="P6" s="8"/>
      <c r="Q6" s="25"/>
      <c r="R6" s="203"/>
    </row>
    <row r="7" spans="1:18" ht="21" customHeight="1" thickBot="1" x14ac:dyDescent="0.35"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21"/>
      <c r="N7" s="8"/>
      <c r="O7" s="8"/>
      <c r="P7" s="8"/>
      <c r="Q7" s="89" t="s">
        <v>431</v>
      </c>
    </row>
    <row r="8" spans="1:18" ht="17.45" customHeight="1" thickTop="1" thickBot="1" x14ac:dyDescent="0.25">
      <c r="A8" s="26"/>
      <c r="B8" s="1026" t="s">
        <v>536</v>
      </c>
      <c r="C8" s="1034" t="s">
        <v>537</v>
      </c>
      <c r="D8" s="1034" t="s">
        <v>417</v>
      </c>
      <c r="E8" s="1034" t="s">
        <v>690</v>
      </c>
      <c r="F8" s="1026" t="s">
        <v>136</v>
      </c>
      <c r="G8" s="1026"/>
      <c r="H8" s="1026"/>
      <c r="I8" s="1026"/>
      <c r="J8" s="1026" t="s">
        <v>137</v>
      </c>
      <c r="K8" s="1026"/>
      <c r="L8" s="1026"/>
      <c r="M8" s="1026"/>
      <c r="N8" s="1026" t="s">
        <v>416</v>
      </c>
      <c r="O8" s="1026"/>
      <c r="P8" s="1026"/>
      <c r="Q8" s="1026"/>
    </row>
    <row r="9" spans="1:18" ht="28.5" customHeight="1" thickTop="1" thickBot="1" x14ac:dyDescent="0.25">
      <c r="A9" s="27"/>
      <c r="B9" s="1026"/>
      <c r="C9" s="1011"/>
      <c r="D9" s="1011"/>
      <c r="E9" s="1035"/>
      <c r="F9" s="1021" t="s">
        <v>413</v>
      </c>
      <c r="G9" s="1021" t="s">
        <v>414</v>
      </c>
      <c r="H9" s="1022"/>
      <c r="I9" s="1021" t="s">
        <v>415</v>
      </c>
      <c r="J9" s="1021" t="s">
        <v>413</v>
      </c>
      <c r="K9" s="1021" t="s">
        <v>414</v>
      </c>
      <c r="L9" s="1022"/>
      <c r="M9" s="1021" t="s">
        <v>415</v>
      </c>
      <c r="N9" s="1021" t="s">
        <v>413</v>
      </c>
      <c r="O9" s="1021" t="s">
        <v>414</v>
      </c>
      <c r="P9" s="1022"/>
      <c r="Q9" s="1021" t="s">
        <v>415</v>
      </c>
    </row>
    <row r="10" spans="1:18" ht="65.25" customHeight="1" thickTop="1" thickBot="1" x14ac:dyDescent="0.25">
      <c r="A10" s="20"/>
      <c r="B10" s="1026"/>
      <c r="C10" s="1011"/>
      <c r="D10" s="1011"/>
      <c r="E10" s="1011"/>
      <c r="F10" s="1021"/>
      <c r="G10" s="175" t="s">
        <v>411</v>
      </c>
      <c r="H10" s="175" t="s">
        <v>412</v>
      </c>
      <c r="I10" s="1021"/>
      <c r="J10" s="1021"/>
      <c r="K10" s="175" t="s">
        <v>411</v>
      </c>
      <c r="L10" s="175" t="s">
        <v>412</v>
      </c>
      <c r="M10" s="1021"/>
      <c r="N10" s="1021"/>
      <c r="O10" s="175" t="s">
        <v>411</v>
      </c>
      <c r="P10" s="175" t="s">
        <v>412</v>
      </c>
      <c r="Q10" s="1021"/>
    </row>
    <row r="11" spans="1:18" ht="15" customHeight="1" thickTop="1" thickBot="1" x14ac:dyDescent="0.25">
      <c r="A11" s="20"/>
      <c r="B11" s="176">
        <v>1</v>
      </c>
      <c r="C11" s="177">
        <v>2</v>
      </c>
      <c r="D11" s="176">
        <v>3</v>
      </c>
      <c r="E11" s="177">
        <v>4</v>
      </c>
      <c r="F11" s="176">
        <v>5</v>
      </c>
      <c r="G11" s="177">
        <v>6</v>
      </c>
      <c r="H11" s="176">
        <v>7</v>
      </c>
      <c r="I11" s="177">
        <v>8</v>
      </c>
      <c r="J11" s="176">
        <v>9</v>
      </c>
      <c r="K11" s="177">
        <v>10</v>
      </c>
      <c r="L11" s="176">
        <v>11</v>
      </c>
      <c r="M11" s="177">
        <v>12</v>
      </c>
      <c r="N11" s="176">
        <v>13</v>
      </c>
      <c r="O11" s="177">
        <v>14</v>
      </c>
      <c r="P11" s="176">
        <v>15</v>
      </c>
      <c r="Q11" s="177">
        <v>16</v>
      </c>
    </row>
    <row r="12" spans="1:18" s="29" customFormat="1" ht="46.5" thickTop="1" thickBot="1" x14ac:dyDescent="0.25">
      <c r="A12" s="28"/>
      <c r="B12" s="936" t="s">
        <v>22</v>
      </c>
      <c r="C12" s="936"/>
      <c r="D12" s="936"/>
      <c r="E12" s="937" t="s">
        <v>23</v>
      </c>
      <c r="F12" s="938">
        <f>F13</f>
        <v>200000</v>
      </c>
      <c r="G12" s="938">
        <f t="shared" ref="G12:Q12" si="0">G13</f>
        <v>223742.2</v>
      </c>
      <c r="H12" s="938">
        <f t="shared" si="0"/>
        <v>0</v>
      </c>
      <c r="I12" s="938">
        <f>I13</f>
        <v>423742.2</v>
      </c>
      <c r="J12" s="938">
        <f t="shared" si="0"/>
        <v>0</v>
      </c>
      <c r="K12" s="938">
        <f t="shared" si="0"/>
        <v>-100000</v>
      </c>
      <c r="L12" s="938">
        <f t="shared" si="0"/>
        <v>0</v>
      </c>
      <c r="M12" s="938">
        <f>M13</f>
        <v>-100000</v>
      </c>
      <c r="N12" s="938">
        <f t="shared" si="0"/>
        <v>200000</v>
      </c>
      <c r="O12" s="938">
        <f t="shared" si="0"/>
        <v>123742.20000000001</v>
      </c>
      <c r="P12" s="938">
        <f t="shared" si="0"/>
        <v>0</v>
      </c>
      <c r="Q12" s="938">
        <f t="shared" si="0"/>
        <v>323742.2</v>
      </c>
      <c r="R12" s="204"/>
    </row>
    <row r="13" spans="1:18" ht="44.25" thickTop="1" thickBot="1" x14ac:dyDescent="0.25">
      <c r="A13" s="939"/>
      <c r="B13" s="940" t="s">
        <v>21</v>
      </c>
      <c r="C13" s="940"/>
      <c r="D13" s="940"/>
      <c r="E13" s="941" t="s">
        <v>37</v>
      </c>
      <c r="F13" s="942">
        <f>F17</f>
        <v>200000</v>
      </c>
      <c r="G13" s="942">
        <f t="shared" ref="G13:H13" si="1">G17</f>
        <v>223742.2</v>
      </c>
      <c r="H13" s="942">
        <f t="shared" si="1"/>
        <v>0</v>
      </c>
      <c r="I13" s="942">
        <f>I17</f>
        <v>423742.2</v>
      </c>
      <c r="J13" s="942">
        <f>J18</f>
        <v>0</v>
      </c>
      <c r="K13" s="942">
        <f>K18+K17+K19</f>
        <v>-100000</v>
      </c>
      <c r="L13" s="942">
        <f t="shared" ref="L13" si="2">L18</f>
        <v>0</v>
      </c>
      <c r="M13" s="942">
        <f>M18+M17+M19</f>
        <v>-100000</v>
      </c>
      <c r="N13" s="942">
        <f>N18+N17+N19</f>
        <v>200000</v>
      </c>
      <c r="O13" s="942">
        <f>O18+O17+O19</f>
        <v>123742.20000000001</v>
      </c>
      <c r="P13" s="942">
        <f>P18+P17+P19</f>
        <v>0</v>
      </c>
      <c r="Q13" s="942">
        <f>Q18+Q17+Q19</f>
        <v>323742.2</v>
      </c>
    </row>
    <row r="14" spans="1:18" s="412" customFormat="1" ht="15.75" thickTop="1" thickBot="1" x14ac:dyDescent="0.25">
      <c r="A14" s="8"/>
      <c r="B14" s="443" t="s">
        <v>1013</v>
      </c>
      <c r="C14" s="443" t="s">
        <v>852</v>
      </c>
      <c r="D14" s="443"/>
      <c r="E14" s="444" t="s">
        <v>1014</v>
      </c>
      <c r="F14" s="441">
        <f>F15</f>
        <v>200000</v>
      </c>
      <c r="G14" s="441">
        <f t="shared" ref="G14:Q15" si="3">G15</f>
        <v>223742.2</v>
      </c>
      <c r="H14" s="441">
        <f t="shared" si="3"/>
        <v>0</v>
      </c>
      <c r="I14" s="441">
        <f t="shared" si="3"/>
        <v>423742.2</v>
      </c>
      <c r="J14" s="441">
        <f t="shared" si="3"/>
        <v>0</v>
      </c>
      <c r="K14" s="441">
        <f t="shared" si="3"/>
        <v>-100000</v>
      </c>
      <c r="L14" s="441">
        <f t="shared" si="3"/>
        <v>0</v>
      </c>
      <c r="M14" s="441">
        <f t="shared" si="3"/>
        <v>-100000</v>
      </c>
      <c r="N14" s="441">
        <f t="shared" si="3"/>
        <v>200000</v>
      </c>
      <c r="O14" s="441">
        <f t="shared" si="3"/>
        <v>123742.20000000001</v>
      </c>
      <c r="P14" s="441">
        <f t="shared" si="3"/>
        <v>0</v>
      </c>
      <c r="Q14" s="441">
        <f t="shared" si="3"/>
        <v>323742.2</v>
      </c>
      <c r="R14" s="203"/>
    </row>
    <row r="15" spans="1:18" s="412" customFormat="1" ht="16.5" thickTop="1" thickBot="1" x14ac:dyDescent="0.25">
      <c r="A15" s="8"/>
      <c r="B15" s="445" t="s">
        <v>1015</v>
      </c>
      <c r="C15" s="445" t="s">
        <v>1016</v>
      </c>
      <c r="D15" s="445"/>
      <c r="E15" s="438" t="s">
        <v>1017</v>
      </c>
      <c r="F15" s="446">
        <f>F16</f>
        <v>200000</v>
      </c>
      <c r="G15" s="446">
        <f t="shared" si="3"/>
        <v>223742.2</v>
      </c>
      <c r="H15" s="446">
        <f t="shared" si="3"/>
        <v>0</v>
      </c>
      <c r="I15" s="446">
        <f t="shared" si="3"/>
        <v>423742.2</v>
      </c>
      <c r="J15" s="446">
        <f t="shared" si="3"/>
        <v>0</v>
      </c>
      <c r="K15" s="446">
        <f t="shared" si="3"/>
        <v>-100000</v>
      </c>
      <c r="L15" s="446">
        <f t="shared" si="3"/>
        <v>0</v>
      </c>
      <c r="M15" s="446">
        <f t="shared" si="3"/>
        <v>-100000</v>
      </c>
      <c r="N15" s="446">
        <f t="shared" si="3"/>
        <v>200000</v>
      </c>
      <c r="O15" s="446">
        <f t="shared" si="3"/>
        <v>123742.20000000001</v>
      </c>
      <c r="P15" s="446">
        <f t="shared" si="3"/>
        <v>0</v>
      </c>
      <c r="Q15" s="446">
        <f t="shared" si="3"/>
        <v>323742.2</v>
      </c>
      <c r="R15" s="203"/>
    </row>
    <row r="16" spans="1:18" s="412" customFormat="1" ht="76.5" thickTop="1" thickBot="1" x14ac:dyDescent="0.25">
      <c r="A16" s="8"/>
      <c r="B16" s="246" t="s">
        <v>1018</v>
      </c>
      <c r="C16" s="440" t="s">
        <v>1019</v>
      </c>
      <c r="D16" s="440"/>
      <c r="E16" s="439" t="s">
        <v>1048</v>
      </c>
      <c r="F16" s="442">
        <f>SUM(F17:F18)</f>
        <v>200000</v>
      </c>
      <c r="G16" s="442">
        <f t="shared" ref="G16:Q16" si="4">SUM(G17:G18)</f>
        <v>223742.2</v>
      </c>
      <c r="H16" s="442">
        <f t="shared" si="4"/>
        <v>0</v>
      </c>
      <c r="I16" s="442">
        <f t="shared" si="4"/>
        <v>423742.2</v>
      </c>
      <c r="J16" s="442">
        <f t="shared" si="4"/>
        <v>0</v>
      </c>
      <c r="K16" s="442">
        <f t="shared" si="4"/>
        <v>-100000</v>
      </c>
      <c r="L16" s="442">
        <f t="shared" si="4"/>
        <v>0</v>
      </c>
      <c r="M16" s="442">
        <f t="shared" si="4"/>
        <v>-100000</v>
      </c>
      <c r="N16" s="442">
        <f t="shared" si="4"/>
        <v>200000</v>
      </c>
      <c r="O16" s="442">
        <f t="shared" si="4"/>
        <v>123742.20000000001</v>
      </c>
      <c r="P16" s="442">
        <f t="shared" si="4"/>
        <v>0</v>
      </c>
      <c r="Q16" s="442">
        <f t="shared" si="4"/>
        <v>323742.2</v>
      </c>
      <c r="R16" s="203"/>
    </row>
    <row r="17" spans="1:18" ht="76.5" thickTop="1" thickBot="1" x14ac:dyDescent="0.25">
      <c r="B17" s="246" t="s">
        <v>493</v>
      </c>
      <c r="C17" s="246" t="s">
        <v>495</v>
      </c>
      <c r="D17" s="246" t="s">
        <v>52</v>
      </c>
      <c r="E17" s="247" t="s">
        <v>1050</v>
      </c>
      <c r="F17" s="248">
        <v>200000</v>
      </c>
      <c r="G17" s="248">
        <f>(100000)+123742.2</f>
        <v>223742.2</v>
      </c>
      <c r="H17" s="248">
        <v>0</v>
      </c>
      <c r="I17" s="248">
        <f>F17+G17</f>
        <v>423742.2</v>
      </c>
      <c r="J17" s="248">
        <v>0</v>
      </c>
      <c r="K17" s="248">
        <v>0</v>
      </c>
      <c r="L17" s="248"/>
      <c r="M17" s="248">
        <f>J17+K17</f>
        <v>0</v>
      </c>
      <c r="N17" s="248">
        <f>F17+J17</f>
        <v>200000</v>
      </c>
      <c r="O17" s="248">
        <f>G17+K17</f>
        <v>223742.2</v>
      </c>
      <c r="P17" s="248"/>
      <c r="Q17" s="248">
        <f>I17+M17</f>
        <v>423742.2</v>
      </c>
    </row>
    <row r="18" spans="1:18" ht="76.5" thickTop="1" thickBot="1" x14ac:dyDescent="0.25">
      <c r="B18" s="246" t="s">
        <v>494</v>
      </c>
      <c r="C18" s="246" t="s">
        <v>496</v>
      </c>
      <c r="D18" s="246" t="s">
        <v>52</v>
      </c>
      <c r="E18" s="247" t="s">
        <v>1049</v>
      </c>
      <c r="F18" s="248"/>
      <c r="G18" s="248">
        <f>H18+I18</f>
        <v>0</v>
      </c>
      <c r="H18" s="248"/>
      <c r="I18" s="248"/>
      <c r="J18" s="248"/>
      <c r="K18" s="248">
        <v>-100000</v>
      </c>
      <c r="L18" s="248"/>
      <c r="M18" s="248">
        <f>J18+K18</f>
        <v>-100000</v>
      </c>
      <c r="N18" s="248">
        <f>F18+J18</f>
        <v>0</v>
      </c>
      <c r="O18" s="248">
        <v>-100000</v>
      </c>
      <c r="P18" s="248"/>
      <c r="Q18" s="248">
        <f>I18+M18</f>
        <v>-100000</v>
      </c>
    </row>
    <row r="19" spans="1:18" s="100" customFormat="1" ht="61.5" hidden="1" thickTop="1" thickBot="1" x14ac:dyDescent="0.25">
      <c r="A19" s="8"/>
      <c r="B19" s="246" t="s">
        <v>550</v>
      </c>
      <c r="C19" s="246" t="s">
        <v>551</v>
      </c>
      <c r="D19" s="246" t="s">
        <v>52</v>
      </c>
      <c r="E19" s="247" t="s">
        <v>549</v>
      </c>
      <c r="F19" s="248"/>
      <c r="G19" s="248"/>
      <c r="H19" s="248"/>
      <c r="I19" s="248"/>
      <c r="J19" s="248"/>
      <c r="K19" s="248"/>
      <c r="L19" s="248"/>
      <c r="M19" s="248">
        <f>J19+K19</f>
        <v>0</v>
      </c>
      <c r="N19" s="248"/>
      <c r="O19" s="248">
        <f>G19+K19</f>
        <v>0</v>
      </c>
      <c r="P19" s="248"/>
      <c r="Q19" s="248">
        <f>I19+M19</f>
        <v>0</v>
      </c>
      <c r="R19" s="203"/>
    </row>
    <row r="20" spans="1:18" ht="27.75" customHeight="1" thickTop="1" thickBot="1" x14ac:dyDescent="0.25">
      <c r="B20" s="249" t="s">
        <v>408</v>
      </c>
      <c r="C20" s="249" t="s">
        <v>408</v>
      </c>
      <c r="D20" s="249" t="s">
        <v>408</v>
      </c>
      <c r="E20" s="250" t="s">
        <v>418</v>
      </c>
      <c r="F20" s="245">
        <f t="shared" ref="F20:M20" si="5">F12</f>
        <v>200000</v>
      </c>
      <c r="G20" s="245">
        <f t="shared" si="5"/>
        <v>223742.2</v>
      </c>
      <c r="H20" s="245">
        <f t="shared" si="5"/>
        <v>0</v>
      </c>
      <c r="I20" s="245">
        <f>I12</f>
        <v>423742.2</v>
      </c>
      <c r="J20" s="245">
        <f t="shared" si="5"/>
        <v>0</v>
      </c>
      <c r="K20" s="245">
        <f t="shared" si="5"/>
        <v>-100000</v>
      </c>
      <c r="L20" s="245">
        <f t="shared" si="5"/>
        <v>0</v>
      </c>
      <c r="M20" s="245">
        <f t="shared" si="5"/>
        <v>-100000</v>
      </c>
      <c r="N20" s="245">
        <f>N17+N18</f>
        <v>200000</v>
      </c>
      <c r="O20" s="245">
        <f>O17+O18</f>
        <v>123742.20000000001</v>
      </c>
      <c r="P20" s="245">
        <f>P17+P18</f>
        <v>0</v>
      </c>
      <c r="Q20" s="245">
        <f>Q17+Q18</f>
        <v>323742.2</v>
      </c>
    </row>
    <row r="21" spans="1:18" s="114" customFormat="1" ht="27.75" customHeight="1" thickTop="1" x14ac:dyDescent="0.2">
      <c r="A21" s="107"/>
      <c r="B21" s="112"/>
      <c r="C21" s="112"/>
      <c r="D21" s="112"/>
      <c r="E21" s="641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205"/>
    </row>
    <row r="22" spans="1:18" s="114" customFormat="1" ht="27.75" customHeight="1" x14ac:dyDescent="0.25">
      <c r="A22" s="107"/>
      <c r="B22" s="112"/>
      <c r="C22" s="112"/>
      <c r="D22" s="1027" t="s">
        <v>1535</v>
      </c>
      <c r="E22" s="1001"/>
      <c r="F22" s="694"/>
      <c r="G22" s="640"/>
      <c r="H22" s="640"/>
      <c r="I22" s="139"/>
      <c r="J22" s="139"/>
      <c r="K22" s="640" t="s">
        <v>1534</v>
      </c>
      <c r="L22" s="140"/>
      <c r="M22" s="140"/>
      <c r="N22" s="113"/>
      <c r="O22" s="113"/>
      <c r="P22" s="113"/>
      <c r="Q22" s="113"/>
      <c r="R22" s="205"/>
    </row>
    <row r="23" spans="1:18" s="114" customFormat="1" ht="27.75" customHeight="1" x14ac:dyDescent="0.25">
      <c r="A23" s="107"/>
      <c r="B23" s="112"/>
      <c r="C23" s="121"/>
      <c r="D23" s="145"/>
      <c r="E23" s="146"/>
      <c r="F23" s="146"/>
      <c r="G23" s="146"/>
      <c r="H23" s="145"/>
      <c r="I23" s="139"/>
      <c r="J23" s="139"/>
      <c r="K23" s="145"/>
      <c r="L23" s="140"/>
      <c r="M23" s="140"/>
      <c r="N23" s="122"/>
      <c r="O23" s="122"/>
      <c r="P23" s="122"/>
      <c r="Q23" s="113"/>
      <c r="R23" s="205"/>
    </row>
    <row r="24" spans="1:18" ht="39.75" hidden="1" customHeight="1" x14ac:dyDescent="0.25">
      <c r="B24" s="52"/>
      <c r="C24" s="120"/>
      <c r="D24" s="1023" t="s">
        <v>609</v>
      </c>
      <c r="E24" s="1023"/>
      <c r="F24" s="1023"/>
      <c r="G24" s="1023"/>
      <c r="H24" s="1023"/>
      <c r="I24" s="1023"/>
      <c r="J24" s="1023"/>
      <c r="K24" s="1023"/>
      <c r="L24" s="1023"/>
      <c r="M24" s="1023"/>
      <c r="N24" s="1023"/>
      <c r="O24" s="1023"/>
      <c r="P24" s="1023"/>
      <c r="Q24" s="53"/>
    </row>
    <row r="25" spans="1:18" ht="15.75" customHeight="1" x14ac:dyDescent="0.25">
      <c r="B25" s="52"/>
      <c r="C25" s="52"/>
      <c r="D25" s="1023"/>
      <c r="E25" s="1023"/>
      <c r="F25" s="1023"/>
      <c r="G25" s="1023"/>
      <c r="H25" s="1023"/>
      <c r="I25" s="1023"/>
      <c r="J25" s="1023"/>
      <c r="K25" s="1023"/>
      <c r="L25" s="1023"/>
      <c r="M25" s="1023"/>
      <c r="N25" s="1023"/>
      <c r="O25" s="1023"/>
      <c r="P25" s="1023"/>
      <c r="Q25" s="53"/>
    </row>
    <row r="26" spans="1:18" ht="15" x14ac:dyDescent="0.25">
      <c r="D26" s="1023"/>
      <c r="E26" s="1023"/>
      <c r="F26" s="1023"/>
      <c r="G26" s="1023"/>
      <c r="H26" s="1023"/>
      <c r="I26" s="1023"/>
      <c r="J26" s="1023"/>
      <c r="K26" s="1023"/>
      <c r="L26" s="1023"/>
      <c r="M26" s="1023"/>
      <c r="N26" s="1023"/>
      <c r="O26" s="1023"/>
      <c r="P26" s="1023"/>
    </row>
    <row r="27" spans="1:18" ht="15" x14ac:dyDescent="0.25">
      <c r="D27" s="1023"/>
      <c r="E27" s="1023"/>
      <c r="F27" s="1023"/>
      <c r="G27" s="1023"/>
      <c r="H27" s="1023"/>
      <c r="I27" s="1023"/>
      <c r="J27" s="1023"/>
      <c r="K27" s="1023"/>
      <c r="L27" s="1023"/>
      <c r="M27" s="1023"/>
      <c r="N27" s="1023"/>
      <c r="O27" s="1023"/>
      <c r="P27" s="1023"/>
    </row>
    <row r="28" spans="1:18" ht="15" x14ac:dyDescent="0.2">
      <c r="D28" s="54"/>
      <c r="E28" s="55"/>
      <c r="F28" s="56"/>
      <c r="G28" s="54">
        <f>H28+I28</f>
        <v>0</v>
      </c>
      <c r="H28" s="54"/>
      <c r="I28" s="57"/>
      <c r="J28" s="55"/>
      <c r="K28" s="57"/>
      <c r="L28" s="54"/>
      <c r="M28" s="54"/>
      <c r="N28" s="57"/>
      <c r="O28" s="58"/>
      <c r="P28" s="59"/>
    </row>
    <row r="29" spans="1:18" ht="15" x14ac:dyDescent="0.25">
      <c r="D29" s="60"/>
      <c r="E29" s="60"/>
      <c r="F29" s="60"/>
      <c r="G29" s="60">
        <f>H29+I29</f>
        <v>0</v>
      </c>
      <c r="H29" s="60"/>
      <c r="I29" s="60"/>
      <c r="J29" s="60"/>
      <c r="K29" s="60"/>
      <c r="L29" s="60"/>
      <c r="M29" s="60"/>
      <c r="N29" s="60"/>
      <c r="O29" s="60"/>
      <c r="P29" s="60"/>
    </row>
    <row r="30" spans="1:18" x14ac:dyDescent="0.2">
      <c r="G30" s="20">
        <f>H30+I30</f>
        <v>0</v>
      </c>
    </row>
    <row r="31" spans="1:18" x14ac:dyDescent="0.2">
      <c r="G31" s="20">
        <f>H31+I31</f>
        <v>0</v>
      </c>
    </row>
    <row r="32" spans="1:18" x14ac:dyDescent="0.2">
      <c r="G32" s="20">
        <f>H32+I32</f>
        <v>0</v>
      </c>
    </row>
    <row r="54" spans="7:7" x14ac:dyDescent="0.2">
      <c r="G54" s="20">
        <f>H54+I54</f>
        <v>0</v>
      </c>
    </row>
    <row r="56" spans="7:7" x14ac:dyDescent="0.2">
      <c r="G56" s="20">
        <f t="shared" ref="G56:G74" si="6">H56+I56</f>
        <v>0</v>
      </c>
    </row>
    <row r="57" spans="7:7" x14ac:dyDescent="0.2">
      <c r="G57" s="20">
        <f t="shared" si="6"/>
        <v>0</v>
      </c>
    </row>
    <row r="58" spans="7:7" x14ac:dyDescent="0.2">
      <c r="G58" s="20">
        <f t="shared" si="6"/>
        <v>0</v>
      </c>
    </row>
    <row r="59" spans="7:7" x14ac:dyDescent="0.2">
      <c r="G59" s="20">
        <f t="shared" si="6"/>
        <v>0</v>
      </c>
    </row>
    <row r="60" spans="7:7" x14ac:dyDescent="0.2">
      <c r="G60" s="20">
        <f t="shared" si="6"/>
        <v>0</v>
      </c>
    </row>
    <row r="61" spans="7:7" x14ac:dyDescent="0.2">
      <c r="G61" s="20">
        <f t="shared" si="6"/>
        <v>0</v>
      </c>
    </row>
    <row r="62" spans="7:7" x14ac:dyDescent="0.2">
      <c r="G62" s="20">
        <f t="shared" si="6"/>
        <v>0</v>
      </c>
    </row>
    <row r="63" spans="7:7" x14ac:dyDescent="0.2">
      <c r="G63" s="20">
        <f t="shared" si="6"/>
        <v>0</v>
      </c>
    </row>
    <row r="64" spans="7:7" x14ac:dyDescent="0.2">
      <c r="G64" s="20">
        <f t="shared" si="6"/>
        <v>0</v>
      </c>
    </row>
    <row r="65" spans="7:7" x14ac:dyDescent="0.2">
      <c r="G65" s="20">
        <f t="shared" si="6"/>
        <v>0</v>
      </c>
    </row>
    <row r="66" spans="7:7" x14ac:dyDescent="0.2">
      <c r="G66" s="20">
        <f t="shared" si="6"/>
        <v>0</v>
      </c>
    </row>
    <row r="67" spans="7:7" x14ac:dyDescent="0.2">
      <c r="G67" s="20">
        <f t="shared" si="6"/>
        <v>0</v>
      </c>
    </row>
    <row r="68" spans="7:7" x14ac:dyDescent="0.2">
      <c r="G68" s="20">
        <f t="shared" si="6"/>
        <v>0</v>
      </c>
    </row>
    <row r="69" spans="7:7" x14ac:dyDescent="0.2">
      <c r="G69" s="20">
        <f t="shared" si="6"/>
        <v>0</v>
      </c>
    </row>
    <row r="70" spans="7:7" x14ac:dyDescent="0.2">
      <c r="G70" s="20">
        <f t="shared" si="6"/>
        <v>0</v>
      </c>
    </row>
    <row r="71" spans="7:7" x14ac:dyDescent="0.2">
      <c r="G71" s="20">
        <f t="shared" si="6"/>
        <v>0</v>
      </c>
    </row>
    <row r="72" spans="7:7" x14ac:dyDescent="0.2">
      <c r="G72" s="20">
        <f t="shared" si="6"/>
        <v>0</v>
      </c>
    </row>
    <row r="73" spans="7:7" x14ac:dyDescent="0.2">
      <c r="G73" s="20">
        <f t="shared" si="6"/>
        <v>0</v>
      </c>
    </row>
    <row r="74" spans="7:7" x14ac:dyDescent="0.2">
      <c r="G74" s="20">
        <f t="shared" si="6"/>
        <v>0</v>
      </c>
    </row>
    <row r="76" spans="7:7" x14ac:dyDescent="0.2">
      <c r="G76" s="20">
        <f>H76+I76</f>
        <v>0</v>
      </c>
    </row>
    <row r="77" spans="7:7" x14ac:dyDescent="0.2">
      <c r="G77" s="20">
        <f>H77+I77</f>
        <v>0</v>
      </c>
    </row>
    <row r="78" spans="7:7" x14ac:dyDescent="0.2">
      <c r="G78" s="20">
        <f>H78+I78</f>
        <v>0</v>
      </c>
    </row>
    <row r="79" spans="7:7" x14ac:dyDescent="0.2">
      <c r="G79" s="20">
        <f>H79+I79</f>
        <v>0</v>
      </c>
    </row>
    <row r="81" spans="7:7" x14ac:dyDescent="0.2">
      <c r="G81" s="20">
        <f>H81+I81</f>
        <v>0</v>
      </c>
    </row>
    <row r="84" spans="7:7" x14ac:dyDescent="0.2">
      <c r="G84" s="1033"/>
    </row>
    <row r="85" spans="7:7" x14ac:dyDescent="0.2">
      <c r="G85" s="950"/>
    </row>
    <row r="121" spans="7:7" x14ac:dyDescent="0.2">
      <c r="G121" s="20">
        <f>H121+I121</f>
        <v>0</v>
      </c>
    </row>
    <row r="123" spans="7:7" x14ac:dyDescent="0.2">
      <c r="G123" s="20">
        <f t="shared" ref="G123:G133" si="7">H123+I123</f>
        <v>0</v>
      </c>
    </row>
    <row r="124" spans="7:7" x14ac:dyDescent="0.2">
      <c r="G124" s="20">
        <f t="shared" si="7"/>
        <v>0</v>
      </c>
    </row>
    <row r="125" spans="7:7" x14ac:dyDescent="0.2">
      <c r="G125" s="20">
        <f t="shared" si="7"/>
        <v>0</v>
      </c>
    </row>
    <row r="126" spans="7:7" x14ac:dyDescent="0.2">
      <c r="G126" s="20">
        <f t="shared" si="7"/>
        <v>0</v>
      </c>
    </row>
    <row r="127" spans="7:7" x14ac:dyDescent="0.2">
      <c r="G127" s="20">
        <f t="shared" si="7"/>
        <v>0</v>
      </c>
    </row>
    <row r="128" spans="7:7" x14ac:dyDescent="0.2">
      <c r="G128" s="20">
        <f t="shared" si="7"/>
        <v>0</v>
      </c>
    </row>
    <row r="129" spans="7:7" x14ac:dyDescent="0.2">
      <c r="G129" s="20">
        <f t="shared" si="7"/>
        <v>0</v>
      </c>
    </row>
    <row r="130" spans="7:7" x14ac:dyDescent="0.2">
      <c r="G130" s="20">
        <f t="shared" si="7"/>
        <v>0</v>
      </c>
    </row>
    <row r="131" spans="7:7" x14ac:dyDescent="0.2">
      <c r="G131" s="20">
        <f t="shared" si="7"/>
        <v>0</v>
      </c>
    </row>
    <row r="132" spans="7:7" x14ac:dyDescent="0.2">
      <c r="G132" s="20">
        <f t="shared" si="7"/>
        <v>0</v>
      </c>
    </row>
    <row r="133" spans="7:7" x14ac:dyDescent="0.2">
      <c r="G133" s="20">
        <f t="shared" si="7"/>
        <v>0</v>
      </c>
    </row>
    <row r="135" spans="7:7" x14ac:dyDescent="0.2">
      <c r="G135" s="20">
        <f>H136+I136</f>
        <v>0</v>
      </c>
    </row>
    <row r="136" spans="7:7" x14ac:dyDescent="0.2">
      <c r="G136" s="20">
        <f t="shared" ref="G136" si="8">H136+I136</f>
        <v>0</v>
      </c>
    </row>
    <row r="137" spans="7:7" x14ac:dyDescent="0.2">
      <c r="G137" s="20">
        <f>H137+I137</f>
        <v>0</v>
      </c>
    </row>
    <row r="138" spans="7:7" x14ac:dyDescent="0.2">
      <c r="G138" s="20">
        <f>H138+I138</f>
        <v>0</v>
      </c>
    </row>
    <row r="139" spans="7:7" x14ac:dyDescent="0.2">
      <c r="G139" s="20">
        <f>H139+I139</f>
        <v>0</v>
      </c>
    </row>
    <row r="140" spans="7:7" x14ac:dyDescent="0.2">
      <c r="G140" s="20">
        <f>H140+I140</f>
        <v>0</v>
      </c>
    </row>
    <row r="145" spans="7:10" ht="46.5" x14ac:dyDescent="0.65">
      <c r="J145" s="75"/>
    </row>
    <row r="148" spans="7:10" ht="46.5" x14ac:dyDescent="0.65">
      <c r="G148" s="75">
        <f>H148+I148</f>
        <v>0</v>
      </c>
      <c r="J148" s="75"/>
    </row>
    <row r="167" spans="11:11" ht="90" x14ac:dyDescent="1.1499999999999999">
      <c r="K167" s="73" t="b">
        <f>G167=H167+I167</f>
        <v>1</v>
      </c>
    </row>
  </sheetData>
  <mergeCells count="28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  <mergeCell ref="D22:E22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2"/>
  <sheetViews>
    <sheetView view="pageBreakPreview" topLeftCell="A77" zoomScale="40" zoomScaleNormal="25" zoomScaleSheetLayoutView="40" zoomScalePageLayoutView="10" workbookViewId="0">
      <selection activeCell="D99" sqref="D99"/>
    </sheetView>
  </sheetViews>
  <sheetFormatPr defaultColWidth="9.140625" defaultRowHeight="12.75" x14ac:dyDescent="0.2"/>
  <cols>
    <col min="1" max="1" width="62.28515625" style="1" customWidth="1"/>
    <col min="2" max="2" width="49.140625" style="1" customWidth="1"/>
    <col min="3" max="3" width="131.5703125" style="1" customWidth="1"/>
    <col min="4" max="4" width="69.7109375" style="1" customWidth="1"/>
    <col min="5" max="5" width="32.42578125" style="261" customWidth="1"/>
    <col min="6" max="6" width="29.85546875" style="261" customWidth="1"/>
    <col min="7" max="16384" width="9.140625" style="261"/>
  </cols>
  <sheetData>
    <row r="1" spans="1:15" ht="48.75" customHeight="1" x14ac:dyDescent="0.35">
      <c r="B1" s="277"/>
      <c r="C1" s="277"/>
      <c r="D1" s="284" t="s">
        <v>723</v>
      </c>
      <c r="E1" s="278"/>
      <c r="F1" s="278"/>
      <c r="G1" s="278"/>
      <c r="H1" s="278"/>
    </row>
    <row r="2" spans="1:15" ht="84.75" customHeight="1" x14ac:dyDescent="0.35">
      <c r="A2" s="262"/>
      <c r="B2" s="277"/>
      <c r="C2" s="277"/>
      <c r="D2" s="284" t="s">
        <v>1241</v>
      </c>
      <c r="E2" s="278"/>
      <c r="F2" s="278"/>
      <c r="G2" s="278"/>
      <c r="H2" s="278"/>
    </row>
    <row r="3" spans="1:15" ht="40.700000000000003" customHeight="1" x14ac:dyDescent="0.2">
      <c r="A3" s="262"/>
      <c r="B3" s="262"/>
      <c r="C3" s="270"/>
      <c r="D3" s="263"/>
      <c r="N3" s="1000"/>
      <c r="O3" s="1000"/>
    </row>
    <row r="4" spans="1:15" ht="45.75" hidden="1" x14ac:dyDescent="0.2">
      <c r="A4" s="262"/>
      <c r="B4" s="262"/>
      <c r="C4" s="270"/>
      <c r="D4" s="263"/>
      <c r="N4" s="1000"/>
      <c r="O4" s="1002"/>
    </row>
    <row r="5" spans="1:15" ht="45.75" x14ac:dyDescent="0.2">
      <c r="A5" s="1003" t="s">
        <v>693</v>
      </c>
      <c r="B5" s="1003"/>
      <c r="C5" s="1003"/>
      <c r="D5" s="1003"/>
      <c r="N5" s="1000"/>
      <c r="O5" s="1002"/>
    </row>
    <row r="6" spans="1:15" ht="45" x14ac:dyDescent="0.2">
      <c r="A6" s="1003" t="s">
        <v>619</v>
      </c>
      <c r="B6" s="1003"/>
      <c r="C6" s="1003"/>
      <c r="D6" s="1003"/>
    </row>
    <row r="7" spans="1:15" ht="45" x14ac:dyDescent="0.2">
      <c r="A7" s="1003"/>
      <c r="B7" s="1003"/>
      <c r="C7" s="1003"/>
      <c r="D7" s="1003"/>
    </row>
    <row r="8" spans="1:15" ht="45.75" x14ac:dyDescent="0.65">
      <c r="A8" s="1004">
        <v>22564000000</v>
      </c>
      <c r="B8" s="953"/>
      <c r="C8" s="953"/>
      <c r="D8" s="953"/>
    </row>
    <row r="9" spans="1:15" ht="45.75" x14ac:dyDescent="0.2">
      <c r="A9" s="1009" t="s">
        <v>535</v>
      </c>
      <c r="B9" s="953"/>
      <c r="C9" s="953"/>
      <c r="D9" s="953"/>
    </row>
    <row r="10" spans="1:15" s="265" customFormat="1" ht="45.75" x14ac:dyDescent="0.2">
      <c r="A10" s="272"/>
      <c r="B10" s="266"/>
      <c r="C10" s="266"/>
      <c r="D10" s="266"/>
    </row>
    <row r="11" spans="1:15" ht="53.45" customHeight="1" x14ac:dyDescent="0.2">
      <c r="A11" s="1003" t="s">
        <v>727</v>
      </c>
      <c r="B11" s="1001"/>
      <c r="C11" s="1001"/>
      <c r="D11" s="1001"/>
    </row>
    <row r="12" spans="1:15" s="265" customFormat="1" ht="45" x14ac:dyDescent="0.2">
      <c r="A12" s="271"/>
      <c r="B12" s="269"/>
      <c r="C12" s="269"/>
      <c r="D12" s="269"/>
    </row>
    <row r="13" spans="1:15" s="265" customFormat="1" ht="53.45" customHeight="1" thickBot="1" x14ac:dyDescent="0.25">
      <c r="A13" s="271"/>
      <c r="B13" s="271"/>
      <c r="C13" s="271"/>
      <c r="D13" s="6" t="s">
        <v>431</v>
      </c>
    </row>
    <row r="14" spans="1:15" ht="140.25" customHeight="1" thickTop="1" thickBot="1" x14ac:dyDescent="0.25">
      <c r="A14" s="241" t="s">
        <v>729</v>
      </c>
      <c r="B14" s="1053" t="s">
        <v>728</v>
      </c>
      <c r="C14" s="1054"/>
      <c r="D14" s="241" t="s">
        <v>410</v>
      </c>
    </row>
    <row r="15" spans="1:15" s="2" customFormat="1" ht="47.25" thickTop="1" thickBot="1" x14ac:dyDescent="0.25">
      <c r="A15" s="275" t="s">
        <v>2</v>
      </c>
      <c r="B15" s="1055" t="s">
        <v>3</v>
      </c>
      <c r="C15" s="1054"/>
      <c r="D15" s="275" t="s">
        <v>14</v>
      </c>
    </row>
    <row r="16" spans="1:15" s="2" customFormat="1" ht="66.75" customHeight="1" thickTop="1" thickBot="1" x14ac:dyDescent="0.25">
      <c r="A16" s="1037" t="s">
        <v>730</v>
      </c>
      <c r="B16" s="1038"/>
      <c r="C16" s="1038"/>
      <c r="D16" s="1039"/>
    </row>
    <row r="17" spans="1:5" s="2" customFormat="1" ht="46.5" thickTop="1" thickBot="1" x14ac:dyDescent="0.25">
      <c r="A17" s="689" t="s">
        <v>741</v>
      </c>
      <c r="B17" s="1040" t="s">
        <v>470</v>
      </c>
      <c r="C17" s="1056"/>
      <c r="D17" s="690">
        <f>SUM(D18:D24)</f>
        <v>779429835</v>
      </c>
    </row>
    <row r="18" spans="1:5" s="2" customFormat="1" ht="158.25" customHeight="1" thickTop="1" thickBot="1" x14ac:dyDescent="0.25">
      <c r="A18" s="281" t="s">
        <v>1283</v>
      </c>
      <c r="B18" s="1046" t="s">
        <v>1282</v>
      </c>
      <c r="C18" s="1047"/>
      <c r="D18" s="289">
        <f>25000000+20000000</f>
        <v>45000000</v>
      </c>
    </row>
    <row r="19" spans="1:5" s="2" customFormat="1" ht="158.25" customHeight="1" thickTop="1" thickBot="1" x14ac:dyDescent="0.25">
      <c r="A19" s="281" t="s">
        <v>1433</v>
      </c>
      <c r="B19" s="1046" t="s">
        <v>1379</v>
      </c>
      <c r="C19" s="1047"/>
      <c r="D19" s="799">
        <v>2520000</v>
      </c>
    </row>
    <row r="20" spans="1:5" s="2" customFormat="1" ht="47.25" thickTop="1" thickBot="1" x14ac:dyDescent="0.25">
      <c r="A20" s="281" t="s">
        <v>740</v>
      </c>
      <c r="B20" s="1046" t="s">
        <v>759</v>
      </c>
      <c r="C20" s="1047"/>
      <c r="D20" s="487">
        <v>623112400</v>
      </c>
    </row>
    <row r="21" spans="1:5" s="2" customFormat="1" ht="149.25" customHeight="1" thickTop="1" thickBot="1" x14ac:dyDescent="0.25">
      <c r="A21" s="485" t="s">
        <v>1427</v>
      </c>
      <c r="B21" s="1057" t="s">
        <v>1380</v>
      </c>
      <c r="C21" s="1058"/>
      <c r="D21" s="487">
        <f>1820000+1200000</f>
        <v>3020000</v>
      </c>
    </row>
    <row r="22" spans="1:5" s="2" customFormat="1" ht="194.25" customHeight="1" thickTop="1" thickBot="1" x14ac:dyDescent="0.25">
      <c r="A22" s="281" t="s">
        <v>1285</v>
      </c>
      <c r="B22" s="1046" t="s">
        <v>1284</v>
      </c>
      <c r="C22" s="1047"/>
      <c r="D22" s="283">
        <v>250000</v>
      </c>
    </row>
    <row r="23" spans="1:5" s="2" customFormat="1" ht="194.25" customHeight="1" thickTop="1" thickBot="1" x14ac:dyDescent="0.25">
      <c r="A23" s="281" t="s">
        <v>1304</v>
      </c>
      <c r="B23" s="1046" t="s">
        <v>1305</v>
      </c>
      <c r="C23" s="1047"/>
      <c r="D23" s="283">
        <v>2571595</v>
      </c>
    </row>
    <row r="24" spans="1:5" s="2" customFormat="1" ht="104.25" customHeight="1" thickTop="1" thickBot="1" x14ac:dyDescent="0.25">
      <c r="A24" s="281" t="s">
        <v>1272</v>
      </c>
      <c r="B24" s="1046" t="s">
        <v>1271</v>
      </c>
      <c r="C24" s="1047"/>
      <c r="D24" s="283">
        <f>70000000+32955840</f>
        <v>102955840</v>
      </c>
    </row>
    <row r="25" spans="1:5" s="2" customFormat="1" ht="47.25" thickTop="1" thickBot="1" x14ac:dyDescent="0.25">
      <c r="A25" s="585" t="s">
        <v>1051</v>
      </c>
      <c r="B25" s="1042" t="s">
        <v>692</v>
      </c>
      <c r="C25" s="1043"/>
      <c r="D25" s="225">
        <f>D17</f>
        <v>779429835</v>
      </c>
    </row>
    <row r="26" spans="1:5" s="2" customFormat="1" ht="85.5" customHeight="1" thickTop="1" thickBot="1" x14ac:dyDescent="0.25">
      <c r="A26" s="689" t="s">
        <v>751</v>
      </c>
      <c r="B26" s="1040" t="s">
        <v>370</v>
      </c>
      <c r="C26" s="1041"/>
      <c r="D26" s="690">
        <f>D27</f>
        <v>12117934</v>
      </c>
    </row>
    <row r="27" spans="1:5" s="2" customFormat="1" ht="193.5" customHeight="1" thickTop="1" thickBot="1" x14ac:dyDescent="0.25">
      <c r="A27" s="281" t="s">
        <v>752</v>
      </c>
      <c r="B27" s="1046" t="s">
        <v>760</v>
      </c>
      <c r="C27" s="1047"/>
      <c r="D27" s="289">
        <v>12117934</v>
      </c>
    </row>
    <row r="28" spans="1:5" s="2" customFormat="1" ht="47.25" thickTop="1" thickBot="1" x14ac:dyDescent="0.25">
      <c r="A28" s="792" t="s">
        <v>749</v>
      </c>
      <c r="B28" s="1042" t="s">
        <v>750</v>
      </c>
      <c r="C28" s="1043"/>
      <c r="D28" s="790">
        <f>D27</f>
        <v>12117934</v>
      </c>
    </row>
    <row r="29" spans="1:5" s="2" customFormat="1" ht="123.75" customHeight="1" thickTop="1" thickBot="1" x14ac:dyDescent="0.25">
      <c r="A29" s="689" t="s">
        <v>753</v>
      </c>
      <c r="B29" s="1040" t="s">
        <v>754</v>
      </c>
      <c r="C29" s="1041"/>
      <c r="D29" s="690">
        <f>D46+D48</f>
        <v>58178043.310000002</v>
      </c>
      <c r="E29" s="703" t="b">
        <f>D29=D46+D48</f>
        <v>1</v>
      </c>
    </row>
    <row r="30" spans="1:5" s="2" customFormat="1" ht="312.75" customHeight="1" thickTop="1" x14ac:dyDescent="0.65">
      <c r="A30" s="1059" t="s">
        <v>1436</v>
      </c>
      <c r="B30" s="1049" t="s">
        <v>1434</v>
      </c>
      <c r="C30" s="1050"/>
      <c r="D30" s="1061">
        <v>11298891.529999999</v>
      </c>
    </row>
    <row r="31" spans="1:5" s="2" customFormat="1" ht="376.5" customHeight="1" thickBot="1" x14ac:dyDescent="0.25">
      <c r="A31" s="1060"/>
      <c r="B31" s="1051" t="s">
        <v>1435</v>
      </c>
      <c r="C31" s="1052"/>
      <c r="D31" s="971"/>
    </row>
    <row r="32" spans="1:5" s="2" customFormat="1" ht="408.75" customHeight="1" thickTop="1" x14ac:dyDescent="0.65">
      <c r="A32" s="1059" t="s">
        <v>1428</v>
      </c>
      <c r="B32" s="1049" t="s">
        <v>1429</v>
      </c>
      <c r="C32" s="1050"/>
      <c r="D32" s="1061">
        <v>1093438.78</v>
      </c>
    </row>
    <row r="33" spans="1:5" s="2" customFormat="1" ht="197.25" customHeight="1" thickBot="1" x14ac:dyDescent="0.25">
      <c r="A33" s="1060"/>
      <c r="B33" s="1051" t="s">
        <v>1430</v>
      </c>
      <c r="C33" s="1052"/>
      <c r="D33" s="971"/>
    </row>
    <row r="34" spans="1:5" s="2" customFormat="1" ht="408" customHeight="1" thickTop="1" x14ac:dyDescent="0.65">
      <c r="A34" s="1059">
        <v>41050600</v>
      </c>
      <c r="B34" s="1049" t="s">
        <v>1431</v>
      </c>
      <c r="C34" s="1050"/>
      <c r="D34" s="1061">
        <v>1751965</v>
      </c>
    </row>
    <row r="35" spans="1:5" s="2" customFormat="1" ht="409.5" customHeight="1" thickBot="1" x14ac:dyDescent="0.25">
      <c r="A35" s="1060"/>
      <c r="B35" s="1051" t="s">
        <v>1432</v>
      </c>
      <c r="C35" s="1052"/>
      <c r="D35" s="971"/>
    </row>
    <row r="36" spans="1:5" s="2" customFormat="1" ht="347.25" customHeight="1" thickTop="1" thickBot="1" x14ac:dyDescent="0.25">
      <c r="A36" s="281">
        <v>41050900</v>
      </c>
      <c r="B36" s="1046" t="s">
        <v>1437</v>
      </c>
      <c r="C36" s="1047"/>
      <c r="D36" s="487">
        <f>3577034-376956</f>
        <v>3200078</v>
      </c>
    </row>
    <row r="37" spans="1:5" s="2" customFormat="1" ht="142.5" customHeight="1" thickTop="1" thickBot="1" x14ac:dyDescent="0.25">
      <c r="A37" s="281" t="s">
        <v>755</v>
      </c>
      <c r="B37" s="1046" t="s">
        <v>756</v>
      </c>
      <c r="C37" s="1047"/>
      <c r="D37" s="283">
        <v>7340558</v>
      </c>
    </row>
    <row r="38" spans="1:5" s="2" customFormat="1" ht="136.5" customHeight="1" thickTop="1" thickBot="1" x14ac:dyDescent="0.25">
      <c r="A38" s="281" t="s">
        <v>757</v>
      </c>
      <c r="B38" s="1046" t="s">
        <v>756</v>
      </c>
      <c r="C38" s="1047"/>
      <c r="D38" s="289">
        <v>7118182</v>
      </c>
    </row>
    <row r="39" spans="1:5" s="2" customFormat="1" ht="202.5" customHeight="1" thickTop="1" thickBot="1" x14ac:dyDescent="0.25">
      <c r="A39" s="281" t="s">
        <v>1286</v>
      </c>
      <c r="B39" s="1046" t="s">
        <v>1287</v>
      </c>
      <c r="C39" s="1047"/>
      <c r="D39" s="289">
        <v>6063695</v>
      </c>
    </row>
    <row r="40" spans="1:5" s="2" customFormat="1" ht="196.5" customHeight="1" thickTop="1" thickBot="1" x14ac:dyDescent="0.25">
      <c r="A40" s="281" t="s">
        <v>1200</v>
      </c>
      <c r="B40" s="1046" t="s">
        <v>1201</v>
      </c>
      <c r="C40" s="1047"/>
      <c r="D40" s="289">
        <f>(1648625)+299264+172700</f>
        <v>2120589</v>
      </c>
    </row>
    <row r="41" spans="1:5" s="2" customFormat="1" ht="47.25" thickTop="1" thickBot="1" x14ac:dyDescent="0.25">
      <c r="A41" s="281">
        <v>41053900</v>
      </c>
      <c r="B41" s="1046" t="s">
        <v>390</v>
      </c>
      <c r="C41" s="1047"/>
      <c r="D41" s="289">
        <v>707334</v>
      </c>
    </row>
    <row r="42" spans="1:5" s="2" customFormat="1" ht="409.5" customHeight="1" thickTop="1" x14ac:dyDescent="0.65">
      <c r="A42" s="1059" t="s">
        <v>1438</v>
      </c>
      <c r="B42" s="1049" t="s">
        <v>1439</v>
      </c>
      <c r="C42" s="1050"/>
      <c r="D42" s="1061">
        <v>2429312</v>
      </c>
    </row>
    <row r="43" spans="1:5" s="2" customFormat="1" ht="150.75" customHeight="1" thickBot="1" x14ac:dyDescent="0.25">
      <c r="A43" s="1060"/>
      <c r="B43" s="1051" t="s">
        <v>1440</v>
      </c>
      <c r="C43" s="1052"/>
      <c r="D43" s="971"/>
    </row>
    <row r="44" spans="1:5" s="2" customFormat="1" ht="149.25" customHeight="1" thickTop="1" thickBot="1" x14ac:dyDescent="0.25">
      <c r="A44" s="281" t="s">
        <v>758</v>
      </c>
      <c r="B44" s="1046" t="s">
        <v>761</v>
      </c>
      <c r="C44" s="1047"/>
      <c r="D44" s="289">
        <f>9137200+334400+4782400</f>
        <v>14254000</v>
      </c>
    </row>
    <row r="45" spans="1:5" s="2" customFormat="1" ht="296.25" hidden="1" customHeight="1" thickTop="1" thickBot="1" x14ac:dyDescent="0.25">
      <c r="A45" s="281" t="s">
        <v>1347</v>
      </c>
      <c r="B45" s="1046" t="s">
        <v>1348</v>
      </c>
      <c r="C45" s="1047"/>
      <c r="D45" s="660">
        <f>10623233.82-10623233.82</f>
        <v>0</v>
      </c>
    </row>
    <row r="46" spans="1:5" s="2" customFormat="1" ht="66.75" customHeight="1" thickTop="1" thickBot="1" x14ac:dyDescent="0.55000000000000004">
      <c r="A46" s="224" t="s">
        <v>749</v>
      </c>
      <c r="B46" s="1042" t="s">
        <v>750</v>
      </c>
      <c r="C46" s="1043"/>
      <c r="D46" s="285">
        <f>SUM(D30:D44)</f>
        <v>57378043.310000002</v>
      </c>
      <c r="E46" s="798"/>
    </row>
    <row r="47" spans="1:5" s="2" customFormat="1" ht="246.75" customHeight="1" thickTop="1" thickBot="1" x14ac:dyDescent="0.25">
      <c r="A47" s="281" t="s">
        <v>1486</v>
      </c>
      <c r="B47" s="1046" t="s">
        <v>1487</v>
      </c>
      <c r="C47" s="1047"/>
      <c r="D47" s="289">
        <v>800000</v>
      </c>
    </row>
    <row r="48" spans="1:5" s="2" customFormat="1" ht="66.75" customHeight="1" thickTop="1" thickBot="1" x14ac:dyDescent="0.25">
      <c r="A48" s="792" t="s">
        <v>695</v>
      </c>
      <c r="B48" s="1042" t="s">
        <v>696</v>
      </c>
      <c r="C48" s="1043"/>
      <c r="D48" s="790">
        <f>D47</f>
        <v>800000</v>
      </c>
    </row>
    <row r="49" spans="1:5" ht="61.5" customHeight="1" thickTop="1" thickBot="1" x14ac:dyDescent="0.25">
      <c r="A49" s="1037" t="s">
        <v>731</v>
      </c>
      <c r="B49" s="1038"/>
      <c r="C49" s="1038"/>
      <c r="D49" s="1039"/>
    </row>
    <row r="50" spans="1:5" s="759" customFormat="1" ht="61.5" customHeight="1" thickTop="1" thickBot="1" x14ac:dyDescent="0.25">
      <c r="A50" s="689" t="s">
        <v>741</v>
      </c>
      <c r="B50" s="1040" t="s">
        <v>470</v>
      </c>
      <c r="C50" s="1056"/>
      <c r="D50" s="690">
        <f>D51</f>
        <v>1170000</v>
      </c>
    </row>
    <row r="51" spans="1:5" s="759" customFormat="1" ht="153.75" customHeight="1" thickTop="1" thickBot="1" x14ac:dyDescent="0.25">
      <c r="A51" s="281" t="s">
        <v>1427</v>
      </c>
      <c r="B51" s="1046" t="s">
        <v>1380</v>
      </c>
      <c r="C51" s="1047"/>
      <c r="D51" s="289">
        <v>1170000</v>
      </c>
    </row>
    <row r="52" spans="1:5" s="759" customFormat="1" ht="47.25" thickTop="1" thickBot="1" x14ac:dyDescent="0.25">
      <c r="A52" s="760" t="s">
        <v>1051</v>
      </c>
      <c r="B52" s="1042" t="s">
        <v>692</v>
      </c>
      <c r="C52" s="1043"/>
      <c r="D52" s="225">
        <f>D50</f>
        <v>1170000</v>
      </c>
    </row>
    <row r="53" spans="1:5" ht="121.5" customHeight="1" thickTop="1" thickBot="1" x14ac:dyDescent="0.25">
      <c r="A53" s="689" t="s">
        <v>753</v>
      </c>
      <c r="B53" s="1040" t="s">
        <v>754</v>
      </c>
      <c r="C53" s="1041"/>
      <c r="D53" s="690">
        <f>D56+D58</f>
        <v>25200000</v>
      </c>
      <c r="E53" s="703" t="b">
        <f>D53=D54+D55+D57</f>
        <v>1</v>
      </c>
    </row>
    <row r="54" spans="1:5" s="577" customFormat="1" ht="165.75" customHeight="1" thickTop="1" thickBot="1" x14ac:dyDescent="0.25">
      <c r="A54" s="281" t="s">
        <v>1202</v>
      </c>
      <c r="B54" s="1046" t="s">
        <v>1205</v>
      </c>
      <c r="C54" s="1047"/>
      <c r="D54" s="289">
        <v>1700000</v>
      </c>
    </row>
    <row r="55" spans="1:5" s="577" customFormat="1" ht="147.75" customHeight="1" thickTop="1" thickBot="1" x14ac:dyDescent="0.25">
      <c r="A55" s="281">
        <v>41053900</v>
      </c>
      <c r="B55" s="1046" t="s">
        <v>1206</v>
      </c>
      <c r="C55" s="1047"/>
      <c r="D55" s="289">
        <f>20000000+3000000</f>
        <v>23000000</v>
      </c>
    </row>
    <row r="56" spans="1:5" s="577" customFormat="1" ht="47.25" thickTop="1" thickBot="1" x14ac:dyDescent="0.25">
      <c r="A56" s="581" t="s">
        <v>749</v>
      </c>
      <c r="B56" s="1042" t="s">
        <v>750</v>
      </c>
      <c r="C56" s="1043"/>
      <c r="D56" s="578">
        <f>D55+D54</f>
        <v>24700000</v>
      </c>
    </row>
    <row r="57" spans="1:5" s="787" customFormat="1" ht="131.25" customHeight="1" thickTop="1" thickBot="1" x14ac:dyDescent="0.25">
      <c r="A57" s="281">
        <v>41053900</v>
      </c>
      <c r="B57" s="1046" t="s">
        <v>1483</v>
      </c>
      <c r="C57" s="1047"/>
      <c r="D57" s="289">
        <v>500000</v>
      </c>
    </row>
    <row r="58" spans="1:5" s="787" customFormat="1" ht="47.25" thickTop="1" thickBot="1" x14ac:dyDescent="0.25">
      <c r="A58" s="792" t="s">
        <v>695</v>
      </c>
      <c r="B58" s="1042" t="s">
        <v>696</v>
      </c>
      <c r="C58" s="1043"/>
      <c r="D58" s="790">
        <f>D57</f>
        <v>500000</v>
      </c>
    </row>
    <row r="59" spans="1:5" ht="81" customHeight="1" thickTop="1" thickBot="1" x14ac:dyDescent="0.25">
      <c r="A59" s="943" t="s">
        <v>408</v>
      </c>
      <c r="B59" s="1044" t="s">
        <v>732</v>
      </c>
      <c r="C59" s="1045"/>
      <c r="D59" s="944">
        <f>D60+D61</f>
        <v>876095812.30999994</v>
      </c>
      <c r="E59" s="580" t="b">
        <f>D59='d1'!C97</f>
        <v>1</v>
      </c>
    </row>
    <row r="60" spans="1:5" s="265" customFormat="1" ht="47.25" thickTop="1" thickBot="1" x14ac:dyDescent="0.25">
      <c r="A60" s="275" t="s">
        <v>408</v>
      </c>
      <c r="B60" s="1042" t="s">
        <v>413</v>
      </c>
      <c r="C60" s="1043"/>
      <c r="D60" s="273">
        <f>D46+D25+D28+D48</f>
        <v>849725812.30999994</v>
      </c>
      <c r="E60" s="580" t="b">
        <f>D60='d1'!D97</f>
        <v>1</v>
      </c>
    </row>
    <row r="61" spans="1:5" s="265" customFormat="1" ht="47.25" thickTop="1" thickBot="1" x14ac:dyDescent="0.25">
      <c r="A61" s="275" t="s">
        <v>408</v>
      </c>
      <c r="B61" s="1042" t="s">
        <v>414</v>
      </c>
      <c r="C61" s="1043"/>
      <c r="D61" s="273">
        <f>D56+D52+D58</f>
        <v>26370000</v>
      </c>
      <c r="E61" s="580" t="b">
        <f>D61='d1'!E97</f>
        <v>1</v>
      </c>
    </row>
    <row r="62" spans="1:5" s="265" customFormat="1" ht="31.7" customHeight="1" thickTop="1" x14ac:dyDescent="0.2">
      <c r="A62" s="267"/>
      <c r="B62" s="268"/>
      <c r="C62" s="268"/>
      <c r="D62" s="268"/>
    </row>
    <row r="63" spans="1:5" s="265" customFormat="1" ht="31.7" customHeight="1" x14ac:dyDescent="0.2">
      <c r="A63" s="267"/>
      <c r="B63" s="268"/>
      <c r="C63" s="268"/>
      <c r="D63" s="268"/>
    </row>
    <row r="64" spans="1:5" s="265" customFormat="1" ht="60" customHeight="1" x14ac:dyDescent="0.2">
      <c r="A64" s="1003" t="s">
        <v>733</v>
      </c>
      <c r="B64" s="1001"/>
      <c r="C64" s="1001"/>
      <c r="D64" s="1001"/>
    </row>
    <row r="65" spans="1:6" s="265" customFormat="1" ht="45" x14ac:dyDescent="0.2">
      <c r="A65" s="271"/>
      <c r="B65" s="269"/>
      <c r="C65" s="269"/>
      <c r="D65" s="269"/>
    </row>
    <row r="66" spans="1:6" s="265" customFormat="1" ht="54" customHeight="1" thickBot="1" x14ac:dyDescent="0.25">
      <c r="A66" s="267"/>
      <c r="B66" s="268"/>
      <c r="C66" s="268"/>
      <c r="D66" s="6" t="s">
        <v>431</v>
      </c>
    </row>
    <row r="67" spans="1:6" s="265" customFormat="1" ht="325.5" customHeight="1" thickTop="1" thickBot="1" x14ac:dyDescent="0.25">
      <c r="A67" s="241" t="s">
        <v>734</v>
      </c>
      <c r="B67" s="276" t="s">
        <v>537</v>
      </c>
      <c r="C67" s="241" t="s">
        <v>735</v>
      </c>
      <c r="D67" s="241" t="s">
        <v>410</v>
      </c>
    </row>
    <row r="68" spans="1:6" s="265" customFormat="1" ht="50.25" customHeight="1" thickTop="1" thickBot="1" x14ac:dyDescent="0.25">
      <c r="A68" s="275" t="s">
        <v>2</v>
      </c>
      <c r="B68" s="275" t="s">
        <v>3</v>
      </c>
      <c r="C68" s="275" t="s">
        <v>14</v>
      </c>
      <c r="D68" s="275" t="s">
        <v>5</v>
      </c>
    </row>
    <row r="69" spans="1:6" s="265" customFormat="1" ht="65.25" customHeight="1" thickTop="1" thickBot="1" x14ac:dyDescent="0.25">
      <c r="A69" s="1037" t="s">
        <v>736</v>
      </c>
      <c r="B69" s="1038"/>
      <c r="C69" s="1038"/>
      <c r="D69" s="1039"/>
    </row>
    <row r="70" spans="1:6" s="265" customFormat="1" ht="230.25" thickTop="1" thickBot="1" x14ac:dyDescent="0.25">
      <c r="A70" s="281" t="s">
        <v>263</v>
      </c>
      <c r="B70" s="281" t="s">
        <v>264</v>
      </c>
      <c r="C70" s="282" t="s">
        <v>476</v>
      </c>
      <c r="D70" s="283">
        <f>SUM(D71:D72)</f>
        <v>300000</v>
      </c>
      <c r="E70" s="274" t="b">
        <f>D70='d3'!E38</f>
        <v>1</v>
      </c>
      <c r="F70" s="2"/>
    </row>
    <row r="71" spans="1:6" s="265" customFormat="1" ht="93" thickTop="1" thickBot="1" x14ac:dyDescent="0.25">
      <c r="A71" s="224" t="s">
        <v>691</v>
      </c>
      <c r="B71" s="224"/>
      <c r="C71" s="279" t="s">
        <v>697</v>
      </c>
      <c r="D71" s="225">
        <v>150000</v>
      </c>
      <c r="E71" s="2"/>
      <c r="F71" s="2"/>
    </row>
    <row r="72" spans="1:6" s="265" customFormat="1" ht="93" thickTop="1" thickBot="1" x14ac:dyDescent="0.25">
      <c r="A72" s="224" t="s">
        <v>698</v>
      </c>
      <c r="B72" s="224"/>
      <c r="C72" s="279" t="s">
        <v>699</v>
      </c>
      <c r="D72" s="225">
        <v>150000</v>
      </c>
      <c r="E72" s="2"/>
      <c r="F72" s="2"/>
    </row>
    <row r="73" spans="1:6" s="265" customFormat="1" ht="47.25" thickTop="1" thickBot="1" x14ac:dyDescent="0.25">
      <c r="A73" s="281" t="s">
        <v>694</v>
      </c>
      <c r="B73" s="281" t="s">
        <v>389</v>
      </c>
      <c r="C73" s="282" t="s">
        <v>390</v>
      </c>
      <c r="D73" s="283">
        <f>SUM(D74)</f>
        <v>120100</v>
      </c>
      <c r="E73" s="274" t="b">
        <f>D73='d3'!E39</f>
        <v>1</v>
      </c>
      <c r="F73" s="2"/>
    </row>
    <row r="74" spans="1:6" s="265" customFormat="1" ht="93" thickTop="1" thickBot="1" x14ac:dyDescent="0.25">
      <c r="A74" s="224" t="s">
        <v>695</v>
      </c>
      <c r="B74" s="224"/>
      <c r="C74" s="279" t="s">
        <v>696</v>
      </c>
      <c r="D74" s="225">
        <v>120100</v>
      </c>
      <c r="E74" s="2"/>
      <c r="F74" s="2"/>
    </row>
    <row r="75" spans="1:6" s="545" customFormat="1" ht="184.5" thickTop="1" thickBot="1" x14ac:dyDescent="0.25">
      <c r="A75" s="281" t="s">
        <v>560</v>
      </c>
      <c r="B75" s="281" t="s">
        <v>561</v>
      </c>
      <c r="C75" s="282" t="s">
        <v>562</v>
      </c>
      <c r="D75" s="283">
        <f>D76</f>
        <v>3750000</v>
      </c>
      <c r="E75" s="548" t="b">
        <f>D75='d3'!E40</f>
        <v>1</v>
      </c>
      <c r="F75" s="2"/>
    </row>
    <row r="76" spans="1:6" s="545" customFormat="1" ht="47.25" thickTop="1" thickBot="1" x14ac:dyDescent="0.25">
      <c r="A76" s="552" t="s">
        <v>1051</v>
      </c>
      <c r="B76" s="552"/>
      <c r="C76" s="279" t="s">
        <v>692</v>
      </c>
      <c r="D76" s="225">
        <f>120000+(500000+300000+80000+50000+(500000+400000+80000+400000+80000+60000+200000+80000+300000+500000+100000))</f>
        <v>3750000</v>
      </c>
      <c r="E76" s="2"/>
      <c r="F76" s="2"/>
    </row>
    <row r="77" spans="1:6" s="265" customFormat="1" ht="47.25" thickTop="1" thickBot="1" x14ac:dyDescent="0.25">
      <c r="A77" s="281" t="s">
        <v>713</v>
      </c>
      <c r="B77" s="281" t="s">
        <v>389</v>
      </c>
      <c r="C77" s="282" t="s">
        <v>390</v>
      </c>
      <c r="D77" s="283">
        <f>SUM(D78)</f>
        <v>558137</v>
      </c>
      <c r="E77" s="274" t="b">
        <f>D77='d3'!E188</f>
        <v>1</v>
      </c>
      <c r="F77" s="2"/>
    </row>
    <row r="78" spans="1:6" s="265" customFormat="1" ht="93" thickTop="1" thickBot="1" x14ac:dyDescent="0.25">
      <c r="A78" s="224" t="s">
        <v>700</v>
      </c>
      <c r="B78" s="224"/>
      <c r="C78" s="279" t="s">
        <v>701</v>
      </c>
      <c r="D78" s="225">
        <v>558137</v>
      </c>
      <c r="E78" s="2"/>
      <c r="F78" s="2"/>
    </row>
    <row r="79" spans="1:6" s="836" customFormat="1" ht="47.25" hidden="1" thickTop="1" thickBot="1" x14ac:dyDescent="0.25">
      <c r="A79" s="281" t="s">
        <v>1523</v>
      </c>
      <c r="B79" s="281" t="s">
        <v>389</v>
      </c>
      <c r="C79" s="282" t="s">
        <v>390</v>
      </c>
      <c r="D79" s="283">
        <v>0</v>
      </c>
      <c r="E79" s="703" t="b">
        <f>D79='d3'!E221</f>
        <v>1</v>
      </c>
      <c r="F79" s="2"/>
    </row>
    <row r="80" spans="1:6" s="480" customFormat="1" ht="47.25" thickTop="1" thickBot="1" x14ac:dyDescent="0.25">
      <c r="A80" s="485" t="s">
        <v>1101</v>
      </c>
      <c r="B80" s="485" t="s">
        <v>389</v>
      </c>
      <c r="C80" s="486" t="s">
        <v>390</v>
      </c>
      <c r="D80" s="487">
        <f>(700000)+1000000+340000</f>
        <v>2040000</v>
      </c>
      <c r="E80" s="548" t="b">
        <f>D80='d3'!E325</f>
        <v>1</v>
      </c>
      <c r="F80" s="2"/>
    </row>
    <row r="81" spans="1:6" s="480" customFormat="1" ht="47.25" thickTop="1" thickBot="1" x14ac:dyDescent="0.25">
      <c r="A81" s="483" t="s">
        <v>749</v>
      </c>
      <c r="B81" s="483"/>
      <c r="C81" s="488" t="s">
        <v>750</v>
      </c>
      <c r="D81" s="489">
        <f>SUM(D79:D80)</f>
        <v>2040000</v>
      </c>
      <c r="E81" s="2"/>
      <c r="F81" s="2"/>
    </row>
    <row r="82" spans="1:6" s="265" customFormat="1" ht="47.25" thickTop="1" thickBot="1" x14ac:dyDescent="0.25">
      <c r="A82" s="281" t="s">
        <v>738</v>
      </c>
      <c r="B82" s="281" t="s">
        <v>739</v>
      </c>
      <c r="C82" s="282" t="s">
        <v>487</v>
      </c>
      <c r="D82" s="283">
        <f>SUM(D83)</f>
        <v>73303900</v>
      </c>
      <c r="E82" s="548" t="b">
        <f>D82='d3'!E358</f>
        <v>1</v>
      </c>
      <c r="F82" s="2"/>
    </row>
    <row r="83" spans="1:6" s="265" customFormat="1" ht="47.25" thickTop="1" thickBot="1" x14ac:dyDescent="0.25">
      <c r="A83" s="224" t="s">
        <v>1051</v>
      </c>
      <c r="B83" s="224"/>
      <c r="C83" s="279" t="s">
        <v>692</v>
      </c>
      <c r="D83" s="225">
        <v>73303900</v>
      </c>
      <c r="E83" s="2"/>
      <c r="F83" s="2"/>
    </row>
    <row r="84" spans="1:6" s="265" customFormat="1" ht="77.25" customHeight="1" thickTop="1" thickBot="1" x14ac:dyDescent="0.25">
      <c r="A84" s="1037" t="s">
        <v>737</v>
      </c>
      <c r="B84" s="1038"/>
      <c r="C84" s="1038"/>
      <c r="D84" s="1039"/>
      <c r="E84" s="2"/>
      <c r="F84" s="2"/>
    </row>
    <row r="85" spans="1:6" s="545" customFormat="1" ht="205.5" customHeight="1" thickTop="1" thickBot="1" x14ac:dyDescent="0.25">
      <c r="A85" s="281" t="s">
        <v>560</v>
      </c>
      <c r="B85" s="281" t="s">
        <v>561</v>
      </c>
      <c r="C85" s="282" t="s">
        <v>562</v>
      </c>
      <c r="D85" s="487">
        <f>1340000+348400</f>
        <v>1688400</v>
      </c>
      <c r="E85" s="548" t="b">
        <f>D85='d3'!J40</f>
        <v>1</v>
      </c>
      <c r="F85" s="2"/>
    </row>
    <row r="86" spans="1:6" s="545" customFormat="1" ht="77.25" customHeight="1" thickTop="1" thickBot="1" x14ac:dyDescent="0.25">
      <c r="A86" s="552" t="s">
        <v>1051</v>
      </c>
      <c r="B86" s="552"/>
      <c r="C86" s="279" t="s">
        <v>692</v>
      </c>
      <c r="D86" s="225">
        <f>D85</f>
        <v>1688400</v>
      </c>
      <c r="E86" s="2"/>
      <c r="F86" s="2"/>
    </row>
    <row r="87" spans="1:6" s="699" customFormat="1" ht="77.25" customHeight="1" thickTop="1" thickBot="1" x14ac:dyDescent="0.25">
      <c r="A87" s="485" t="s">
        <v>1361</v>
      </c>
      <c r="B87" s="485" t="s">
        <v>389</v>
      </c>
      <c r="C87" s="486" t="s">
        <v>390</v>
      </c>
      <c r="D87" s="487">
        <f>(4547046.18)+155941.82</f>
        <v>4702988</v>
      </c>
      <c r="E87" s="703" t="b">
        <f>D87='d3'!J87</f>
        <v>1</v>
      </c>
      <c r="F87" s="2"/>
    </row>
    <row r="88" spans="1:6" s="836" customFormat="1" ht="47.25" thickTop="1" thickBot="1" x14ac:dyDescent="0.25">
      <c r="A88" s="281" t="s">
        <v>1523</v>
      </c>
      <c r="B88" s="281" t="s">
        <v>389</v>
      </c>
      <c r="C88" s="282" t="s">
        <v>390</v>
      </c>
      <c r="D88" s="283">
        <v>49900</v>
      </c>
      <c r="E88" s="703" t="b">
        <f>D88='d3'!J221</f>
        <v>1</v>
      </c>
      <c r="F88" s="2"/>
    </row>
    <row r="89" spans="1:6" s="265" customFormat="1" ht="47.25" thickTop="1" thickBot="1" x14ac:dyDescent="0.25">
      <c r="A89" s="485" t="s">
        <v>1101</v>
      </c>
      <c r="B89" s="485" t="s">
        <v>389</v>
      </c>
      <c r="C89" s="486" t="s">
        <v>390</v>
      </c>
      <c r="D89" s="487">
        <f>1000000+700000-340000</f>
        <v>1360000</v>
      </c>
      <c r="E89" s="548" t="b">
        <f>D89='d3'!J325</f>
        <v>1</v>
      </c>
      <c r="F89" s="2"/>
    </row>
    <row r="90" spans="1:6" s="480" customFormat="1" ht="47.25" thickTop="1" thickBot="1" x14ac:dyDescent="0.25">
      <c r="A90" s="483" t="s">
        <v>749</v>
      </c>
      <c r="B90" s="483"/>
      <c r="C90" s="488" t="s">
        <v>750</v>
      </c>
      <c r="D90" s="489">
        <f>SUM(D87:D89)</f>
        <v>6112888</v>
      </c>
      <c r="E90" s="2"/>
      <c r="F90" s="2"/>
    </row>
    <row r="91" spans="1:6" s="265" customFormat="1" ht="84.75" customHeight="1" thickTop="1" thickBot="1" x14ac:dyDescent="0.25">
      <c r="A91" s="943" t="s">
        <v>408</v>
      </c>
      <c r="B91" s="943" t="s">
        <v>408</v>
      </c>
      <c r="C91" s="945" t="s">
        <v>732</v>
      </c>
      <c r="D91" s="944">
        <f>D71+D72+D74+D76+D78+D81+D83+D86+D90</f>
        <v>87873425</v>
      </c>
      <c r="E91" s="548" t="b">
        <f>D91=D92+D93</f>
        <v>1</v>
      </c>
      <c r="F91" s="703" t="b">
        <f>D91='d7'!G30+'d7'!G31+'d7'!G32+'d7'!G33+'d7'!G34+'d7'!G35+'d7'!G36+'d7'!G37+'d7'!G38+'d7'!G39+'d7'!G73+'d7'!G150+'d7'!G169+'d7'!G247+'d5'!D82</f>
        <v>1</v>
      </c>
    </row>
    <row r="92" spans="1:6" ht="47.25" thickTop="1" thickBot="1" x14ac:dyDescent="0.25">
      <c r="A92" s="275" t="s">
        <v>408</v>
      </c>
      <c r="B92" s="275" t="s">
        <v>408</v>
      </c>
      <c r="C92" s="280" t="s">
        <v>413</v>
      </c>
      <c r="D92" s="273">
        <f>'d3'!E356+'d3'!E323+'d3'!E186+'d3'!E36+'d3'!E87+'d3'!E221</f>
        <v>80072137</v>
      </c>
      <c r="E92" s="482" t="b">
        <f>D92=D70+D73+D77+D80+D82+D75+D79</f>
        <v>1</v>
      </c>
      <c r="F92" s="2"/>
    </row>
    <row r="93" spans="1:6" s="265" customFormat="1" ht="47.25" thickTop="1" thickBot="1" x14ac:dyDescent="0.25">
      <c r="A93" s="275" t="s">
        <v>408</v>
      </c>
      <c r="B93" s="275" t="s">
        <v>408</v>
      </c>
      <c r="C93" s="280" t="s">
        <v>414</v>
      </c>
      <c r="D93" s="273">
        <f>'d3'!J36+'d3'!J186+'d3'!J323+'d3'!J356+'d3'!J87+'d3'!J221</f>
        <v>7801288</v>
      </c>
      <c r="E93" s="482" t="b">
        <f>D93=D90+D86</f>
        <v>1</v>
      </c>
      <c r="F93" s="2"/>
    </row>
    <row r="94" spans="1:6" s="265" customFormat="1" ht="31.7" customHeight="1" thickTop="1" x14ac:dyDescent="0.2">
      <c r="A94" s="267"/>
      <c r="B94" s="268"/>
      <c r="C94" s="268"/>
      <c r="D94" s="268"/>
    </row>
    <row r="95" spans="1:6" s="265" customFormat="1" ht="31.7" customHeight="1" x14ac:dyDescent="0.2">
      <c r="A95" s="267"/>
      <c r="B95" s="268"/>
      <c r="C95" s="268"/>
      <c r="D95" s="268"/>
    </row>
    <row r="96" spans="1:6" s="265" customFormat="1" ht="31.7" customHeight="1" x14ac:dyDescent="0.2">
      <c r="A96" s="267"/>
      <c r="B96" s="268"/>
      <c r="C96" s="268"/>
      <c r="D96" s="268"/>
    </row>
    <row r="97" spans="1:9" ht="45" customHeight="1" x14ac:dyDescent="0.65">
      <c r="A97" s="264"/>
      <c r="B97" s="1048" t="s">
        <v>1532</v>
      </c>
      <c r="C97" s="1001"/>
      <c r="D97" s="954" t="s">
        <v>1534</v>
      </c>
      <c r="E97" s="954"/>
      <c r="F97" s="954"/>
      <c r="G97" s="123"/>
      <c r="H97" s="123"/>
      <c r="I97" s="598"/>
    </row>
    <row r="98" spans="1:9" ht="61.5" customHeight="1" x14ac:dyDescent="0.65">
      <c r="A98" s="262"/>
      <c r="B98" s="954"/>
      <c r="C98" s="954"/>
      <c r="D98" s="954"/>
    </row>
    <row r="99" spans="1:9" ht="45.75" x14ac:dyDescent="0.65">
      <c r="B99" s="144"/>
      <c r="C99" s="144"/>
      <c r="D99" s="144"/>
    </row>
    <row r="100" spans="1:9" ht="45.75" x14ac:dyDescent="0.65">
      <c r="B100" s="954"/>
      <c r="C100" s="954"/>
      <c r="D100" s="954"/>
    </row>
    <row r="103" spans="1:9" x14ac:dyDescent="0.2">
      <c r="A103" s="261"/>
      <c r="B103" s="261"/>
      <c r="C103" s="265"/>
    </row>
    <row r="105" spans="1:9" x14ac:dyDescent="0.2">
      <c r="A105" s="261"/>
      <c r="B105" s="261"/>
      <c r="C105" s="265"/>
    </row>
    <row r="109" spans="1:9" x14ac:dyDescent="0.2">
      <c r="A109" s="261"/>
      <c r="B109" s="261"/>
      <c r="C109" s="265"/>
      <c r="D109" s="261"/>
    </row>
    <row r="110" spans="1:9" x14ac:dyDescent="0.2">
      <c r="A110" s="261"/>
      <c r="B110" s="261"/>
      <c r="C110" s="265"/>
      <c r="D110" s="261"/>
    </row>
    <row r="111" spans="1:9" x14ac:dyDescent="0.2">
      <c r="A111" s="261"/>
      <c r="B111" s="261"/>
      <c r="C111" s="265"/>
      <c r="D111" s="261"/>
    </row>
    <row r="112" spans="1:9" x14ac:dyDescent="0.2">
      <c r="A112" s="261"/>
      <c r="B112" s="261"/>
      <c r="C112" s="265"/>
      <c r="D112" s="261"/>
    </row>
  </sheetData>
  <mergeCells count="72">
    <mergeCell ref="B52:C52"/>
    <mergeCell ref="B44:C44"/>
    <mergeCell ref="B55:C55"/>
    <mergeCell ref="A49:D49"/>
    <mergeCell ref="B46:C46"/>
    <mergeCell ref="B47:C47"/>
    <mergeCell ref="B48:C48"/>
    <mergeCell ref="B50:C50"/>
    <mergeCell ref="B51:C51"/>
    <mergeCell ref="A30:A31"/>
    <mergeCell ref="D30:D31"/>
    <mergeCell ref="B36:C36"/>
    <mergeCell ref="B42:C42"/>
    <mergeCell ref="A42:A43"/>
    <mergeCell ref="D42:D43"/>
    <mergeCell ref="B43:C43"/>
    <mergeCell ref="A32:A33"/>
    <mergeCell ref="D32:D33"/>
    <mergeCell ref="A34:A35"/>
    <mergeCell ref="D34:D35"/>
    <mergeCell ref="B38:C38"/>
    <mergeCell ref="B40:C40"/>
    <mergeCell ref="A11:D11"/>
    <mergeCell ref="A16:D16"/>
    <mergeCell ref="B14:C14"/>
    <mergeCell ref="B15:C15"/>
    <mergeCell ref="B29:C29"/>
    <mergeCell ref="B19:C19"/>
    <mergeCell ref="B17:C17"/>
    <mergeCell ref="B26:C26"/>
    <mergeCell ref="B27:C27"/>
    <mergeCell ref="B20:C20"/>
    <mergeCell ref="B24:C24"/>
    <mergeCell ref="B28:C28"/>
    <mergeCell ref="B18:C18"/>
    <mergeCell ref="B22:C22"/>
    <mergeCell ref="B23:C23"/>
    <mergeCell ref="B21:C21"/>
    <mergeCell ref="N3:O3"/>
    <mergeCell ref="N4:O4"/>
    <mergeCell ref="N5:O5"/>
    <mergeCell ref="A8:D8"/>
    <mergeCell ref="A9:D9"/>
    <mergeCell ref="A5:D5"/>
    <mergeCell ref="A6:D6"/>
    <mergeCell ref="A7:D7"/>
    <mergeCell ref="B25:C25"/>
    <mergeCell ref="B32:C32"/>
    <mergeCell ref="B33:C33"/>
    <mergeCell ref="B45:C45"/>
    <mergeCell ref="B37:C37"/>
    <mergeCell ref="B39:C39"/>
    <mergeCell ref="B41:C41"/>
    <mergeCell ref="B30:C30"/>
    <mergeCell ref="B31:C31"/>
    <mergeCell ref="B34:C34"/>
    <mergeCell ref="B35:C35"/>
    <mergeCell ref="B100:D100"/>
    <mergeCell ref="A69:D69"/>
    <mergeCell ref="A84:D84"/>
    <mergeCell ref="B53:C53"/>
    <mergeCell ref="B60:C60"/>
    <mergeCell ref="B61:C61"/>
    <mergeCell ref="B59:C59"/>
    <mergeCell ref="B54:C54"/>
    <mergeCell ref="B56:C56"/>
    <mergeCell ref="B97:C97"/>
    <mergeCell ref="A64:D64"/>
    <mergeCell ref="D97:F97"/>
    <mergeCell ref="B57:C57"/>
    <mergeCell ref="B58:C58"/>
    <mergeCell ref="B98:D9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9" max="3" man="1"/>
    <brk id="63" max="3" man="1"/>
    <brk id="99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68"/>
  <sheetViews>
    <sheetView view="pageBreakPreview" topLeftCell="B1" zoomScale="25" zoomScaleNormal="40" zoomScaleSheetLayoutView="25" workbookViewId="0">
      <pane ySplit="11" topLeftCell="A304" activePane="bottomLeft" state="frozen"/>
      <selection activeCell="F175" sqref="F175"/>
      <selection pane="bottomLeft" activeCell="G334" sqref="G334"/>
    </sheetView>
  </sheetViews>
  <sheetFormatPr defaultColWidth="7.85546875" defaultRowHeight="12.75" x14ac:dyDescent="0.2"/>
  <cols>
    <col min="1" max="1" width="3.28515625" style="231" hidden="1" customWidth="1"/>
    <col min="2" max="3" width="15.42578125" style="560" customWidth="1"/>
    <col min="4" max="4" width="16.85546875" style="560" customWidth="1"/>
    <col min="5" max="5" width="41.5703125" style="560" customWidth="1"/>
    <col min="6" max="6" width="38.5703125" style="560" customWidth="1"/>
    <col min="7" max="11" width="18.140625" style="573" customWidth="1"/>
    <col min="12" max="12" width="30.7109375" style="231" customWidth="1"/>
    <col min="13" max="13" width="16.5703125" style="231" customWidth="1"/>
    <col min="14" max="14" width="13.7109375" style="231" customWidth="1"/>
    <col min="15" max="15" width="12.7109375" style="231" customWidth="1"/>
    <col min="16" max="16384" width="7.85546875" style="231"/>
  </cols>
  <sheetData>
    <row r="1" spans="2:11" s="7" customFormat="1" ht="22.7" customHeight="1" x14ac:dyDescent="0.25">
      <c r="B1" s="1075"/>
      <c r="C1" s="1075"/>
      <c r="D1" s="1075"/>
      <c r="E1" s="1075"/>
      <c r="F1" s="1075"/>
      <c r="G1" s="1075"/>
      <c r="H1" s="1075"/>
      <c r="I1" s="1075"/>
      <c r="J1" s="1075"/>
      <c r="K1" s="1075"/>
    </row>
    <row r="2" spans="2:11" ht="41.25" customHeight="1" x14ac:dyDescent="0.2">
      <c r="G2" s="1024" t="s">
        <v>1242</v>
      </c>
      <c r="H2" s="1024"/>
      <c r="I2" s="1024"/>
      <c r="J2" s="1024"/>
      <c r="K2" s="1024"/>
    </row>
    <row r="3" spans="2:11" ht="29.25" customHeight="1" x14ac:dyDescent="0.2">
      <c r="G3" s="616"/>
      <c r="H3" s="616"/>
      <c r="I3" s="616"/>
      <c r="J3" s="616"/>
      <c r="K3" s="616"/>
    </row>
    <row r="4" spans="2:11" ht="31.5" customHeight="1" x14ac:dyDescent="0.2">
      <c r="B4" s="1076" t="s">
        <v>679</v>
      </c>
      <c r="C4" s="1025"/>
      <c r="D4" s="1025"/>
      <c r="E4" s="1025"/>
      <c r="F4" s="1025"/>
      <c r="G4" s="1025"/>
      <c r="H4" s="1025"/>
      <c r="I4" s="1025"/>
      <c r="J4" s="1025"/>
      <c r="K4" s="1025"/>
    </row>
    <row r="5" spans="2:11" ht="57" customHeight="1" x14ac:dyDescent="0.2">
      <c r="B5" s="1076" t="s">
        <v>722</v>
      </c>
      <c r="C5" s="1025"/>
      <c r="D5" s="1025"/>
      <c r="E5" s="1025"/>
      <c r="F5" s="1025"/>
      <c r="G5" s="1025"/>
      <c r="H5" s="1025"/>
      <c r="I5" s="1025"/>
      <c r="J5" s="1025"/>
      <c r="K5" s="1025"/>
    </row>
    <row r="6" spans="2:11" ht="22.5" x14ac:dyDescent="0.2">
      <c r="B6" s="618"/>
      <c r="C6" s="615"/>
      <c r="D6" s="615"/>
      <c r="E6" s="615"/>
      <c r="F6" s="615"/>
      <c r="G6" s="615"/>
      <c r="H6" s="615"/>
      <c r="I6" s="615"/>
      <c r="J6" s="615"/>
      <c r="K6" s="615"/>
    </row>
    <row r="7" spans="2:11" ht="18.75" x14ac:dyDescent="0.2">
      <c r="B7" s="1077">
        <v>22564000000</v>
      </c>
      <c r="C7" s="1078"/>
      <c r="D7" s="615"/>
      <c r="E7" s="615"/>
      <c r="F7" s="615"/>
      <c r="G7" s="615"/>
      <c r="H7" s="615"/>
      <c r="I7" s="615"/>
      <c r="J7" s="615"/>
      <c r="K7" s="615"/>
    </row>
    <row r="8" spans="2:11" ht="18.75" x14ac:dyDescent="0.2">
      <c r="B8" s="1072" t="s">
        <v>535</v>
      </c>
      <c r="C8" s="1073"/>
      <c r="D8" s="615"/>
      <c r="E8" s="615"/>
      <c r="F8" s="615"/>
      <c r="G8" s="615"/>
      <c r="H8" s="615"/>
      <c r="I8" s="615"/>
      <c r="J8" s="615"/>
      <c r="K8" s="615"/>
    </row>
    <row r="9" spans="2:11" ht="6" customHeight="1" thickBot="1" x14ac:dyDescent="0.25">
      <c r="B9" s="561"/>
      <c r="C9" s="562"/>
      <c r="D9" s="615"/>
      <c r="E9" s="615"/>
      <c r="F9" s="615"/>
      <c r="G9" s="615"/>
      <c r="H9" s="615"/>
      <c r="I9" s="615"/>
      <c r="J9" s="615"/>
      <c r="K9" s="615"/>
    </row>
    <row r="10" spans="2:11" ht="120" customHeight="1" thickTop="1" thickBot="1" x14ac:dyDescent="0.25">
      <c r="B10" s="104" t="s">
        <v>536</v>
      </c>
      <c r="C10" s="104" t="s">
        <v>537</v>
      </c>
      <c r="D10" s="104" t="s">
        <v>417</v>
      </c>
      <c r="E10" s="104" t="s">
        <v>690</v>
      </c>
      <c r="F10" s="105" t="s">
        <v>572</v>
      </c>
      <c r="G10" s="105" t="s">
        <v>573</v>
      </c>
      <c r="H10" s="105" t="s">
        <v>574</v>
      </c>
      <c r="I10" s="105" t="s">
        <v>575</v>
      </c>
      <c r="J10" s="105" t="s">
        <v>576</v>
      </c>
      <c r="K10" s="105" t="s">
        <v>577</v>
      </c>
    </row>
    <row r="11" spans="2:11" ht="20.25" customHeight="1" thickTop="1" thickBot="1" x14ac:dyDescent="0.25">
      <c r="B11" s="101">
        <v>1</v>
      </c>
      <c r="C11" s="101">
        <v>2</v>
      </c>
      <c r="D11" s="101">
        <v>3</v>
      </c>
      <c r="E11" s="101">
        <v>4</v>
      </c>
      <c r="F11" s="101">
        <v>5</v>
      </c>
      <c r="G11" s="101">
        <v>6</v>
      </c>
      <c r="H11" s="101">
        <v>7</v>
      </c>
      <c r="I11" s="101">
        <v>8</v>
      </c>
      <c r="J11" s="101">
        <v>9</v>
      </c>
      <c r="K11" s="101">
        <v>10</v>
      </c>
    </row>
    <row r="12" spans="2:11" ht="39.75" customHeight="1" thickTop="1" thickBot="1" x14ac:dyDescent="0.25">
      <c r="B12" s="936" t="s">
        <v>162</v>
      </c>
      <c r="C12" s="936"/>
      <c r="D12" s="936"/>
      <c r="E12" s="937" t="s">
        <v>164</v>
      </c>
      <c r="F12" s="946"/>
      <c r="G12" s="938"/>
      <c r="H12" s="938"/>
      <c r="I12" s="938"/>
      <c r="J12" s="946">
        <f>J13</f>
        <v>6394900</v>
      </c>
      <c r="K12" s="946"/>
    </row>
    <row r="13" spans="2:11" ht="47.25" customHeight="1" thickTop="1" thickBot="1" x14ac:dyDescent="0.25">
      <c r="B13" s="940" t="s">
        <v>163</v>
      </c>
      <c r="C13" s="940"/>
      <c r="D13" s="940"/>
      <c r="E13" s="941" t="s">
        <v>165</v>
      </c>
      <c r="F13" s="947"/>
      <c r="G13" s="947"/>
      <c r="H13" s="947"/>
      <c r="I13" s="947"/>
      <c r="J13" s="947">
        <f>SUM(J14:J19)</f>
        <v>6394900</v>
      </c>
      <c r="K13" s="947"/>
    </row>
    <row r="14" spans="2:11" ht="76.5" thickTop="1" thickBot="1" x14ac:dyDescent="0.25">
      <c r="B14" s="335" t="s">
        <v>250</v>
      </c>
      <c r="C14" s="335" t="s">
        <v>251</v>
      </c>
      <c r="D14" s="335" t="s">
        <v>252</v>
      </c>
      <c r="E14" s="335" t="s">
        <v>249</v>
      </c>
      <c r="F14" s="333" t="s">
        <v>578</v>
      </c>
      <c r="G14" s="409"/>
      <c r="H14" s="410"/>
      <c r="I14" s="409"/>
      <c r="J14" s="334">
        <f>-29000+((977200+330000+15000+241300)+336000+900000+55000)</f>
        <v>2825500</v>
      </c>
      <c r="K14" s="334"/>
    </row>
    <row r="15" spans="2:11" ht="91.5" thickTop="1" thickBot="1" x14ac:dyDescent="0.25">
      <c r="B15" s="335" t="s">
        <v>250</v>
      </c>
      <c r="C15" s="335" t="s">
        <v>251</v>
      </c>
      <c r="D15" s="335" t="s">
        <v>252</v>
      </c>
      <c r="E15" s="335" t="s">
        <v>249</v>
      </c>
      <c r="F15" s="333" t="s">
        <v>1458</v>
      </c>
      <c r="G15" s="339" t="s">
        <v>666</v>
      </c>
      <c r="H15" s="340">
        <f>352000+29000</f>
        <v>381000</v>
      </c>
      <c r="I15" s="344">
        <v>0</v>
      </c>
      <c r="J15" s="342">
        <f>352000+29000</f>
        <v>381000</v>
      </c>
      <c r="K15" s="344">
        <v>1</v>
      </c>
    </row>
    <row r="16" spans="2:11" ht="31.5" thickTop="1" thickBot="1" x14ac:dyDescent="0.25">
      <c r="B16" s="332" t="s">
        <v>256</v>
      </c>
      <c r="C16" s="332" t="s">
        <v>257</v>
      </c>
      <c r="D16" s="332" t="s">
        <v>258</v>
      </c>
      <c r="E16" s="332" t="s">
        <v>255</v>
      </c>
      <c r="F16" s="333" t="s">
        <v>578</v>
      </c>
      <c r="G16" s="409"/>
      <c r="H16" s="410"/>
      <c r="I16" s="409"/>
      <c r="J16" s="334">
        <v>1500000</v>
      </c>
      <c r="K16" s="334"/>
    </row>
    <row r="17" spans="1:13" ht="61.5" thickTop="1" thickBot="1" x14ac:dyDescent="0.25">
      <c r="B17" s="332" t="s">
        <v>560</v>
      </c>
      <c r="C17" s="332" t="s">
        <v>561</v>
      </c>
      <c r="D17" s="332" t="s">
        <v>45</v>
      </c>
      <c r="E17" s="332" t="s">
        <v>562</v>
      </c>
      <c r="F17" s="333" t="s">
        <v>578</v>
      </c>
      <c r="G17" s="409"/>
      <c r="H17" s="410"/>
      <c r="I17" s="409"/>
      <c r="J17" s="334">
        <f>380000+(80000+500000+80000)</f>
        <v>1040000</v>
      </c>
      <c r="K17" s="334"/>
    </row>
    <row r="18" spans="1:13" ht="196.5" thickTop="1" thickBot="1" x14ac:dyDescent="0.25">
      <c r="B18" s="332" t="s">
        <v>560</v>
      </c>
      <c r="C18" s="332" t="s">
        <v>561</v>
      </c>
      <c r="D18" s="332" t="s">
        <v>45</v>
      </c>
      <c r="E18" s="332" t="s">
        <v>562</v>
      </c>
      <c r="F18" s="333" t="s">
        <v>1516</v>
      </c>
      <c r="G18" s="409"/>
      <c r="H18" s="410"/>
      <c r="I18" s="409"/>
      <c r="J18" s="334">
        <v>348400</v>
      </c>
      <c r="K18" s="334"/>
    </row>
    <row r="19" spans="1:13" ht="61.5" thickTop="1" thickBot="1" x14ac:dyDescent="0.25">
      <c r="B19" s="332" t="s">
        <v>560</v>
      </c>
      <c r="C19" s="332" t="s">
        <v>561</v>
      </c>
      <c r="D19" s="332" t="s">
        <v>45</v>
      </c>
      <c r="E19" s="332" t="s">
        <v>562</v>
      </c>
      <c r="F19" s="333" t="s">
        <v>1169</v>
      </c>
      <c r="G19" s="409"/>
      <c r="H19" s="410"/>
      <c r="I19" s="409"/>
      <c r="J19" s="334">
        <v>300000</v>
      </c>
      <c r="K19" s="334"/>
    </row>
    <row r="20" spans="1:13" ht="46.5" thickTop="1" thickBot="1" x14ac:dyDescent="0.25">
      <c r="A20" s="563"/>
      <c r="B20" s="936" t="s">
        <v>166</v>
      </c>
      <c r="C20" s="936"/>
      <c r="D20" s="936"/>
      <c r="E20" s="937" t="s">
        <v>0</v>
      </c>
      <c r="F20" s="946"/>
      <c r="G20" s="938"/>
      <c r="H20" s="938"/>
      <c r="I20" s="938"/>
      <c r="J20" s="946">
        <f>J21</f>
        <v>60952190.910000004</v>
      </c>
      <c r="K20" s="946"/>
    </row>
    <row r="21" spans="1:13" ht="44.25" thickTop="1" thickBot="1" x14ac:dyDescent="0.25">
      <c r="A21" s="563"/>
      <c r="B21" s="940" t="s">
        <v>167</v>
      </c>
      <c r="C21" s="940"/>
      <c r="D21" s="940"/>
      <c r="E21" s="941" t="s">
        <v>1</v>
      </c>
      <c r="F21" s="947"/>
      <c r="G21" s="947"/>
      <c r="H21" s="947"/>
      <c r="I21" s="947"/>
      <c r="J21" s="947">
        <f>SUM(J22:J96)</f>
        <v>60952190.910000004</v>
      </c>
      <c r="K21" s="947"/>
    </row>
    <row r="22" spans="1:13" ht="31.5" thickTop="1" thickBot="1" x14ac:dyDescent="0.25">
      <c r="B22" s="335" t="s">
        <v>216</v>
      </c>
      <c r="C22" s="335" t="s">
        <v>217</v>
      </c>
      <c r="D22" s="335" t="s">
        <v>219</v>
      </c>
      <c r="E22" s="335" t="s">
        <v>220</v>
      </c>
      <c r="F22" s="338" t="s">
        <v>578</v>
      </c>
      <c r="G22" s="336"/>
      <c r="H22" s="337"/>
      <c r="I22" s="337"/>
      <c r="J22" s="334">
        <f>((30333+15000)+48000)-45333</f>
        <v>48000</v>
      </c>
      <c r="K22" s="334"/>
    </row>
    <row r="23" spans="1:13" ht="76.5" thickTop="1" thickBot="1" x14ac:dyDescent="0.25">
      <c r="B23" s="332" t="s">
        <v>216</v>
      </c>
      <c r="C23" s="332" t="s">
        <v>217</v>
      </c>
      <c r="D23" s="332" t="s">
        <v>219</v>
      </c>
      <c r="E23" s="332" t="s">
        <v>220</v>
      </c>
      <c r="F23" s="338" t="s">
        <v>1498</v>
      </c>
      <c r="G23" s="339" t="s">
        <v>594</v>
      </c>
      <c r="H23" s="340">
        <f>(2301987)+615202</f>
        <v>2917189</v>
      </c>
      <c r="I23" s="341">
        <f>(984339.94+460000)/H23</f>
        <v>0.49511359737061944</v>
      </c>
      <c r="J23" s="342">
        <f>613287+((800000)+59561.14)</f>
        <v>1472848.1400000001</v>
      </c>
      <c r="K23" s="341">
        <v>1</v>
      </c>
      <c r="L23" s="861">
        <v>2917189</v>
      </c>
      <c r="M23" s="342">
        <f>H23-L23</f>
        <v>0</v>
      </c>
    </row>
    <row r="24" spans="1:13" ht="151.5" thickTop="1" thickBot="1" x14ac:dyDescent="0.25">
      <c r="B24" s="332" t="s">
        <v>216</v>
      </c>
      <c r="C24" s="332" t="s">
        <v>217</v>
      </c>
      <c r="D24" s="332" t="s">
        <v>219</v>
      </c>
      <c r="E24" s="332" t="s">
        <v>220</v>
      </c>
      <c r="F24" s="343" t="s">
        <v>1499</v>
      </c>
      <c r="G24" s="339" t="s">
        <v>666</v>
      </c>
      <c r="H24" s="340">
        <v>160000</v>
      </c>
      <c r="I24" s="344">
        <v>0</v>
      </c>
      <c r="J24" s="342">
        <v>160000</v>
      </c>
      <c r="K24" s="344">
        <v>1</v>
      </c>
    </row>
    <row r="25" spans="1:13" ht="76.5" thickTop="1" thickBot="1" x14ac:dyDescent="0.25">
      <c r="B25" s="335" t="s">
        <v>216</v>
      </c>
      <c r="C25" s="335" t="s">
        <v>217</v>
      </c>
      <c r="D25" s="335" t="s">
        <v>219</v>
      </c>
      <c r="E25" s="335" t="s">
        <v>220</v>
      </c>
      <c r="F25" s="338" t="s">
        <v>579</v>
      </c>
      <c r="G25" s="339" t="s">
        <v>594</v>
      </c>
      <c r="H25" s="337">
        <v>8835199</v>
      </c>
      <c r="I25" s="344">
        <f>((999840+3536574)/H25)</f>
        <v>0.51344785782414182</v>
      </c>
      <c r="J25" s="334">
        <f>-41055+((3100000)+500000+542134.23)</f>
        <v>4101079.23</v>
      </c>
      <c r="K25" s="344">
        <v>1</v>
      </c>
      <c r="L25" s="612" t="s">
        <v>1252</v>
      </c>
    </row>
    <row r="26" spans="1:13" ht="61.5" thickTop="1" thickBot="1" x14ac:dyDescent="0.25">
      <c r="B26" s="335" t="s">
        <v>216</v>
      </c>
      <c r="C26" s="335" t="s">
        <v>217</v>
      </c>
      <c r="D26" s="335" t="s">
        <v>219</v>
      </c>
      <c r="E26" s="335" t="s">
        <v>220</v>
      </c>
      <c r="F26" s="338" t="s">
        <v>580</v>
      </c>
      <c r="G26" s="336" t="s">
        <v>531</v>
      </c>
      <c r="H26" s="337">
        <v>742721</v>
      </c>
      <c r="I26" s="344">
        <f>((300000)/H26)</f>
        <v>0.40392017998683222</v>
      </c>
      <c r="J26" s="334">
        <v>440000</v>
      </c>
      <c r="K26" s="344">
        <f>(300000+J26)/H26</f>
        <v>0.99633644396751941</v>
      </c>
    </row>
    <row r="27" spans="1:13" ht="151.5" thickTop="1" thickBot="1" x14ac:dyDescent="0.25">
      <c r="B27" s="335" t="s">
        <v>216</v>
      </c>
      <c r="C27" s="335" t="s">
        <v>217</v>
      </c>
      <c r="D27" s="335" t="s">
        <v>219</v>
      </c>
      <c r="E27" s="335" t="s">
        <v>220</v>
      </c>
      <c r="F27" s="338" t="s">
        <v>1512</v>
      </c>
      <c r="G27" s="339" t="s">
        <v>666</v>
      </c>
      <c r="H27" s="340">
        <v>1907404</v>
      </c>
      <c r="I27" s="344">
        <f>0</f>
        <v>0</v>
      </c>
      <c r="J27" s="334">
        <f>(500000)+1000000</f>
        <v>1500000</v>
      </c>
      <c r="K27" s="344">
        <f>J27/H27</f>
        <v>0.78640917183774384</v>
      </c>
    </row>
    <row r="28" spans="1:13" ht="76.5" thickTop="1" thickBot="1" x14ac:dyDescent="0.25">
      <c r="B28" s="335" t="s">
        <v>216</v>
      </c>
      <c r="C28" s="335" t="s">
        <v>217</v>
      </c>
      <c r="D28" s="335" t="s">
        <v>219</v>
      </c>
      <c r="E28" s="335" t="s">
        <v>220</v>
      </c>
      <c r="F28" s="338" t="s">
        <v>1529</v>
      </c>
      <c r="G28" s="339" t="s">
        <v>666</v>
      </c>
      <c r="H28" s="337"/>
      <c r="I28" s="341">
        <v>0</v>
      </c>
      <c r="J28" s="334">
        <v>49950</v>
      </c>
      <c r="K28" s="344">
        <v>1</v>
      </c>
    </row>
    <row r="29" spans="1:13" ht="106.5" thickTop="1" thickBot="1" x14ac:dyDescent="0.25">
      <c r="B29" s="335" t="s">
        <v>216</v>
      </c>
      <c r="C29" s="335" t="s">
        <v>217</v>
      </c>
      <c r="D29" s="335" t="s">
        <v>219</v>
      </c>
      <c r="E29" s="335" t="s">
        <v>220</v>
      </c>
      <c r="F29" s="338" t="s">
        <v>1500</v>
      </c>
      <c r="G29" s="339" t="s">
        <v>666</v>
      </c>
      <c r="H29" s="340">
        <v>130000</v>
      </c>
      <c r="I29" s="341">
        <v>0</v>
      </c>
      <c r="J29" s="342">
        <v>130000</v>
      </c>
      <c r="K29" s="344">
        <v>1</v>
      </c>
    </row>
    <row r="30" spans="1:13" ht="91.5" thickTop="1" thickBot="1" x14ac:dyDescent="0.25">
      <c r="B30" s="335" t="s">
        <v>216</v>
      </c>
      <c r="C30" s="335" t="s">
        <v>217</v>
      </c>
      <c r="D30" s="335" t="s">
        <v>219</v>
      </c>
      <c r="E30" s="335" t="s">
        <v>220</v>
      </c>
      <c r="F30" s="338" t="s">
        <v>1163</v>
      </c>
      <c r="G30" s="339" t="s">
        <v>666</v>
      </c>
      <c r="H30" s="340">
        <v>1186680</v>
      </c>
      <c r="I30" s="341">
        <v>0</v>
      </c>
      <c r="J30" s="342">
        <v>700000</v>
      </c>
      <c r="K30" s="341">
        <f>J30/H30</f>
        <v>0.58988101257289249</v>
      </c>
    </row>
    <row r="31" spans="1:13" ht="106.5" thickTop="1" thickBot="1" x14ac:dyDescent="0.25">
      <c r="B31" s="335" t="s">
        <v>216</v>
      </c>
      <c r="C31" s="335" t="s">
        <v>217</v>
      </c>
      <c r="D31" s="335" t="s">
        <v>219</v>
      </c>
      <c r="E31" s="335" t="s">
        <v>220</v>
      </c>
      <c r="F31" s="338" t="s">
        <v>1501</v>
      </c>
      <c r="G31" s="339" t="s">
        <v>666</v>
      </c>
      <c r="H31" s="340">
        <v>504883</v>
      </c>
      <c r="I31" s="341">
        <v>0</v>
      </c>
      <c r="J31" s="342">
        <v>300000</v>
      </c>
      <c r="K31" s="344">
        <f>(J31)/H31</f>
        <v>0.59419707140070077</v>
      </c>
    </row>
    <row r="32" spans="1:13" ht="106.5" thickTop="1" thickBot="1" x14ac:dyDescent="0.25">
      <c r="B32" s="335" t="s">
        <v>216</v>
      </c>
      <c r="C32" s="335" t="s">
        <v>217</v>
      </c>
      <c r="D32" s="335" t="s">
        <v>219</v>
      </c>
      <c r="E32" s="335" t="s">
        <v>220</v>
      </c>
      <c r="F32" s="338" t="s">
        <v>1513</v>
      </c>
      <c r="G32" s="339" t="s">
        <v>666</v>
      </c>
      <c r="H32" s="340">
        <v>2842317</v>
      </c>
      <c r="I32" s="341">
        <v>0</v>
      </c>
      <c r="J32" s="342">
        <v>49000</v>
      </c>
      <c r="K32" s="344">
        <f>(J32)/H32</f>
        <v>1.7239456401238848E-2</v>
      </c>
    </row>
    <row r="33" spans="2:13" ht="31.5" thickTop="1" thickBot="1" x14ac:dyDescent="0.25">
      <c r="B33" s="332" t="s">
        <v>796</v>
      </c>
      <c r="C33" s="332" t="s">
        <v>797</v>
      </c>
      <c r="D33" s="332" t="s">
        <v>222</v>
      </c>
      <c r="E33" s="332" t="s">
        <v>798</v>
      </c>
      <c r="F33" s="338" t="s">
        <v>578</v>
      </c>
      <c r="G33" s="336"/>
      <c r="H33" s="337"/>
      <c r="I33" s="344"/>
      <c r="J33" s="334">
        <f>37800-160000-33000-176100+40000+(10500+12600+86900-73565+((2000000+3000000+1970000+92450+400000-1970000)+400000+17500+75000+42000+48000+1738790+1007090+291970))</f>
        <v>8857935</v>
      </c>
      <c r="K33" s="344"/>
    </row>
    <row r="34" spans="2:13" ht="61.5" thickTop="1" thickBot="1" x14ac:dyDescent="0.25">
      <c r="B34" s="332" t="s">
        <v>796</v>
      </c>
      <c r="C34" s="332" t="s">
        <v>797</v>
      </c>
      <c r="D34" s="332" t="s">
        <v>222</v>
      </c>
      <c r="E34" s="332" t="s">
        <v>798</v>
      </c>
      <c r="F34" s="812" t="s">
        <v>1445</v>
      </c>
      <c r="G34" s="684" t="s">
        <v>1446</v>
      </c>
      <c r="H34" s="685">
        <v>1601935</v>
      </c>
      <c r="I34" s="344">
        <f>(71240+700000+797539)/H34</f>
        <v>0.97930253100156994</v>
      </c>
      <c r="J34" s="334">
        <v>32821</v>
      </c>
      <c r="K34" s="344">
        <f>(71240+700000+797539+J34)/H34</f>
        <v>0.99979087790703114</v>
      </c>
      <c r="L34" s="796" t="s">
        <v>1447</v>
      </c>
    </row>
    <row r="35" spans="2:13" ht="91.5" thickTop="1" thickBot="1" x14ac:dyDescent="0.25">
      <c r="B35" s="332" t="s">
        <v>796</v>
      </c>
      <c r="C35" s="332" t="s">
        <v>797</v>
      </c>
      <c r="D35" s="332" t="s">
        <v>222</v>
      </c>
      <c r="E35" s="332" t="s">
        <v>798</v>
      </c>
      <c r="F35" s="338" t="s">
        <v>1324</v>
      </c>
      <c r="G35" s="684" t="s">
        <v>594</v>
      </c>
      <c r="H35" s="685">
        <v>483885</v>
      </c>
      <c r="I35" s="344">
        <f>(46883+367140)/H35</f>
        <v>0.85562272027444541</v>
      </c>
      <c r="J35" s="334">
        <v>69862</v>
      </c>
      <c r="K35" s="341">
        <f>(46883+367140+J35)/H35</f>
        <v>1</v>
      </c>
      <c r="L35" s="334">
        <f>(46883+367140)</f>
        <v>414023</v>
      </c>
      <c r="M35" s="564">
        <f>H35-L35</f>
        <v>69862</v>
      </c>
    </row>
    <row r="36" spans="2:13" ht="61.5" thickTop="1" thickBot="1" x14ac:dyDescent="0.25">
      <c r="B36" s="332" t="s">
        <v>796</v>
      </c>
      <c r="C36" s="332" t="s">
        <v>797</v>
      </c>
      <c r="D36" s="332" t="s">
        <v>222</v>
      </c>
      <c r="E36" s="332" t="s">
        <v>798</v>
      </c>
      <c r="F36" s="343" t="s">
        <v>1154</v>
      </c>
      <c r="G36" s="336" t="s">
        <v>666</v>
      </c>
      <c r="H36" s="337"/>
      <c r="I36" s="344">
        <v>0</v>
      </c>
      <c r="J36" s="340">
        <v>200000</v>
      </c>
      <c r="K36" s="344">
        <v>1</v>
      </c>
    </row>
    <row r="37" spans="2:13" ht="106.5" thickTop="1" thickBot="1" x14ac:dyDescent="0.25">
      <c r="B37" s="332" t="s">
        <v>796</v>
      </c>
      <c r="C37" s="332" t="s">
        <v>797</v>
      </c>
      <c r="D37" s="332" t="s">
        <v>222</v>
      </c>
      <c r="E37" s="332" t="s">
        <v>798</v>
      </c>
      <c r="F37" s="343" t="s">
        <v>1518</v>
      </c>
      <c r="G37" s="336" t="s">
        <v>666</v>
      </c>
      <c r="H37" s="337">
        <v>469475</v>
      </c>
      <c r="I37" s="344">
        <v>0</v>
      </c>
      <c r="J37" s="340">
        <v>92850.01</v>
      </c>
      <c r="K37" s="344">
        <f>(J37+J68)/H37</f>
        <v>0.42600777464188722</v>
      </c>
    </row>
    <row r="38" spans="2:13" ht="166.5" thickTop="1" thickBot="1" x14ac:dyDescent="0.25">
      <c r="B38" s="332" t="s">
        <v>796</v>
      </c>
      <c r="C38" s="332" t="s">
        <v>797</v>
      </c>
      <c r="D38" s="332" t="s">
        <v>222</v>
      </c>
      <c r="E38" s="332" t="s">
        <v>798</v>
      </c>
      <c r="F38" s="343" t="s">
        <v>1258</v>
      </c>
      <c r="G38" s="336" t="s">
        <v>666</v>
      </c>
      <c r="H38" s="337">
        <v>500000</v>
      </c>
      <c r="I38" s="344">
        <v>0</v>
      </c>
      <c r="J38" s="340">
        <v>500000</v>
      </c>
      <c r="K38" s="344">
        <v>1</v>
      </c>
      <c r="L38" s="611" t="s">
        <v>1252</v>
      </c>
    </row>
    <row r="39" spans="2:13" ht="91.5" thickTop="1" thickBot="1" x14ac:dyDescent="0.25">
      <c r="B39" s="332" t="s">
        <v>796</v>
      </c>
      <c r="C39" s="332" t="s">
        <v>797</v>
      </c>
      <c r="D39" s="332" t="s">
        <v>222</v>
      </c>
      <c r="E39" s="332" t="s">
        <v>798</v>
      </c>
      <c r="F39" s="343" t="s">
        <v>1441</v>
      </c>
      <c r="G39" s="339" t="s">
        <v>666</v>
      </c>
      <c r="H39" s="340">
        <v>3527267</v>
      </c>
      <c r="I39" s="344">
        <v>0</v>
      </c>
      <c r="J39" s="342">
        <v>500000</v>
      </c>
      <c r="K39" s="344">
        <f>J39/H39</f>
        <v>0.14175280748522864</v>
      </c>
      <c r="L39" s="611"/>
    </row>
    <row r="40" spans="2:13" ht="106.5" thickTop="1" thickBot="1" x14ac:dyDescent="0.25">
      <c r="B40" s="332" t="s">
        <v>796</v>
      </c>
      <c r="C40" s="332" t="s">
        <v>797</v>
      </c>
      <c r="D40" s="332" t="s">
        <v>222</v>
      </c>
      <c r="E40" s="332" t="s">
        <v>798</v>
      </c>
      <c r="F40" s="343" t="s">
        <v>1502</v>
      </c>
      <c r="G40" s="336" t="s">
        <v>666</v>
      </c>
      <c r="H40" s="340"/>
      <c r="I40" s="344">
        <v>0</v>
      </c>
      <c r="J40" s="340">
        <v>220000</v>
      </c>
      <c r="K40" s="344">
        <v>1</v>
      </c>
      <c r="L40" s="811" t="s">
        <v>1528</v>
      </c>
    </row>
    <row r="41" spans="2:13" ht="61.5" hidden="1" thickTop="1" thickBot="1" x14ac:dyDescent="0.25">
      <c r="B41" s="332" t="s">
        <v>796</v>
      </c>
      <c r="C41" s="332" t="s">
        <v>797</v>
      </c>
      <c r="D41" s="332" t="s">
        <v>222</v>
      </c>
      <c r="E41" s="332" t="s">
        <v>798</v>
      </c>
      <c r="F41" s="803" t="s">
        <v>1155</v>
      </c>
      <c r="G41" s="336" t="s">
        <v>666</v>
      </c>
      <c r="H41" s="337"/>
      <c r="I41" s="344">
        <v>0</v>
      </c>
      <c r="J41" s="340">
        <f>(250000)-250000</f>
        <v>0</v>
      </c>
      <c r="K41" s="344">
        <v>1</v>
      </c>
    </row>
    <row r="42" spans="2:13" ht="91.5" thickTop="1" thickBot="1" x14ac:dyDescent="0.25">
      <c r="B42" s="332" t="s">
        <v>796</v>
      </c>
      <c r="C42" s="332" t="s">
        <v>797</v>
      </c>
      <c r="D42" s="332" t="s">
        <v>222</v>
      </c>
      <c r="E42" s="332" t="s">
        <v>798</v>
      </c>
      <c r="F42" s="343" t="s">
        <v>1505</v>
      </c>
      <c r="G42" s="336" t="s">
        <v>666</v>
      </c>
      <c r="H42" s="337"/>
      <c r="I42" s="344">
        <v>0</v>
      </c>
      <c r="J42" s="340">
        <v>78000</v>
      </c>
      <c r="K42" s="344">
        <v>1</v>
      </c>
      <c r="L42" s="811" t="s">
        <v>1506</v>
      </c>
    </row>
    <row r="43" spans="2:13" ht="91.5" thickTop="1" thickBot="1" x14ac:dyDescent="0.25">
      <c r="B43" s="332" t="s">
        <v>796</v>
      </c>
      <c r="C43" s="332" t="s">
        <v>797</v>
      </c>
      <c r="D43" s="332" t="s">
        <v>222</v>
      </c>
      <c r="E43" s="332" t="s">
        <v>798</v>
      </c>
      <c r="F43" s="343" t="s">
        <v>1166</v>
      </c>
      <c r="G43" s="336" t="s">
        <v>666</v>
      </c>
      <c r="H43" s="337">
        <v>7200538</v>
      </c>
      <c r="I43" s="344">
        <v>0</v>
      </c>
      <c r="J43" s="340">
        <f>(1000000)+1000000+17667+900000</f>
        <v>2917667</v>
      </c>
      <c r="K43" s="344">
        <f>(J43+J70)/H43</f>
        <v>0.68295827339568238</v>
      </c>
    </row>
    <row r="44" spans="2:13" ht="136.5" thickTop="1" thickBot="1" x14ac:dyDescent="0.25">
      <c r="B44" s="332" t="s">
        <v>796</v>
      </c>
      <c r="C44" s="332" t="s">
        <v>797</v>
      </c>
      <c r="D44" s="332" t="s">
        <v>222</v>
      </c>
      <c r="E44" s="332" t="s">
        <v>798</v>
      </c>
      <c r="F44" s="343" t="s">
        <v>1491</v>
      </c>
      <c r="G44" s="339" t="s">
        <v>666</v>
      </c>
      <c r="H44" s="340"/>
      <c r="I44" s="341">
        <v>0</v>
      </c>
      <c r="J44" s="340">
        <v>292490.88</v>
      </c>
      <c r="K44" s="344">
        <v>1</v>
      </c>
      <c r="L44" s="231" t="s">
        <v>1492</v>
      </c>
    </row>
    <row r="45" spans="2:13" ht="76.5" thickTop="1" thickBot="1" x14ac:dyDescent="0.25">
      <c r="B45" s="332" t="s">
        <v>796</v>
      </c>
      <c r="C45" s="332" t="s">
        <v>797</v>
      </c>
      <c r="D45" s="332" t="s">
        <v>222</v>
      </c>
      <c r="E45" s="332" t="s">
        <v>798</v>
      </c>
      <c r="F45" s="343" t="s">
        <v>1490</v>
      </c>
      <c r="G45" s="339" t="s">
        <v>666</v>
      </c>
      <c r="H45" s="340">
        <v>299723</v>
      </c>
      <c r="I45" s="341">
        <v>0</v>
      </c>
      <c r="J45" s="340">
        <f>49723+(250000)</f>
        <v>299723</v>
      </c>
      <c r="K45" s="341">
        <v>1</v>
      </c>
    </row>
    <row r="46" spans="2:13" ht="76.5" thickTop="1" thickBot="1" x14ac:dyDescent="0.25">
      <c r="B46" s="332" t="s">
        <v>796</v>
      </c>
      <c r="C46" s="332" t="s">
        <v>797</v>
      </c>
      <c r="D46" s="332" t="s">
        <v>222</v>
      </c>
      <c r="E46" s="332" t="s">
        <v>798</v>
      </c>
      <c r="F46" s="343" t="s">
        <v>1168</v>
      </c>
      <c r="G46" s="339" t="s">
        <v>594</v>
      </c>
      <c r="H46" s="340">
        <f>299957+110000</f>
        <v>409957</v>
      </c>
      <c r="I46" s="341">
        <f>299827.84/H46</f>
        <v>0.73136411867586115</v>
      </c>
      <c r="J46" s="340">
        <v>110000</v>
      </c>
      <c r="K46" s="344">
        <f>(299827.84+J46)/H46</f>
        <v>0.99968494256714735</v>
      </c>
    </row>
    <row r="47" spans="2:13" ht="121.5" thickTop="1" thickBot="1" x14ac:dyDescent="0.25">
      <c r="B47" s="332" t="s">
        <v>796</v>
      </c>
      <c r="C47" s="332" t="s">
        <v>797</v>
      </c>
      <c r="D47" s="332" t="s">
        <v>222</v>
      </c>
      <c r="E47" s="332" t="s">
        <v>798</v>
      </c>
      <c r="F47" s="343" t="s">
        <v>1520</v>
      </c>
      <c r="G47" s="336" t="s">
        <v>666</v>
      </c>
      <c r="H47" s="337">
        <f>612797+(1396945)</f>
        <v>2009742</v>
      </c>
      <c r="I47" s="344">
        <v>0</v>
      </c>
      <c r="J47" s="342">
        <f>((50000)+646945)+612796.87</f>
        <v>1309741.8700000001</v>
      </c>
      <c r="K47" s="344">
        <f>(J47+J72)/H47</f>
        <v>0.99999993531508025</v>
      </c>
      <c r="L47" s="642" t="s">
        <v>1252</v>
      </c>
      <c r="M47" s="862">
        <f>612797+(1396945)</f>
        <v>2009742</v>
      </c>
    </row>
    <row r="48" spans="2:13" ht="121.5" thickTop="1" thickBot="1" x14ac:dyDescent="0.25">
      <c r="B48" s="332" t="s">
        <v>796</v>
      </c>
      <c r="C48" s="332" t="s">
        <v>797</v>
      </c>
      <c r="D48" s="332" t="s">
        <v>222</v>
      </c>
      <c r="E48" s="332" t="s">
        <v>798</v>
      </c>
      <c r="F48" s="343" t="s">
        <v>1519</v>
      </c>
      <c r="G48" s="336" t="s">
        <v>666</v>
      </c>
      <c r="H48" s="340">
        <v>299286</v>
      </c>
      <c r="I48" s="341">
        <v>0</v>
      </c>
      <c r="J48" s="342">
        <f>-63535+(300000)</f>
        <v>236465</v>
      </c>
      <c r="K48" s="341">
        <v>1</v>
      </c>
    </row>
    <row r="49" spans="2:13" ht="121.5" thickTop="1" thickBot="1" x14ac:dyDescent="0.25">
      <c r="B49" s="332" t="s">
        <v>796</v>
      </c>
      <c r="C49" s="332" t="s">
        <v>797</v>
      </c>
      <c r="D49" s="332" t="s">
        <v>222</v>
      </c>
      <c r="E49" s="332" t="s">
        <v>798</v>
      </c>
      <c r="F49" s="343" t="s">
        <v>1253</v>
      </c>
      <c r="G49" s="336" t="s">
        <v>666</v>
      </c>
      <c r="H49" s="337">
        <v>2288771</v>
      </c>
      <c r="I49" s="344">
        <v>0</v>
      </c>
      <c r="J49" s="342">
        <f>((750000)+1436788)+81373</f>
        <v>2268161</v>
      </c>
      <c r="K49" s="344">
        <v>1</v>
      </c>
      <c r="L49" s="607" t="s">
        <v>1252</v>
      </c>
    </row>
    <row r="50" spans="2:13" ht="91.5" thickTop="1" thickBot="1" x14ac:dyDescent="0.25">
      <c r="B50" s="332" t="s">
        <v>796</v>
      </c>
      <c r="C50" s="332" t="s">
        <v>797</v>
      </c>
      <c r="D50" s="332" t="s">
        <v>222</v>
      </c>
      <c r="E50" s="332" t="s">
        <v>798</v>
      </c>
      <c r="F50" s="343" t="s">
        <v>1256</v>
      </c>
      <c r="G50" s="336" t="s">
        <v>531</v>
      </c>
      <c r="H50" s="337">
        <v>2263021</v>
      </c>
      <c r="I50" s="344">
        <f>(50000/H50)</f>
        <v>2.2094359707665108E-2</v>
      </c>
      <c r="J50" s="342">
        <f>(500000)+830000</f>
        <v>1330000</v>
      </c>
      <c r="K50" s="344">
        <f>(J50+50000)/H50*100%</f>
        <v>0.60980432793155692</v>
      </c>
      <c r="L50" s="610" t="s">
        <v>1252</v>
      </c>
    </row>
    <row r="51" spans="2:13" ht="136.5" thickTop="1" thickBot="1" x14ac:dyDescent="0.25">
      <c r="B51" s="332" t="s">
        <v>796</v>
      </c>
      <c r="C51" s="332" t="s">
        <v>797</v>
      </c>
      <c r="D51" s="332" t="s">
        <v>222</v>
      </c>
      <c r="E51" s="332" t="s">
        <v>798</v>
      </c>
      <c r="F51" s="343" t="s">
        <v>1257</v>
      </c>
      <c r="G51" s="339" t="s">
        <v>666</v>
      </c>
      <c r="H51" s="340">
        <v>1574587</v>
      </c>
      <c r="I51" s="341">
        <v>0</v>
      </c>
      <c r="J51" s="342">
        <f>(750000)+809383</f>
        <v>1559383</v>
      </c>
      <c r="K51" s="344">
        <v>1</v>
      </c>
      <c r="L51" s="610" t="s">
        <v>1252</v>
      </c>
    </row>
    <row r="52" spans="2:13" ht="106.5" thickTop="1" thickBot="1" x14ac:dyDescent="0.25">
      <c r="B52" s="332" t="s">
        <v>796</v>
      </c>
      <c r="C52" s="332" t="s">
        <v>797</v>
      </c>
      <c r="D52" s="332" t="s">
        <v>222</v>
      </c>
      <c r="E52" s="332" t="s">
        <v>798</v>
      </c>
      <c r="F52" s="343" t="s">
        <v>1503</v>
      </c>
      <c r="G52" s="336" t="s">
        <v>666</v>
      </c>
      <c r="H52" s="337">
        <v>2681155</v>
      </c>
      <c r="I52" s="344">
        <v>0</v>
      </c>
      <c r="J52" s="342">
        <v>49000</v>
      </c>
      <c r="K52" s="344">
        <f>J52/H52</f>
        <v>1.8275705805893355E-2</v>
      </c>
    </row>
    <row r="53" spans="2:13" ht="106.5" thickTop="1" thickBot="1" x14ac:dyDescent="0.25">
      <c r="B53" s="332" t="s">
        <v>796</v>
      </c>
      <c r="C53" s="332" t="s">
        <v>797</v>
      </c>
      <c r="D53" s="332" t="s">
        <v>222</v>
      </c>
      <c r="E53" s="332" t="s">
        <v>798</v>
      </c>
      <c r="F53" s="812" t="s">
        <v>1511</v>
      </c>
      <c r="G53" s="336" t="s">
        <v>1457</v>
      </c>
      <c r="H53" s="685">
        <v>1500000</v>
      </c>
      <c r="I53" s="344">
        <f>((((700000)+800000)-400000)-36062.01-367069)/H53</f>
        <v>0.46457932666666668</v>
      </c>
      <c r="J53" s="334">
        <v>343190</v>
      </c>
      <c r="K53" s="344">
        <v>1</v>
      </c>
    </row>
    <row r="54" spans="2:13" ht="91.5" thickTop="1" thickBot="1" x14ac:dyDescent="0.25">
      <c r="B54" s="332" t="s">
        <v>796</v>
      </c>
      <c r="C54" s="332" t="s">
        <v>797</v>
      </c>
      <c r="D54" s="332" t="s">
        <v>222</v>
      </c>
      <c r="E54" s="332" t="s">
        <v>798</v>
      </c>
      <c r="F54" s="343" t="s">
        <v>1260</v>
      </c>
      <c r="G54" s="336" t="s">
        <v>531</v>
      </c>
      <c r="H54" s="337">
        <v>1489695</v>
      </c>
      <c r="I54" s="344">
        <f>(940877/H54)</f>
        <v>0.63159035910035277</v>
      </c>
      <c r="J54" s="342">
        <v>548818</v>
      </c>
      <c r="K54" s="344">
        <f>(J54+940877)/H54</f>
        <v>1</v>
      </c>
      <c r="L54" s="608" t="s">
        <v>1252</v>
      </c>
      <c r="M54" s="566"/>
    </row>
    <row r="55" spans="2:13" ht="91.5" thickTop="1" thickBot="1" x14ac:dyDescent="0.25">
      <c r="B55" s="332" t="s">
        <v>796</v>
      </c>
      <c r="C55" s="332" t="s">
        <v>797</v>
      </c>
      <c r="D55" s="332" t="s">
        <v>222</v>
      </c>
      <c r="E55" s="332" t="s">
        <v>798</v>
      </c>
      <c r="F55" s="343" t="s">
        <v>1507</v>
      </c>
      <c r="G55" s="336" t="s">
        <v>666</v>
      </c>
      <c r="H55" s="337"/>
      <c r="I55" s="344">
        <v>0</v>
      </c>
      <c r="J55" s="342">
        <f>(49000)+13800</f>
        <v>62800</v>
      </c>
      <c r="K55" s="344">
        <v>1</v>
      </c>
      <c r="L55" s="811" t="s">
        <v>1508</v>
      </c>
      <c r="M55" s="566"/>
    </row>
    <row r="56" spans="2:13" ht="151.5" thickTop="1" thickBot="1" x14ac:dyDescent="0.25">
      <c r="B56" s="332" t="s">
        <v>796</v>
      </c>
      <c r="C56" s="332" t="s">
        <v>797</v>
      </c>
      <c r="D56" s="332" t="s">
        <v>222</v>
      </c>
      <c r="E56" s="332" t="s">
        <v>798</v>
      </c>
      <c r="F56" s="343" t="s">
        <v>1509</v>
      </c>
      <c r="G56" s="336" t="s">
        <v>666</v>
      </c>
      <c r="H56" s="337">
        <f>(1957290)+349523</f>
        <v>2306813</v>
      </c>
      <c r="I56" s="344">
        <v>0</v>
      </c>
      <c r="J56" s="342">
        <f>349522.79+((50000)+1207290)</f>
        <v>1606812.79</v>
      </c>
      <c r="K56" s="344">
        <f>(J56+J75)/H56</f>
        <v>0.99999990896531277</v>
      </c>
      <c r="L56" s="609" t="s">
        <v>1252</v>
      </c>
      <c r="M56" s="862">
        <f>(1957290)+349523</f>
        <v>2306813</v>
      </c>
    </row>
    <row r="57" spans="2:13" ht="136.5" thickTop="1" thickBot="1" x14ac:dyDescent="0.25">
      <c r="B57" s="332" t="s">
        <v>796</v>
      </c>
      <c r="C57" s="332" t="s">
        <v>797</v>
      </c>
      <c r="D57" s="332" t="s">
        <v>222</v>
      </c>
      <c r="E57" s="332" t="s">
        <v>798</v>
      </c>
      <c r="F57" s="343" t="s">
        <v>1156</v>
      </c>
      <c r="G57" s="336" t="s">
        <v>666</v>
      </c>
      <c r="H57" s="337"/>
      <c r="I57" s="344">
        <v>0</v>
      </c>
      <c r="J57" s="342">
        <v>49000</v>
      </c>
      <c r="K57" s="344">
        <v>1</v>
      </c>
      <c r="L57" s="565"/>
      <c r="M57" s="566"/>
    </row>
    <row r="58" spans="2:13" ht="76.5" thickTop="1" thickBot="1" x14ac:dyDescent="0.25">
      <c r="B58" s="332" t="s">
        <v>796</v>
      </c>
      <c r="C58" s="332" t="s">
        <v>797</v>
      </c>
      <c r="D58" s="332" t="s">
        <v>222</v>
      </c>
      <c r="E58" s="332" t="s">
        <v>798</v>
      </c>
      <c r="F58" s="343" t="s">
        <v>1254</v>
      </c>
      <c r="G58" s="339" t="s">
        <v>531</v>
      </c>
      <c r="H58" s="340">
        <v>1498929</v>
      </c>
      <c r="I58" s="344">
        <f>(59000/H58)</f>
        <v>3.9361437399636677E-2</v>
      </c>
      <c r="J58" s="342">
        <v>750000</v>
      </c>
      <c r="K58" s="344">
        <f>(J58+59000+690360)/H58</f>
        <v>1.0002875386359193</v>
      </c>
      <c r="L58" s="609" t="s">
        <v>1252</v>
      </c>
      <c r="M58" s="566"/>
    </row>
    <row r="59" spans="2:13" ht="76.5" thickTop="1" thickBot="1" x14ac:dyDescent="0.25">
      <c r="B59" s="332" t="s">
        <v>796</v>
      </c>
      <c r="C59" s="332" t="s">
        <v>797</v>
      </c>
      <c r="D59" s="332" t="s">
        <v>222</v>
      </c>
      <c r="E59" s="332" t="s">
        <v>798</v>
      </c>
      <c r="F59" s="343" t="s">
        <v>1504</v>
      </c>
      <c r="G59" s="339" t="s">
        <v>594</v>
      </c>
      <c r="H59" s="340">
        <v>3488348</v>
      </c>
      <c r="I59" s="341">
        <f>(1950923.21/H59)</f>
        <v>0.55926851621455198</v>
      </c>
      <c r="J59" s="342">
        <v>1261682</v>
      </c>
      <c r="K59" s="341">
        <f>(1950923.21+J59)/H59</f>
        <v>0.92095318758334888</v>
      </c>
      <c r="L59" s="565"/>
      <c r="M59" s="566"/>
    </row>
    <row r="60" spans="2:13" ht="106.5" hidden="1" thickTop="1" thickBot="1" x14ac:dyDescent="0.25">
      <c r="B60" s="332" t="s">
        <v>796</v>
      </c>
      <c r="C60" s="332" t="s">
        <v>797</v>
      </c>
      <c r="D60" s="332" t="s">
        <v>222</v>
      </c>
      <c r="E60" s="332" t="s">
        <v>798</v>
      </c>
      <c r="F60" s="803" t="s">
        <v>1346</v>
      </c>
      <c r="G60" s="336" t="s">
        <v>666</v>
      </c>
      <c r="H60" s="337">
        <v>93500</v>
      </c>
      <c r="I60" s="344">
        <v>0</v>
      </c>
      <c r="J60" s="342">
        <f>(93500)-93500</f>
        <v>0</v>
      </c>
      <c r="K60" s="344">
        <v>1</v>
      </c>
      <c r="L60" s="565"/>
      <c r="M60" s="566"/>
    </row>
    <row r="61" spans="2:13" ht="121.5" hidden="1" thickTop="1" thickBot="1" x14ac:dyDescent="0.25">
      <c r="B61" s="332" t="s">
        <v>796</v>
      </c>
      <c r="C61" s="332" t="s">
        <v>797</v>
      </c>
      <c r="D61" s="332" t="s">
        <v>222</v>
      </c>
      <c r="E61" s="332" t="s">
        <v>798</v>
      </c>
      <c r="F61" s="803" t="s">
        <v>1321</v>
      </c>
      <c r="G61" s="336" t="s">
        <v>666</v>
      </c>
      <c r="H61" s="337">
        <v>87000</v>
      </c>
      <c r="I61" s="344">
        <v>0</v>
      </c>
      <c r="J61" s="342">
        <f>-87000+(87000)</f>
        <v>0</v>
      </c>
      <c r="K61" s="344">
        <v>1</v>
      </c>
      <c r="L61" s="565"/>
      <c r="M61" s="566"/>
    </row>
    <row r="62" spans="2:13" ht="91.5" thickTop="1" thickBot="1" x14ac:dyDescent="0.25">
      <c r="B62" s="332" t="s">
        <v>796</v>
      </c>
      <c r="C62" s="332" t="s">
        <v>797</v>
      </c>
      <c r="D62" s="332" t="s">
        <v>222</v>
      </c>
      <c r="E62" s="332" t="s">
        <v>798</v>
      </c>
      <c r="F62" s="343" t="s">
        <v>1488</v>
      </c>
      <c r="G62" s="336" t="s">
        <v>666</v>
      </c>
      <c r="H62" s="337">
        <v>47935</v>
      </c>
      <c r="I62" s="344">
        <v>0</v>
      </c>
      <c r="J62" s="342">
        <v>6500</v>
      </c>
      <c r="K62" s="344">
        <f>J62/H62</f>
        <v>0.13560029206216753</v>
      </c>
      <c r="L62" s="565"/>
      <c r="M62" s="566"/>
    </row>
    <row r="63" spans="2:13" ht="121.5" thickTop="1" thickBot="1" x14ac:dyDescent="0.25">
      <c r="B63" s="332" t="s">
        <v>796</v>
      </c>
      <c r="C63" s="332" t="s">
        <v>797</v>
      </c>
      <c r="D63" s="332" t="s">
        <v>222</v>
      </c>
      <c r="E63" s="332" t="s">
        <v>798</v>
      </c>
      <c r="F63" s="343" t="s">
        <v>1489</v>
      </c>
      <c r="G63" s="336" t="s">
        <v>666</v>
      </c>
      <c r="H63" s="337">
        <v>37939</v>
      </c>
      <c r="I63" s="344">
        <v>0</v>
      </c>
      <c r="J63" s="342">
        <v>20500</v>
      </c>
      <c r="K63" s="344">
        <f>J63/H63</f>
        <v>0.5403410738290414</v>
      </c>
      <c r="L63" s="565"/>
      <c r="M63" s="566"/>
    </row>
    <row r="64" spans="2:13" ht="121.5" thickTop="1" thickBot="1" x14ac:dyDescent="0.25">
      <c r="B64" s="332" t="s">
        <v>796</v>
      </c>
      <c r="C64" s="332" t="s">
        <v>797</v>
      </c>
      <c r="D64" s="332" t="s">
        <v>222</v>
      </c>
      <c r="E64" s="332" t="s">
        <v>798</v>
      </c>
      <c r="F64" s="343" t="s">
        <v>1322</v>
      </c>
      <c r="G64" s="336" t="s">
        <v>666</v>
      </c>
      <c r="H64" s="337">
        <f>-25000+(43500)</f>
        <v>18500</v>
      </c>
      <c r="I64" s="344">
        <v>0</v>
      </c>
      <c r="J64" s="342">
        <f>-25000+(43500)</f>
        <v>18500</v>
      </c>
      <c r="K64" s="344">
        <v>1</v>
      </c>
      <c r="L64" s="565"/>
      <c r="M64" s="566"/>
    </row>
    <row r="65" spans="2:13" ht="106.5" thickTop="1" thickBot="1" x14ac:dyDescent="0.25">
      <c r="B65" s="332" t="s">
        <v>796</v>
      </c>
      <c r="C65" s="332" t="s">
        <v>797</v>
      </c>
      <c r="D65" s="332" t="s">
        <v>222</v>
      </c>
      <c r="E65" s="332" t="s">
        <v>798</v>
      </c>
      <c r="F65" s="343" t="s">
        <v>1323</v>
      </c>
      <c r="G65" s="336" t="s">
        <v>666</v>
      </c>
      <c r="H65" s="337">
        <f>-125639+(143500)</f>
        <v>17861</v>
      </c>
      <c r="I65" s="344">
        <v>0</v>
      </c>
      <c r="J65" s="342">
        <f>-125639+(143500)</f>
        <v>17861</v>
      </c>
      <c r="K65" s="344">
        <v>1</v>
      </c>
      <c r="L65" s="565"/>
      <c r="M65" s="566"/>
    </row>
    <row r="66" spans="2:13" ht="76.5" thickTop="1" thickBot="1" x14ac:dyDescent="0.25">
      <c r="B66" s="332" t="s">
        <v>806</v>
      </c>
      <c r="C66" s="332" t="s">
        <v>807</v>
      </c>
      <c r="D66" s="332" t="s">
        <v>225</v>
      </c>
      <c r="E66" s="332" t="s">
        <v>543</v>
      </c>
      <c r="F66" s="338" t="s">
        <v>578</v>
      </c>
      <c r="G66" s="336"/>
      <c r="H66" s="337"/>
      <c r="I66" s="337"/>
      <c r="J66" s="334">
        <f>-29400+(-54288+((100000+120000+38430+59425+30000-30000)+16386))</f>
        <v>250553</v>
      </c>
      <c r="K66" s="334"/>
    </row>
    <row r="67" spans="2:13" ht="91.5" thickTop="1" thickBot="1" x14ac:dyDescent="0.25">
      <c r="B67" s="332" t="s">
        <v>806</v>
      </c>
      <c r="C67" s="332" t="s">
        <v>807</v>
      </c>
      <c r="D67" s="332" t="s">
        <v>225</v>
      </c>
      <c r="E67" s="332" t="s">
        <v>543</v>
      </c>
      <c r="F67" s="343" t="s">
        <v>1497</v>
      </c>
      <c r="G67" s="339" t="s">
        <v>666</v>
      </c>
      <c r="H67" s="340"/>
      <c r="I67" s="341">
        <v>0</v>
      </c>
      <c r="J67" s="342">
        <f>(300000)+314900</f>
        <v>614900</v>
      </c>
      <c r="K67" s="334">
        <v>100</v>
      </c>
      <c r="L67" s="565" t="s">
        <v>1527</v>
      </c>
    </row>
    <row r="68" spans="2:13" ht="106.5" thickTop="1" thickBot="1" x14ac:dyDescent="0.25">
      <c r="B68" s="332" t="s">
        <v>1158</v>
      </c>
      <c r="C68" s="332" t="s">
        <v>1159</v>
      </c>
      <c r="D68" s="332" t="s">
        <v>222</v>
      </c>
      <c r="E68" s="332" t="s">
        <v>1162</v>
      </c>
      <c r="F68" s="343" t="s">
        <v>1518</v>
      </c>
      <c r="G68" s="336" t="s">
        <v>666</v>
      </c>
      <c r="H68" s="337">
        <v>469475</v>
      </c>
      <c r="I68" s="344">
        <v>0</v>
      </c>
      <c r="J68" s="340">
        <v>107149.99</v>
      </c>
      <c r="K68" s="344">
        <f>(J68+J37)/H68</f>
        <v>0.42600777464188722</v>
      </c>
    </row>
    <row r="69" spans="2:13" ht="166.5" thickTop="1" thickBot="1" x14ac:dyDescent="0.25">
      <c r="B69" s="332" t="s">
        <v>1158</v>
      </c>
      <c r="C69" s="332" t="s">
        <v>1159</v>
      </c>
      <c r="D69" s="332" t="s">
        <v>222</v>
      </c>
      <c r="E69" s="332" t="s">
        <v>1162</v>
      </c>
      <c r="F69" s="343" t="s">
        <v>1259</v>
      </c>
      <c r="G69" s="336" t="s">
        <v>666</v>
      </c>
      <c r="H69" s="337">
        <v>500000</v>
      </c>
      <c r="I69" s="344">
        <v>0</v>
      </c>
      <c r="J69" s="340">
        <v>500000</v>
      </c>
      <c r="K69" s="344">
        <v>1</v>
      </c>
      <c r="L69" s="611" t="s">
        <v>1252</v>
      </c>
    </row>
    <row r="70" spans="2:13" ht="91.5" thickTop="1" thickBot="1" x14ac:dyDescent="0.25">
      <c r="B70" s="332" t="s">
        <v>1158</v>
      </c>
      <c r="C70" s="332" t="s">
        <v>1159</v>
      </c>
      <c r="D70" s="332" t="s">
        <v>222</v>
      </c>
      <c r="E70" s="332" t="s">
        <v>1162</v>
      </c>
      <c r="F70" s="343" t="s">
        <v>1166</v>
      </c>
      <c r="G70" s="336" t="s">
        <v>666</v>
      </c>
      <c r="H70" s="337">
        <v>7200538</v>
      </c>
      <c r="I70" s="344">
        <v>0</v>
      </c>
      <c r="J70" s="340">
        <v>2000000</v>
      </c>
      <c r="K70" s="344">
        <f>(J70+J43)/H70</f>
        <v>0.68295827339568238</v>
      </c>
      <c r="L70" s="565"/>
    </row>
    <row r="71" spans="2:13" ht="91.5" thickTop="1" thickBot="1" x14ac:dyDescent="0.25">
      <c r="B71" s="332" t="s">
        <v>1158</v>
      </c>
      <c r="C71" s="332" t="s">
        <v>1159</v>
      </c>
      <c r="D71" s="332" t="s">
        <v>222</v>
      </c>
      <c r="E71" s="332" t="s">
        <v>1162</v>
      </c>
      <c r="F71" s="343" t="s">
        <v>1495</v>
      </c>
      <c r="G71" s="336" t="s">
        <v>666</v>
      </c>
      <c r="H71" s="340"/>
      <c r="I71" s="341">
        <v>0</v>
      </c>
      <c r="J71" s="340">
        <v>400000</v>
      </c>
      <c r="K71" s="341">
        <v>1</v>
      </c>
      <c r="L71" s="565" t="s">
        <v>1526</v>
      </c>
    </row>
    <row r="72" spans="2:13" ht="121.5" thickTop="1" thickBot="1" x14ac:dyDescent="0.25">
      <c r="B72" s="332" t="s">
        <v>1158</v>
      </c>
      <c r="C72" s="332" t="s">
        <v>1159</v>
      </c>
      <c r="D72" s="332" t="s">
        <v>222</v>
      </c>
      <c r="E72" s="332" t="s">
        <v>1162</v>
      </c>
      <c r="F72" s="343" t="s">
        <v>1273</v>
      </c>
      <c r="G72" s="336" t="s">
        <v>666</v>
      </c>
      <c r="H72" s="337">
        <v>1396945</v>
      </c>
      <c r="I72" s="344">
        <v>0</v>
      </c>
      <c r="J72" s="342">
        <v>700000</v>
      </c>
      <c r="K72" s="344">
        <f>(J72+J47)/H72</f>
        <v>1.4386692890557611</v>
      </c>
      <c r="L72" s="642" t="s">
        <v>1252</v>
      </c>
    </row>
    <row r="73" spans="2:13" ht="106.5" thickTop="1" thickBot="1" x14ac:dyDescent="0.25">
      <c r="B73" s="332" t="s">
        <v>1158</v>
      </c>
      <c r="C73" s="332" t="s">
        <v>1159</v>
      </c>
      <c r="D73" s="332" t="s">
        <v>222</v>
      </c>
      <c r="E73" s="332" t="s">
        <v>1162</v>
      </c>
      <c r="F73" s="343" t="s">
        <v>1494</v>
      </c>
      <c r="G73" s="336" t="s">
        <v>666</v>
      </c>
      <c r="H73" s="337">
        <v>458622</v>
      </c>
      <c r="I73" s="344">
        <v>0</v>
      </c>
      <c r="J73" s="340">
        <v>400000</v>
      </c>
      <c r="K73" s="344">
        <v>1</v>
      </c>
      <c r="L73" s="565"/>
    </row>
    <row r="74" spans="2:13" ht="166.5" thickTop="1" thickBot="1" x14ac:dyDescent="0.25">
      <c r="B74" s="332" t="s">
        <v>1158</v>
      </c>
      <c r="C74" s="332" t="s">
        <v>1159</v>
      </c>
      <c r="D74" s="332" t="s">
        <v>222</v>
      </c>
      <c r="E74" s="332" t="s">
        <v>1162</v>
      </c>
      <c r="F74" s="343" t="s">
        <v>1496</v>
      </c>
      <c r="G74" s="336" t="s">
        <v>666</v>
      </c>
      <c r="H74" s="337">
        <v>700000</v>
      </c>
      <c r="I74" s="344">
        <v>0</v>
      </c>
      <c r="J74" s="340">
        <v>700000</v>
      </c>
      <c r="K74" s="344">
        <v>1</v>
      </c>
    </row>
    <row r="75" spans="2:13" ht="151.5" thickTop="1" thickBot="1" x14ac:dyDescent="0.25">
      <c r="B75" s="332" t="s">
        <v>1158</v>
      </c>
      <c r="C75" s="332" t="s">
        <v>1159</v>
      </c>
      <c r="D75" s="332" t="s">
        <v>222</v>
      </c>
      <c r="E75" s="332" t="s">
        <v>1162</v>
      </c>
      <c r="F75" s="343" t="s">
        <v>1509</v>
      </c>
      <c r="G75" s="336" t="s">
        <v>666</v>
      </c>
      <c r="H75" s="337">
        <v>1957290</v>
      </c>
      <c r="I75" s="344">
        <v>0</v>
      </c>
      <c r="J75" s="342">
        <v>700000</v>
      </c>
      <c r="K75" s="344">
        <f>(J75+J56)/H75</f>
        <v>1.1785748611600735</v>
      </c>
      <c r="L75" s="609" t="s">
        <v>1252</v>
      </c>
    </row>
    <row r="76" spans="2:13" ht="76.5" thickTop="1" thickBot="1" x14ac:dyDescent="0.25">
      <c r="B76" s="332" t="s">
        <v>1158</v>
      </c>
      <c r="C76" s="332" t="s">
        <v>1159</v>
      </c>
      <c r="D76" s="332" t="s">
        <v>222</v>
      </c>
      <c r="E76" s="332" t="s">
        <v>1162</v>
      </c>
      <c r="F76" s="343" t="s">
        <v>1254</v>
      </c>
      <c r="G76" s="339" t="s">
        <v>531</v>
      </c>
      <c r="H76" s="340">
        <v>1498929</v>
      </c>
      <c r="I76" s="341">
        <f>(59000/H76)</f>
        <v>3.9361437399636677E-2</v>
      </c>
      <c r="J76" s="342">
        <v>690360</v>
      </c>
      <c r="K76" s="344">
        <f>(J76+59000+750000)/H76</f>
        <v>1.0002875386359193</v>
      </c>
      <c r="L76" s="609" t="s">
        <v>1252</v>
      </c>
    </row>
    <row r="77" spans="2:13" ht="46.5" thickTop="1" thickBot="1" x14ac:dyDescent="0.25">
      <c r="B77" s="332" t="s">
        <v>817</v>
      </c>
      <c r="C77" s="332" t="s">
        <v>224</v>
      </c>
      <c r="D77" s="332" t="s">
        <v>199</v>
      </c>
      <c r="E77" s="332" t="s">
        <v>545</v>
      </c>
      <c r="F77" s="338" t="s">
        <v>578</v>
      </c>
      <c r="G77" s="336"/>
      <c r="H77" s="337"/>
      <c r="I77" s="344"/>
      <c r="J77" s="342">
        <f>-87345+((177100)+31000)</f>
        <v>120755</v>
      </c>
      <c r="K77" s="344"/>
      <c r="L77" s="564"/>
    </row>
    <row r="78" spans="2:13" ht="76.5" thickTop="1" thickBot="1" x14ac:dyDescent="0.25">
      <c r="B78" s="332" t="s">
        <v>817</v>
      </c>
      <c r="C78" s="332" t="s">
        <v>224</v>
      </c>
      <c r="D78" s="332" t="s">
        <v>199</v>
      </c>
      <c r="E78" s="332" t="s">
        <v>545</v>
      </c>
      <c r="F78" s="338" t="s">
        <v>1530</v>
      </c>
      <c r="G78" s="336" t="s">
        <v>581</v>
      </c>
      <c r="H78" s="340">
        <v>31210785</v>
      </c>
      <c r="I78" s="344">
        <f>(10870900.41+3614326)/H78</f>
        <v>0.46410964703386987</v>
      </c>
      <c r="J78" s="334">
        <f>-60256+(-1000000+(((761045)+2000000)-352450))</f>
        <v>1348339</v>
      </c>
      <c r="K78" s="344">
        <f>(10870900.41+3614326+J78)/H78</f>
        <v>0.50731070718022631</v>
      </c>
      <c r="L78" s="609" t="s">
        <v>1252</v>
      </c>
    </row>
    <row r="79" spans="2:13" ht="61.5" thickTop="1" thickBot="1" x14ac:dyDescent="0.25">
      <c r="B79" s="332" t="s">
        <v>818</v>
      </c>
      <c r="C79" s="332" t="s">
        <v>819</v>
      </c>
      <c r="D79" s="332" t="s">
        <v>227</v>
      </c>
      <c r="E79" s="332" t="s">
        <v>820</v>
      </c>
      <c r="F79" s="338" t="s">
        <v>578</v>
      </c>
      <c r="G79" s="336"/>
      <c r="H79" s="340"/>
      <c r="I79" s="344"/>
      <c r="J79" s="334">
        <f>9500+49000</f>
        <v>58500</v>
      </c>
      <c r="K79" s="344"/>
      <c r="L79" s="609"/>
    </row>
    <row r="80" spans="2:13" ht="196.5" thickTop="1" thickBot="1" x14ac:dyDescent="0.25">
      <c r="B80" s="332" t="s">
        <v>818</v>
      </c>
      <c r="C80" s="332" t="s">
        <v>819</v>
      </c>
      <c r="D80" s="332" t="s">
        <v>227</v>
      </c>
      <c r="E80" s="332" t="s">
        <v>820</v>
      </c>
      <c r="F80" s="338" t="s">
        <v>1358</v>
      </c>
      <c r="G80" s="336" t="s">
        <v>666</v>
      </c>
      <c r="H80" s="337">
        <v>709101</v>
      </c>
      <c r="I80" s="344">
        <v>0</v>
      </c>
      <c r="J80" s="334">
        <f>((15000)+300000)+20000</f>
        <v>335000</v>
      </c>
      <c r="K80" s="344">
        <f>J80/H80</f>
        <v>0.4724291744053386</v>
      </c>
    </row>
    <row r="81" spans="2:13" ht="166.5" thickTop="1" thickBot="1" x14ac:dyDescent="0.25">
      <c r="B81" s="332" t="s">
        <v>818</v>
      </c>
      <c r="C81" s="332" t="s">
        <v>819</v>
      </c>
      <c r="D81" s="332" t="s">
        <v>227</v>
      </c>
      <c r="E81" s="332" t="s">
        <v>820</v>
      </c>
      <c r="F81" s="338" t="s">
        <v>1510</v>
      </c>
      <c r="G81" s="336" t="s">
        <v>666</v>
      </c>
      <c r="H81" s="337">
        <v>1170637</v>
      </c>
      <c r="I81" s="344">
        <v>0</v>
      </c>
      <c r="J81" s="334">
        <v>1170637</v>
      </c>
      <c r="K81" s="344">
        <f>J81/H81</f>
        <v>1</v>
      </c>
    </row>
    <row r="82" spans="2:13" ht="76.5" thickTop="1" thickBot="1" x14ac:dyDescent="0.25">
      <c r="B82" s="332" t="s">
        <v>818</v>
      </c>
      <c r="C82" s="332" t="s">
        <v>819</v>
      </c>
      <c r="D82" s="332" t="s">
        <v>227</v>
      </c>
      <c r="E82" s="332" t="s">
        <v>820</v>
      </c>
      <c r="F82" s="338" t="s">
        <v>1152</v>
      </c>
      <c r="G82" s="336" t="s">
        <v>587</v>
      </c>
      <c r="H82" s="337">
        <v>4786834</v>
      </c>
      <c r="I82" s="344">
        <f>(199700+1000000+2898451.2)/H82</f>
        <v>0.85612979267716416</v>
      </c>
      <c r="J82" s="334">
        <v>542580</v>
      </c>
      <c r="K82" s="344">
        <v>1</v>
      </c>
      <c r="L82" s="334"/>
      <c r="M82" s="564"/>
    </row>
    <row r="83" spans="2:13" ht="46.5" thickTop="1" thickBot="1" x14ac:dyDescent="0.25">
      <c r="B83" s="332" t="s">
        <v>833</v>
      </c>
      <c r="C83" s="332" t="s">
        <v>834</v>
      </c>
      <c r="D83" s="332" t="s">
        <v>228</v>
      </c>
      <c r="E83" s="332" t="s">
        <v>835</v>
      </c>
      <c r="F83" s="338" t="s">
        <v>578</v>
      </c>
      <c r="G83" s="336"/>
      <c r="H83" s="337"/>
      <c r="I83" s="344"/>
      <c r="J83" s="334">
        <v>50000</v>
      </c>
      <c r="K83" s="344"/>
      <c r="L83" s="554"/>
      <c r="M83" s="564"/>
    </row>
    <row r="84" spans="2:13" ht="46.5" thickTop="1" thickBot="1" x14ac:dyDescent="0.25">
      <c r="B84" s="332" t="s">
        <v>803</v>
      </c>
      <c r="C84" s="332" t="s">
        <v>804</v>
      </c>
      <c r="D84" s="332" t="s">
        <v>228</v>
      </c>
      <c r="E84" s="332" t="s">
        <v>805</v>
      </c>
      <c r="F84" s="338" t="s">
        <v>578</v>
      </c>
      <c r="G84" s="336"/>
      <c r="H84" s="337"/>
      <c r="I84" s="344"/>
      <c r="J84" s="334">
        <v>50000</v>
      </c>
      <c r="K84" s="344"/>
      <c r="L84" s="554"/>
      <c r="M84" s="564"/>
    </row>
    <row r="85" spans="2:13" ht="91.5" customHeight="1" thickTop="1" thickBot="1" x14ac:dyDescent="0.25">
      <c r="B85" s="332" t="s">
        <v>811</v>
      </c>
      <c r="C85" s="332" t="s">
        <v>812</v>
      </c>
      <c r="D85" s="332" t="s">
        <v>228</v>
      </c>
      <c r="E85" s="332" t="s">
        <v>813</v>
      </c>
      <c r="F85" s="338" t="s">
        <v>578</v>
      </c>
      <c r="G85" s="339"/>
      <c r="H85" s="340"/>
      <c r="I85" s="340"/>
      <c r="J85" s="342">
        <f>'d3'!K66</f>
        <v>2117071</v>
      </c>
      <c r="K85" s="342"/>
    </row>
    <row r="86" spans="2:13" ht="91.5" customHeight="1" thickTop="1" thickBot="1" x14ac:dyDescent="0.25">
      <c r="B86" s="332" t="s">
        <v>1279</v>
      </c>
      <c r="C86" s="332" t="s">
        <v>1280</v>
      </c>
      <c r="D86" s="332" t="s">
        <v>228</v>
      </c>
      <c r="E86" s="332" t="s">
        <v>1281</v>
      </c>
      <c r="F86" s="338" t="s">
        <v>578</v>
      </c>
      <c r="G86" s="339"/>
      <c r="H86" s="340"/>
      <c r="I86" s="340"/>
      <c r="J86" s="342">
        <v>1383129</v>
      </c>
      <c r="K86" s="342"/>
    </row>
    <row r="87" spans="2:13" ht="117" hidden="1" customHeight="1" thickTop="1" thickBot="1" x14ac:dyDescent="0.25">
      <c r="B87" s="332" t="s">
        <v>1310</v>
      </c>
      <c r="C87" s="332" t="s">
        <v>1312</v>
      </c>
      <c r="D87" s="332" t="s">
        <v>228</v>
      </c>
      <c r="E87" s="332" t="s">
        <v>1314</v>
      </c>
      <c r="F87" s="802" t="s">
        <v>578</v>
      </c>
      <c r="G87" s="339"/>
      <c r="H87" s="340"/>
      <c r="I87" s="340"/>
      <c r="J87" s="342">
        <f>4547046.18-4547046.18</f>
        <v>0</v>
      </c>
      <c r="K87" s="342"/>
    </row>
    <row r="88" spans="2:13" ht="72.75" hidden="1" customHeight="1" thickTop="1" x14ac:dyDescent="0.2">
      <c r="B88" s="1074" t="s">
        <v>1337</v>
      </c>
      <c r="C88" s="1074" t="s">
        <v>1338</v>
      </c>
      <c r="D88" s="1074" t="s">
        <v>228</v>
      </c>
      <c r="E88" s="1074" t="s">
        <v>1339</v>
      </c>
      <c r="F88" s="1085" t="s">
        <v>578</v>
      </c>
      <c r="G88" s="1080"/>
      <c r="H88" s="1080"/>
      <c r="I88" s="1080"/>
      <c r="J88" s="1080">
        <f>10623233.82-10623233.82</f>
        <v>0</v>
      </c>
      <c r="K88" s="1080"/>
    </row>
    <row r="89" spans="2:13" ht="58.5" hidden="1" customHeight="1" thickBot="1" x14ac:dyDescent="0.25">
      <c r="B89" s="1067"/>
      <c r="C89" s="1067"/>
      <c r="D89" s="1067"/>
      <c r="E89" s="1067"/>
      <c r="F89" s="1086"/>
      <c r="G89" s="1071"/>
      <c r="H89" s="1071"/>
      <c r="I89" s="1071"/>
      <c r="J89" s="1071"/>
      <c r="K89" s="1071"/>
    </row>
    <row r="90" spans="2:13" ht="61.5" thickTop="1" thickBot="1" x14ac:dyDescent="0.25">
      <c r="B90" s="332" t="s">
        <v>800</v>
      </c>
      <c r="C90" s="332" t="s">
        <v>801</v>
      </c>
      <c r="D90" s="332" t="s">
        <v>228</v>
      </c>
      <c r="E90" s="332" t="s">
        <v>802</v>
      </c>
      <c r="F90" s="338" t="s">
        <v>578</v>
      </c>
      <c r="G90" s="336"/>
      <c r="H90" s="337"/>
      <c r="I90" s="337"/>
      <c r="J90" s="334">
        <f>2396198</f>
        <v>2396198</v>
      </c>
      <c r="K90" s="334"/>
    </row>
    <row r="91" spans="2:13" ht="76.5" thickTop="1" thickBot="1" x14ac:dyDescent="0.25">
      <c r="B91" s="332" t="s">
        <v>1195</v>
      </c>
      <c r="C91" s="332" t="s">
        <v>1196</v>
      </c>
      <c r="D91" s="332" t="s">
        <v>228</v>
      </c>
      <c r="E91" s="332" t="s">
        <v>1197</v>
      </c>
      <c r="F91" s="338" t="s">
        <v>578</v>
      </c>
      <c r="G91" s="336"/>
      <c r="H91" s="337"/>
      <c r="I91" s="337"/>
      <c r="J91" s="334">
        <f>(576190)+172700</f>
        <v>748890</v>
      </c>
      <c r="K91" s="334"/>
    </row>
    <row r="92" spans="2:13" ht="91.5" thickTop="1" thickBot="1" x14ac:dyDescent="0.25">
      <c r="B92" s="332" t="s">
        <v>1316</v>
      </c>
      <c r="C92" s="332" t="s">
        <v>1318</v>
      </c>
      <c r="D92" s="332" t="s">
        <v>228</v>
      </c>
      <c r="E92" s="332" t="s">
        <v>1320</v>
      </c>
      <c r="F92" s="338" t="s">
        <v>578</v>
      </c>
      <c r="G92" s="336"/>
      <c r="H92" s="337"/>
      <c r="I92" s="337"/>
      <c r="J92" s="334">
        <f>84500+(100000)</f>
        <v>184500</v>
      </c>
      <c r="K92" s="334"/>
    </row>
    <row r="93" spans="2:13" ht="91.5" thickTop="1" thickBot="1" x14ac:dyDescent="0.25">
      <c r="B93" s="332" t="s">
        <v>1316</v>
      </c>
      <c r="C93" s="332" t="s">
        <v>1318</v>
      </c>
      <c r="D93" s="332" t="s">
        <v>228</v>
      </c>
      <c r="E93" s="332" t="s">
        <v>1320</v>
      </c>
      <c r="F93" s="338" t="s">
        <v>1493</v>
      </c>
      <c r="G93" s="339" t="s">
        <v>594</v>
      </c>
      <c r="H93" s="340">
        <v>1495500</v>
      </c>
      <c r="I93" s="341">
        <f>(29721.47+18900+13600)/H93</f>
        <v>4.1605797392176527E-2</v>
      </c>
      <c r="J93" s="334">
        <v>1400000</v>
      </c>
      <c r="K93" s="341">
        <f>(29721.47+18900+13600+J93)/H93</f>
        <v>0.97774755600133734</v>
      </c>
    </row>
    <row r="94" spans="2:13" ht="76.5" thickTop="1" thickBot="1" x14ac:dyDescent="0.25">
      <c r="B94" s="332" t="s">
        <v>1388</v>
      </c>
      <c r="C94" s="332" t="s">
        <v>1389</v>
      </c>
      <c r="D94" s="332" t="s">
        <v>228</v>
      </c>
      <c r="E94" s="332" t="s">
        <v>1387</v>
      </c>
      <c r="F94" s="338" t="s">
        <v>578</v>
      </c>
      <c r="G94" s="339"/>
      <c r="H94" s="340"/>
      <c r="I94" s="341"/>
      <c r="J94" s="334">
        <f>(1966100)+553900</f>
        <v>2520000</v>
      </c>
      <c r="K94" s="341"/>
    </row>
    <row r="95" spans="2:13" ht="76.5" thickTop="1" thickBot="1" x14ac:dyDescent="0.25">
      <c r="B95" s="332" t="s">
        <v>1469</v>
      </c>
      <c r="C95" s="332" t="s">
        <v>334</v>
      </c>
      <c r="D95" s="332" t="s">
        <v>323</v>
      </c>
      <c r="E95" s="332" t="s">
        <v>1470</v>
      </c>
      <c r="F95" s="338" t="s">
        <v>1454</v>
      </c>
      <c r="G95" s="336" t="s">
        <v>666</v>
      </c>
      <c r="H95" s="340"/>
      <c r="I95" s="341"/>
      <c r="J95" s="334">
        <v>200000</v>
      </c>
      <c r="K95" s="341">
        <v>1</v>
      </c>
    </row>
    <row r="96" spans="2:13" ht="31.5" thickTop="1" thickBot="1" x14ac:dyDescent="0.25">
      <c r="B96" s="332" t="s">
        <v>1361</v>
      </c>
      <c r="C96" s="332" t="s">
        <v>389</v>
      </c>
      <c r="D96" s="332" t="s">
        <v>45</v>
      </c>
      <c r="E96" s="332" t="s">
        <v>390</v>
      </c>
      <c r="F96" s="338" t="s">
        <v>578</v>
      </c>
      <c r="G96" s="339"/>
      <c r="H96" s="340"/>
      <c r="I96" s="341"/>
      <c r="J96" s="334">
        <f>(4547046.18)+155941.82</f>
        <v>4702988</v>
      </c>
      <c r="K96" s="341"/>
    </row>
    <row r="97" spans="2:11" ht="46.5" thickTop="1" thickBot="1" x14ac:dyDescent="0.25">
      <c r="B97" s="936" t="s">
        <v>168</v>
      </c>
      <c r="C97" s="936"/>
      <c r="D97" s="936"/>
      <c r="E97" s="937" t="s">
        <v>18</v>
      </c>
      <c r="F97" s="946"/>
      <c r="G97" s="938"/>
      <c r="H97" s="938"/>
      <c r="I97" s="938"/>
      <c r="J97" s="946">
        <f>J98</f>
        <v>29582020</v>
      </c>
      <c r="K97" s="946"/>
    </row>
    <row r="98" spans="2:11" ht="44.25" thickTop="1" thickBot="1" x14ac:dyDescent="0.25">
      <c r="B98" s="940" t="s">
        <v>169</v>
      </c>
      <c r="C98" s="940"/>
      <c r="D98" s="940"/>
      <c r="E98" s="941" t="s">
        <v>38</v>
      </c>
      <c r="F98" s="947"/>
      <c r="G98" s="947"/>
      <c r="H98" s="947"/>
      <c r="I98" s="947"/>
      <c r="J98" s="947">
        <f>SUM(J99:J121)</f>
        <v>29582020</v>
      </c>
      <c r="K98" s="947"/>
    </row>
    <row r="99" spans="2:11" ht="91.5" hidden="1" thickTop="1" thickBot="1" x14ac:dyDescent="0.25">
      <c r="B99" s="332" t="s">
        <v>444</v>
      </c>
      <c r="C99" s="332" t="s">
        <v>254</v>
      </c>
      <c r="D99" s="332" t="s">
        <v>252</v>
      </c>
      <c r="E99" s="332" t="s">
        <v>253</v>
      </c>
      <c r="F99" s="338" t="s">
        <v>1459</v>
      </c>
      <c r="G99" s="339" t="s">
        <v>1460</v>
      </c>
      <c r="H99" s="340">
        <v>100000</v>
      </c>
      <c r="I99" s="341">
        <v>0</v>
      </c>
      <c r="J99" s="342">
        <f>100000-100000</f>
        <v>0</v>
      </c>
      <c r="K99" s="341">
        <v>1</v>
      </c>
    </row>
    <row r="100" spans="2:11" ht="31.5" thickTop="1" thickBot="1" x14ac:dyDescent="0.25">
      <c r="B100" s="332" t="s">
        <v>346</v>
      </c>
      <c r="C100" s="332" t="s">
        <v>348</v>
      </c>
      <c r="D100" s="332" t="s">
        <v>248</v>
      </c>
      <c r="E100" s="391" t="s">
        <v>344</v>
      </c>
      <c r="F100" s="338" t="s">
        <v>578</v>
      </c>
      <c r="G100" s="336"/>
      <c r="H100" s="337"/>
      <c r="I100" s="344"/>
      <c r="J100" s="334">
        <f>-5600+(24000)</f>
        <v>18400</v>
      </c>
      <c r="K100" s="344"/>
    </row>
    <row r="101" spans="2:11" ht="151.5" thickTop="1" thickBot="1" x14ac:dyDescent="0.25">
      <c r="B101" s="332" t="s">
        <v>1394</v>
      </c>
      <c r="C101" s="332" t="s">
        <v>1395</v>
      </c>
      <c r="D101" s="332" t="s">
        <v>184</v>
      </c>
      <c r="E101" s="332" t="s">
        <v>1396</v>
      </c>
      <c r="F101" s="386" t="s">
        <v>1397</v>
      </c>
      <c r="G101" s="336"/>
      <c r="H101" s="337"/>
      <c r="I101" s="344"/>
      <c r="J101" s="334">
        <v>520000</v>
      </c>
      <c r="K101" s="344"/>
    </row>
    <row r="102" spans="2:11" ht="121.5" thickTop="1" thickBot="1" x14ac:dyDescent="0.25">
      <c r="B102" s="332" t="s">
        <v>1394</v>
      </c>
      <c r="C102" s="332" t="s">
        <v>1395</v>
      </c>
      <c r="D102" s="332" t="s">
        <v>184</v>
      </c>
      <c r="E102" s="332" t="s">
        <v>1396</v>
      </c>
      <c r="F102" s="386" t="s">
        <v>1398</v>
      </c>
      <c r="G102" s="336"/>
      <c r="H102" s="337"/>
      <c r="I102" s="344"/>
      <c r="J102" s="334">
        <v>1170000</v>
      </c>
      <c r="K102" s="344"/>
    </row>
    <row r="103" spans="2:11" ht="136.5" thickTop="1" thickBot="1" x14ac:dyDescent="0.25">
      <c r="B103" s="332" t="s">
        <v>1394</v>
      </c>
      <c r="C103" s="332" t="s">
        <v>1395</v>
      </c>
      <c r="D103" s="332" t="s">
        <v>184</v>
      </c>
      <c r="E103" s="332" t="s">
        <v>1396</v>
      </c>
      <c r="F103" s="386" t="s">
        <v>1399</v>
      </c>
      <c r="G103" s="336"/>
      <c r="H103" s="337"/>
      <c r="I103" s="344"/>
      <c r="J103" s="334">
        <v>1300000</v>
      </c>
      <c r="K103" s="344"/>
    </row>
    <row r="104" spans="2:11" ht="151.5" thickTop="1" thickBot="1" x14ac:dyDescent="0.25">
      <c r="B104" s="332" t="s">
        <v>1394</v>
      </c>
      <c r="C104" s="332" t="s">
        <v>1395</v>
      </c>
      <c r="D104" s="332" t="s">
        <v>184</v>
      </c>
      <c r="E104" s="332" t="s">
        <v>1396</v>
      </c>
      <c r="F104" s="386" t="s">
        <v>1514</v>
      </c>
      <c r="G104" s="336"/>
      <c r="H104" s="337"/>
      <c r="I104" s="344"/>
      <c r="J104" s="334">
        <v>200000</v>
      </c>
      <c r="K104" s="344"/>
    </row>
    <row r="105" spans="2:11" ht="136.5" thickTop="1" thickBot="1" x14ac:dyDescent="0.25">
      <c r="B105" s="332" t="s">
        <v>1394</v>
      </c>
      <c r="C105" s="332" t="s">
        <v>1395</v>
      </c>
      <c r="D105" s="332" t="s">
        <v>184</v>
      </c>
      <c r="E105" s="332" t="s">
        <v>1396</v>
      </c>
      <c r="F105" s="386" t="s">
        <v>1515</v>
      </c>
      <c r="G105" s="336"/>
      <c r="H105" s="337"/>
      <c r="I105" s="344"/>
      <c r="J105" s="334">
        <v>1000000</v>
      </c>
      <c r="K105" s="344"/>
    </row>
    <row r="106" spans="2:11" ht="91.5" thickTop="1" thickBot="1" x14ac:dyDescent="0.25">
      <c r="B106" s="335" t="s">
        <v>466</v>
      </c>
      <c r="C106" s="335" t="s">
        <v>215</v>
      </c>
      <c r="D106" s="335" t="s">
        <v>184</v>
      </c>
      <c r="E106" s="335" t="s">
        <v>36</v>
      </c>
      <c r="F106" s="386" t="s">
        <v>747</v>
      </c>
      <c r="G106" s="336"/>
      <c r="H106" s="337"/>
      <c r="I106" s="344"/>
      <c r="J106" s="334">
        <f>(((437500)+3000000+500000+1500000)-437500)</f>
        <v>5000000</v>
      </c>
      <c r="K106" s="344"/>
    </row>
    <row r="107" spans="2:11" ht="151.5" thickTop="1" thickBot="1" x14ac:dyDescent="0.25">
      <c r="B107" s="335" t="s">
        <v>466</v>
      </c>
      <c r="C107" s="335" t="s">
        <v>215</v>
      </c>
      <c r="D107" s="335" t="s">
        <v>184</v>
      </c>
      <c r="E107" s="335" t="s">
        <v>36</v>
      </c>
      <c r="F107" s="386" t="s">
        <v>748</v>
      </c>
      <c r="G107" s="336" t="s">
        <v>531</v>
      </c>
      <c r="H107" s="337">
        <v>725500</v>
      </c>
      <c r="I107" s="344">
        <f>457500/H107</f>
        <v>0.63059958649207448</v>
      </c>
      <c r="J107" s="334">
        <v>268000</v>
      </c>
      <c r="K107" s="344">
        <f>(J107+457500)/H107</f>
        <v>1</v>
      </c>
    </row>
    <row r="108" spans="2:11" ht="181.5" thickTop="1" thickBot="1" x14ac:dyDescent="0.25">
      <c r="B108" s="335" t="s">
        <v>466</v>
      </c>
      <c r="C108" s="335" t="s">
        <v>215</v>
      </c>
      <c r="D108" s="335" t="s">
        <v>184</v>
      </c>
      <c r="E108" s="335" t="s">
        <v>36</v>
      </c>
      <c r="F108" s="343" t="s">
        <v>704</v>
      </c>
      <c r="G108" s="339" t="s">
        <v>531</v>
      </c>
      <c r="H108" s="340">
        <v>1860900</v>
      </c>
      <c r="I108" s="341">
        <f>(49400)/H108</f>
        <v>2.6546294803589662E-2</v>
      </c>
      <c r="J108" s="342">
        <f>(900000)+557681</f>
        <v>1457681</v>
      </c>
      <c r="K108" s="341">
        <v>1</v>
      </c>
    </row>
    <row r="109" spans="2:11" ht="91.5" thickTop="1" thickBot="1" x14ac:dyDescent="0.25">
      <c r="B109" s="335" t="s">
        <v>466</v>
      </c>
      <c r="C109" s="335" t="s">
        <v>215</v>
      </c>
      <c r="D109" s="335" t="s">
        <v>184</v>
      </c>
      <c r="E109" s="332" t="s">
        <v>36</v>
      </c>
      <c r="F109" s="387" t="s">
        <v>582</v>
      </c>
      <c r="G109" s="339"/>
      <c r="H109" s="340"/>
      <c r="I109" s="341"/>
      <c r="J109" s="342">
        <f>((129406)+800000)+4000000</f>
        <v>4929406</v>
      </c>
      <c r="K109" s="341"/>
    </row>
    <row r="110" spans="2:11" ht="151.5" thickTop="1" thickBot="1" x14ac:dyDescent="0.25">
      <c r="B110" s="335" t="s">
        <v>466</v>
      </c>
      <c r="C110" s="335" t="s">
        <v>215</v>
      </c>
      <c r="D110" s="335" t="s">
        <v>184</v>
      </c>
      <c r="E110" s="335" t="s">
        <v>36</v>
      </c>
      <c r="F110" s="386" t="s">
        <v>705</v>
      </c>
      <c r="G110" s="339" t="s">
        <v>594</v>
      </c>
      <c r="H110" s="340">
        <v>2286900</v>
      </c>
      <c r="I110" s="341">
        <f>41107/H110</f>
        <v>1.7974987974987974E-2</v>
      </c>
      <c r="J110" s="342">
        <f>2286900-41107-500000</f>
        <v>1745793</v>
      </c>
      <c r="K110" s="341">
        <v>1</v>
      </c>
    </row>
    <row r="111" spans="2:11" ht="151.5" thickTop="1" thickBot="1" x14ac:dyDescent="0.25">
      <c r="B111" s="335" t="s">
        <v>466</v>
      </c>
      <c r="C111" s="335" t="s">
        <v>215</v>
      </c>
      <c r="D111" s="335" t="s">
        <v>184</v>
      </c>
      <c r="E111" s="335" t="s">
        <v>36</v>
      </c>
      <c r="F111" s="386" t="s">
        <v>744</v>
      </c>
      <c r="G111" s="339" t="s">
        <v>745</v>
      </c>
      <c r="H111" s="340">
        <v>24579593</v>
      </c>
      <c r="I111" s="341">
        <f>600000/H111</f>
        <v>2.4410493696946079E-2</v>
      </c>
      <c r="J111" s="342">
        <f>3000000+(((500000)+1000000)+1000000)</f>
        <v>5500000</v>
      </c>
      <c r="K111" s="341">
        <f>(J111+600000)/H111</f>
        <v>0.24817335258561848</v>
      </c>
    </row>
    <row r="112" spans="2:11" ht="91.5" thickTop="1" thickBot="1" x14ac:dyDescent="0.25">
      <c r="B112" s="335" t="s">
        <v>466</v>
      </c>
      <c r="C112" s="335" t="s">
        <v>215</v>
      </c>
      <c r="D112" s="335" t="s">
        <v>184</v>
      </c>
      <c r="E112" s="335" t="s">
        <v>36</v>
      </c>
      <c r="F112" s="386" t="s">
        <v>598</v>
      </c>
      <c r="G112" s="336"/>
      <c r="H112" s="337"/>
      <c r="I112" s="344"/>
      <c r="J112" s="334">
        <f>105600+199600+(((1000000)+952000+1000000+500000)-433000)</f>
        <v>3324200</v>
      </c>
      <c r="K112" s="344"/>
    </row>
    <row r="113" spans="2:12" ht="151.5" thickTop="1" thickBot="1" x14ac:dyDescent="0.25">
      <c r="B113" s="335" t="s">
        <v>466</v>
      </c>
      <c r="C113" s="335" t="s">
        <v>215</v>
      </c>
      <c r="D113" s="335" t="s">
        <v>184</v>
      </c>
      <c r="E113" s="335" t="s">
        <v>36</v>
      </c>
      <c r="F113" s="386" t="s">
        <v>1355</v>
      </c>
      <c r="G113" s="339" t="s">
        <v>666</v>
      </c>
      <c r="H113" s="340">
        <v>299806.42</v>
      </c>
      <c r="I113" s="341">
        <v>0</v>
      </c>
      <c r="J113" s="342">
        <v>299806</v>
      </c>
      <c r="K113" s="341">
        <f>(J113)/H113</f>
        <v>0.99999859909604338</v>
      </c>
    </row>
    <row r="114" spans="2:12" ht="151.5" thickTop="1" thickBot="1" x14ac:dyDescent="0.25">
      <c r="B114" s="335" t="s">
        <v>466</v>
      </c>
      <c r="C114" s="335" t="s">
        <v>215</v>
      </c>
      <c r="D114" s="335" t="s">
        <v>184</v>
      </c>
      <c r="E114" s="335" t="s">
        <v>36</v>
      </c>
      <c r="F114" s="387" t="s">
        <v>1288</v>
      </c>
      <c r="G114" s="339" t="s">
        <v>666</v>
      </c>
      <c r="H114" s="340">
        <v>305590</v>
      </c>
      <c r="I114" s="341">
        <v>0</v>
      </c>
      <c r="J114" s="342">
        <v>305590</v>
      </c>
      <c r="K114" s="341">
        <f>(J114)/H114</f>
        <v>1</v>
      </c>
    </row>
    <row r="115" spans="2:12" ht="91.5" thickTop="1" thickBot="1" x14ac:dyDescent="0.25">
      <c r="B115" s="335" t="s">
        <v>466</v>
      </c>
      <c r="C115" s="335" t="s">
        <v>215</v>
      </c>
      <c r="D115" s="335" t="s">
        <v>184</v>
      </c>
      <c r="E115" s="335" t="s">
        <v>36</v>
      </c>
      <c r="F115" s="386" t="s">
        <v>770</v>
      </c>
      <c r="G115" s="339"/>
      <c r="H115" s="340"/>
      <c r="I115" s="341"/>
      <c r="J115" s="342">
        <f>(500000)+300000</f>
        <v>800000</v>
      </c>
      <c r="K115" s="341"/>
    </row>
    <row r="116" spans="2:12" ht="106.5" thickTop="1" thickBot="1" x14ac:dyDescent="0.25">
      <c r="B116" s="335" t="s">
        <v>466</v>
      </c>
      <c r="C116" s="335" t="s">
        <v>215</v>
      </c>
      <c r="D116" s="335" t="s">
        <v>184</v>
      </c>
      <c r="E116" s="335" t="s">
        <v>36</v>
      </c>
      <c r="F116" s="386" t="s">
        <v>583</v>
      </c>
      <c r="G116" s="336"/>
      <c r="H116" s="337"/>
      <c r="I116" s="336"/>
      <c r="J116" s="334">
        <f>-20898+((700000+136258+107000)-100000)</f>
        <v>822360</v>
      </c>
      <c r="K116" s="341"/>
    </row>
    <row r="117" spans="2:12" ht="151.5" thickTop="1" thickBot="1" x14ac:dyDescent="0.25">
      <c r="B117" s="335" t="s">
        <v>466</v>
      </c>
      <c r="C117" s="335" t="s">
        <v>215</v>
      </c>
      <c r="D117" s="335" t="s">
        <v>184</v>
      </c>
      <c r="E117" s="335" t="s">
        <v>36</v>
      </c>
      <c r="F117" s="386" t="s">
        <v>746</v>
      </c>
      <c r="G117" s="339" t="s">
        <v>666</v>
      </c>
      <c r="H117" s="342">
        <v>77072</v>
      </c>
      <c r="I117" s="341">
        <v>0</v>
      </c>
      <c r="J117" s="342">
        <f>(77072)-15799.79</f>
        <v>61272.21</v>
      </c>
      <c r="K117" s="341">
        <v>1</v>
      </c>
      <c r="L117" s="231">
        <v>-15799.79</v>
      </c>
    </row>
    <row r="118" spans="2:12" ht="166.5" thickTop="1" thickBot="1" x14ac:dyDescent="0.25">
      <c r="B118" s="335" t="s">
        <v>466</v>
      </c>
      <c r="C118" s="335" t="s">
        <v>215</v>
      </c>
      <c r="D118" s="335" t="s">
        <v>184</v>
      </c>
      <c r="E118" s="335" t="s">
        <v>36</v>
      </c>
      <c r="F118" s="386" t="s">
        <v>1175</v>
      </c>
      <c r="G118" s="339" t="s">
        <v>666</v>
      </c>
      <c r="H118" s="337">
        <v>123940</v>
      </c>
      <c r="I118" s="341">
        <v>0</v>
      </c>
      <c r="J118" s="334">
        <f>(123940)-35040.21</f>
        <v>88899.790000000008</v>
      </c>
      <c r="K118" s="341">
        <v>1</v>
      </c>
      <c r="L118" s="231">
        <v>-35040.21</v>
      </c>
    </row>
    <row r="119" spans="2:12" ht="151.5" thickTop="1" thickBot="1" x14ac:dyDescent="0.25">
      <c r="B119" s="335" t="s">
        <v>466</v>
      </c>
      <c r="C119" s="335" t="s">
        <v>215</v>
      </c>
      <c r="D119" s="335" t="s">
        <v>184</v>
      </c>
      <c r="E119" s="335" t="s">
        <v>36</v>
      </c>
      <c r="F119" s="386" t="s">
        <v>1294</v>
      </c>
      <c r="G119" s="339" t="s">
        <v>666</v>
      </c>
      <c r="H119" s="337">
        <v>76903</v>
      </c>
      <c r="I119" s="341">
        <v>0</v>
      </c>
      <c r="J119" s="334">
        <v>50840</v>
      </c>
      <c r="K119" s="341">
        <v>1</v>
      </c>
    </row>
    <row r="120" spans="2:12" ht="121.5" thickTop="1" thickBot="1" x14ac:dyDescent="0.25">
      <c r="B120" s="335" t="s">
        <v>466</v>
      </c>
      <c r="C120" s="335" t="s">
        <v>215</v>
      </c>
      <c r="D120" s="335" t="s">
        <v>184</v>
      </c>
      <c r="E120" s="335" t="s">
        <v>36</v>
      </c>
      <c r="F120" s="386" t="s">
        <v>1356</v>
      </c>
      <c r="G120" s="339" t="s">
        <v>666</v>
      </c>
      <c r="H120" s="337">
        <v>403924</v>
      </c>
      <c r="I120" s="341">
        <v>0</v>
      </c>
      <c r="J120" s="334">
        <f>403924-39200</f>
        <v>364724</v>
      </c>
      <c r="K120" s="341">
        <v>1</v>
      </c>
    </row>
    <row r="121" spans="2:12" ht="136.5" thickTop="1" thickBot="1" x14ac:dyDescent="0.25">
      <c r="B121" s="335" t="s">
        <v>466</v>
      </c>
      <c r="C121" s="335" t="s">
        <v>215</v>
      </c>
      <c r="D121" s="335" t="s">
        <v>184</v>
      </c>
      <c r="E121" s="335" t="s">
        <v>36</v>
      </c>
      <c r="F121" s="387" t="s">
        <v>1124</v>
      </c>
      <c r="G121" s="339" t="s">
        <v>531</v>
      </c>
      <c r="H121" s="340">
        <v>355048</v>
      </c>
      <c r="I121" s="341">
        <v>0</v>
      </c>
      <c r="J121" s="342">
        <v>355048</v>
      </c>
      <c r="K121" s="341">
        <f>(J121)/H121</f>
        <v>1</v>
      </c>
    </row>
    <row r="122" spans="2:12" ht="46.5" thickTop="1" thickBot="1" x14ac:dyDescent="0.25">
      <c r="B122" s="936" t="s">
        <v>170</v>
      </c>
      <c r="C122" s="936"/>
      <c r="D122" s="936"/>
      <c r="E122" s="937" t="s">
        <v>39</v>
      </c>
      <c r="F122" s="946"/>
      <c r="G122" s="938"/>
      <c r="H122" s="938"/>
      <c r="I122" s="938"/>
      <c r="J122" s="946">
        <f>J123</f>
        <v>28533680.310000002</v>
      </c>
      <c r="K122" s="946"/>
    </row>
    <row r="123" spans="2:12" ht="58.5" thickTop="1" thickBot="1" x14ac:dyDescent="0.25">
      <c r="B123" s="940" t="s">
        <v>171</v>
      </c>
      <c r="C123" s="940"/>
      <c r="D123" s="940"/>
      <c r="E123" s="941" t="s">
        <v>40</v>
      </c>
      <c r="F123" s="947"/>
      <c r="G123" s="947"/>
      <c r="H123" s="947"/>
      <c r="I123" s="947"/>
      <c r="J123" s="947">
        <f>SUM(J124:J150)</f>
        <v>28533680.310000002</v>
      </c>
      <c r="K123" s="947"/>
    </row>
    <row r="124" spans="2:12" ht="46.5" thickTop="1" thickBot="1" x14ac:dyDescent="0.25">
      <c r="B124" s="335" t="s">
        <v>443</v>
      </c>
      <c r="C124" s="335" t="s">
        <v>254</v>
      </c>
      <c r="D124" s="335" t="s">
        <v>252</v>
      </c>
      <c r="E124" s="335" t="s">
        <v>253</v>
      </c>
      <c r="F124" s="386" t="s">
        <v>578</v>
      </c>
      <c r="G124" s="336"/>
      <c r="H124" s="337"/>
      <c r="I124" s="336"/>
      <c r="J124" s="337">
        <f>49000+((911000)+49000)</f>
        <v>1009000</v>
      </c>
      <c r="K124" s="337"/>
    </row>
    <row r="125" spans="2:12" ht="76.5" thickTop="1" thickBot="1" x14ac:dyDescent="0.25">
      <c r="B125" s="335" t="s">
        <v>443</v>
      </c>
      <c r="C125" s="335" t="s">
        <v>254</v>
      </c>
      <c r="D125" s="335" t="s">
        <v>252</v>
      </c>
      <c r="E125" s="335" t="s">
        <v>253</v>
      </c>
      <c r="F125" s="386" t="s">
        <v>1137</v>
      </c>
      <c r="G125" s="336" t="s">
        <v>594</v>
      </c>
      <c r="H125" s="337">
        <v>1439300</v>
      </c>
      <c r="I125" s="341">
        <f>850000/H125</f>
        <v>0.59056485791704305</v>
      </c>
      <c r="J125" s="337">
        <f>(250000)-30000</f>
        <v>220000</v>
      </c>
      <c r="K125" s="341">
        <v>1</v>
      </c>
    </row>
    <row r="126" spans="2:12" ht="31.5" thickTop="1" thickBot="1" x14ac:dyDescent="0.25">
      <c r="B126" s="335" t="s">
        <v>287</v>
      </c>
      <c r="C126" s="335" t="s">
        <v>288</v>
      </c>
      <c r="D126" s="335" t="s">
        <v>223</v>
      </c>
      <c r="E126" s="388" t="s">
        <v>289</v>
      </c>
      <c r="F126" s="333" t="s">
        <v>584</v>
      </c>
      <c r="G126" s="336" t="s">
        <v>666</v>
      </c>
      <c r="H126" s="389"/>
      <c r="I126" s="393">
        <v>0</v>
      </c>
      <c r="J126" s="334">
        <f>(199000)-83910</f>
        <v>115090</v>
      </c>
      <c r="K126" s="344">
        <v>1</v>
      </c>
    </row>
    <row r="127" spans="2:12" ht="61.5" thickTop="1" thickBot="1" x14ac:dyDescent="0.25">
      <c r="B127" s="335" t="s">
        <v>285</v>
      </c>
      <c r="C127" s="335" t="s">
        <v>283</v>
      </c>
      <c r="D127" s="335" t="s">
        <v>218</v>
      </c>
      <c r="E127" s="335" t="s">
        <v>17</v>
      </c>
      <c r="F127" s="386" t="s">
        <v>578</v>
      </c>
      <c r="G127" s="336"/>
      <c r="H127" s="389"/>
      <c r="I127" s="390"/>
      <c r="J127" s="334">
        <f>58000+15000+25000+30000</f>
        <v>128000</v>
      </c>
      <c r="K127" s="344"/>
    </row>
    <row r="128" spans="2:12" ht="31.5" thickTop="1" thickBot="1" x14ac:dyDescent="0.25">
      <c r="B128" s="335" t="s">
        <v>286</v>
      </c>
      <c r="C128" s="335" t="s">
        <v>284</v>
      </c>
      <c r="D128" s="335" t="s">
        <v>217</v>
      </c>
      <c r="E128" s="335" t="s">
        <v>491</v>
      </c>
      <c r="F128" s="386" t="s">
        <v>578</v>
      </c>
      <c r="G128" s="336"/>
      <c r="H128" s="389"/>
      <c r="I128" s="390"/>
      <c r="J128" s="334">
        <v>43440</v>
      </c>
      <c r="K128" s="344"/>
    </row>
    <row r="129" spans="2:11" ht="61.5" thickTop="1" thickBot="1" x14ac:dyDescent="0.25">
      <c r="B129" s="335" t="s">
        <v>1342</v>
      </c>
      <c r="C129" s="335" t="s">
        <v>1343</v>
      </c>
      <c r="D129" s="335" t="s">
        <v>203</v>
      </c>
      <c r="E129" s="335" t="s">
        <v>1344</v>
      </c>
      <c r="F129" s="386" t="s">
        <v>578</v>
      </c>
      <c r="G129" s="336"/>
      <c r="H129" s="389"/>
      <c r="I129" s="390"/>
      <c r="J129" s="334">
        <f>166110+1240000</f>
        <v>1406110</v>
      </c>
      <c r="K129" s="344"/>
    </row>
    <row r="130" spans="2:11" ht="106.5" thickTop="1" thickBot="1" x14ac:dyDescent="0.25">
      <c r="B130" s="335" t="s">
        <v>1342</v>
      </c>
      <c r="C130" s="335" t="s">
        <v>1343</v>
      </c>
      <c r="D130" s="335" t="s">
        <v>203</v>
      </c>
      <c r="E130" s="335" t="s">
        <v>1344</v>
      </c>
      <c r="F130" s="386" t="s">
        <v>1357</v>
      </c>
      <c r="G130" s="336" t="s">
        <v>666</v>
      </c>
      <c r="H130" s="334">
        <v>898105</v>
      </c>
      <c r="I130" s="393">
        <v>0</v>
      </c>
      <c r="J130" s="334">
        <v>898105</v>
      </c>
      <c r="K130" s="344">
        <v>1</v>
      </c>
    </row>
    <row r="131" spans="2:11" ht="105.75" thickTop="1" x14ac:dyDescent="0.25">
      <c r="B131" s="1065" t="s">
        <v>1406</v>
      </c>
      <c r="C131" s="1065" t="s">
        <v>1407</v>
      </c>
      <c r="D131" s="1065" t="s">
        <v>52</v>
      </c>
      <c r="E131" s="771" t="s">
        <v>1403</v>
      </c>
      <c r="F131" s="1068" t="s">
        <v>585</v>
      </c>
      <c r="G131" s="1087"/>
      <c r="H131" s="1062"/>
      <c r="I131" s="1069"/>
      <c r="J131" s="1062">
        <v>11298891.529999999</v>
      </c>
      <c r="K131" s="1088"/>
    </row>
    <row r="132" spans="2:11" ht="105" x14ac:dyDescent="0.2">
      <c r="B132" s="1066"/>
      <c r="C132" s="1066"/>
      <c r="D132" s="1066"/>
      <c r="E132" s="772" t="s">
        <v>1404</v>
      </c>
      <c r="F132" s="1063"/>
      <c r="G132" s="1070"/>
      <c r="H132" s="1063"/>
      <c r="I132" s="1070"/>
      <c r="J132" s="1063"/>
      <c r="K132" s="1063"/>
    </row>
    <row r="133" spans="2:11" ht="90.75" thickBot="1" x14ac:dyDescent="0.25">
      <c r="B133" s="1067"/>
      <c r="C133" s="1067"/>
      <c r="D133" s="1067"/>
      <c r="E133" s="773" t="s">
        <v>1405</v>
      </c>
      <c r="F133" s="1064"/>
      <c r="G133" s="1071"/>
      <c r="H133" s="1064"/>
      <c r="I133" s="1071"/>
      <c r="J133" s="1064"/>
      <c r="K133" s="1064"/>
    </row>
    <row r="134" spans="2:11" ht="105.75" thickTop="1" x14ac:dyDescent="0.25">
      <c r="B134" s="1065" t="s">
        <v>1412</v>
      </c>
      <c r="C134" s="1065" t="s">
        <v>1413</v>
      </c>
      <c r="D134" s="1065" t="s">
        <v>52</v>
      </c>
      <c r="E134" s="771" t="s">
        <v>1408</v>
      </c>
      <c r="F134" s="1068" t="s">
        <v>585</v>
      </c>
      <c r="G134" s="1062"/>
      <c r="H134" s="1062"/>
      <c r="I134" s="1062"/>
      <c r="J134" s="1062">
        <v>1751965</v>
      </c>
      <c r="K134" s="1062"/>
    </row>
    <row r="135" spans="2:11" ht="120" x14ac:dyDescent="0.2">
      <c r="B135" s="1066"/>
      <c r="C135" s="1066"/>
      <c r="D135" s="1066"/>
      <c r="E135" s="772" t="s">
        <v>1409</v>
      </c>
      <c r="F135" s="1063"/>
      <c r="G135" s="1063"/>
      <c r="H135" s="1063"/>
      <c r="I135" s="1063"/>
      <c r="J135" s="1063"/>
      <c r="K135" s="1063"/>
    </row>
    <row r="136" spans="2:11" ht="105" x14ac:dyDescent="0.2">
      <c r="B136" s="1066"/>
      <c r="C136" s="1066"/>
      <c r="D136" s="1066"/>
      <c r="E136" s="772" t="s">
        <v>1410</v>
      </c>
      <c r="F136" s="1063"/>
      <c r="G136" s="1063"/>
      <c r="H136" s="1063"/>
      <c r="I136" s="1063"/>
      <c r="J136" s="1063"/>
      <c r="K136" s="1063"/>
    </row>
    <row r="137" spans="2:11" ht="45.75" thickBot="1" x14ac:dyDescent="0.25">
      <c r="B137" s="1067"/>
      <c r="C137" s="1067"/>
      <c r="D137" s="1067"/>
      <c r="E137" s="773" t="s">
        <v>1411</v>
      </c>
      <c r="F137" s="1064"/>
      <c r="G137" s="1064"/>
      <c r="H137" s="1064"/>
      <c r="I137" s="1064"/>
      <c r="J137" s="1064"/>
      <c r="K137" s="1064"/>
    </row>
    <row r="138" spans="2:11" ht="120.75" thickTop="1" x14ac:dyDescent="0.25">
      <c r="B138" s="1065" t="s">
        <v>1414</v>
      </c>
      <c r="C138" s="1065" t="s">
        <v>1415</v>
      </c>
      <c r="D138" s="1065" t="s">
        <v>52</v>
      </c>
      <c r="E138" s="771" t="s">
        <v>1416</v>
      </c>
      <c r="F138" s="1068" t="s">
        <v>585</v>
      </c>
      <c r="G138" s="1062"/>
      <c r="H138" s="1062"/>
      <c r="I138" s="1062"/>
      <c r="J138" s="1062">
        <v>1093438.78</v>
      </c>
      <c r="K138" s="1062"/>
    </row>
    <row r="139" spans="2:11" ht="105" x14ac:dyDescent="0.2">
      <c r="B139" s="1066"/>
      <c r="C139" s="1066"/>
      <c r="D139" s="1066"/>
      <c r="E139" s="772" t="s">
        <v>1417</v>
      </c>
      <c r="F139" s="1063"/>
      <c r="G139" s="1063"/>
      <c r="H139" s="1063"/>
      <c r="I139" s="1063"/>
      <c r="J139" s="1063"/>
      <c r="K139" s="1063"/>
    </row>
    <row r="140" spans="2:11" ht="30.75" thickBot="1" x14ac:dyDescent="0.25">
      <c r="B140" s="1067"/>
      <c r="C140" s="1067"/>
      <c r="D140" s="1067"/>
      <c r="E140" s="773" t="s">
        <v>1418</v>
      </c>
      <c r="F140" s="1064"/>
      <c r="G140" s="1064"/>
      <c r="H140" s="1064"/>
      <c r="I140" s="1064"/>
      <c r="J140" s="1064"/>
      <c r="K140" s="1064"/>
    </row>
    <row r="141" spans="2:11" ht="120.75" thickTop="1" x14ac:dyDescent="0.25">
      <c r="B141" s="1065" t="s">
        <v>1422</v>
      </c>
      <c r="C141" s="1065" t="s">
        <v>1423</v>
      </c>
      <c r="D141" s="1065" t="s">
        <v>52</v>
      </c>
      <c r="E141" s="771" t="s">
        <v>1419</v>
      </c>
      <c r="F141" s="1068" t="s">
        <v>585</v>
      </c>
      <c r="G141" s="1062"/>
      <c r="H141" s="1062"/>
      <c r="I141" s="1062"/>
      <c r="J141" s="1062">
        <v>2429312</v>
      </c>
      <c r="K141" s="1062"/>
    </row>
    <row r="142" spans="2:11" ht="90" x14ac:dyDescent="0.2">
      <c r="B142" s="1066"/>
      <c r="C142" s="1066"/>
      <c r="D142" s="1066"/>
      <c r="E142" s="772" t="s">
        <v>1420</v>
      </c>
      <c r="F142" s="1063"/>
      <c r="G142" s="1063"/>
      <c r="H142" s="1063"/>
      <c r="I142" s="1063"/>
      <c r="J142" s="1063"/>
      <c r="K142" s="1063"/>
    </row>
    <row r="143" spans="2:11" ht="15.75" thickBot="1" x14ac:dyDescent="0.25">
      <c r="B143" s="1067"/>
      <c r="C143" s="1067"/>
      <c r="D143" s="1067"/>
      <c r="E143" s="773" t="s">
        <v>1421</v>
      </c>
      <c r="F143" s="1064"/>
      <c r="G143" s="1064"/>
      <c r="H143" s="1064"/>
      <c r="I143" s="1064"/>
      <c r="J143" s="1064"/>
      <c r="K143" s="1064"/>
    </row>
    <row r="144" spans="2:11" ht="46.5" thickTop="1" thickBot="1" x14ac:dyDescent="0.25">
      <c r="B144" s="335" t="s">
        <v>352</v>
      </c>
      <c r="C144" s="335" t="s">
        <v>354</v>
      </c>
      <c r="D144" s="335" t="s">
        <v>209</v>
      </c>
      <c r="E144" s="391" t="s">
        <v>356</v>
      </c>
      <c r="F144" s="386" t="s">
        <v>578</v>
      </c>
      <c r="G144" s="334"/>
      <c r="H144" s="334"/>
      <c r="I144" s="392"/>
      <c r="J144" s="337">
        <f>(72894+138259+40788+136399)</f>
        <v>388340</v>
      </c>
      <c r="K144" s="337"/>
    </row>
    <row r="145" spans="1:12" ht="46.5" thickTop="1" thickBot="1" x14ac:dyDescent="0.25">
      <c r="B145" s="335" t="s">
        <v>352</v>
      </c>
      <c r="C145" s="335" t="s">
        <v>354</v>
      </c>
      <c r="D145" s="335" t="s">
        <v>209</v>
      </c>
      <c r="E145" s="391" t="s">
        <v>356</v>
      </c>
      <c r="F145" s="386" t="s">
        <v>1340</v>
      </c>
      <c r="G145" s="336" t="s">
        <v>666</v>
      </c>
      <c r="H145" s="334">
        <v>128534.96</v>
      </c>
      <c r="I145" s="393">
        <v>0</v>
      </c>
      <c r="J145" s="337">
        <v>98000</v>
      </c>
      <c r="K145" s="344">
        <v>1</v>
      </c>
    </row>
    <row r="146" spans="1:12" ht="31.5" thickTop="1" thickBot="1" x14ac:dyDescent="0.25">
      <c r="B146" s="335" t="s">
        <v>353</v>
      </c>
      <c r="C146" s="335" t="s">
        <v>355</v>
      </c>
      <c r="D146" s="335" t="s">
        <v>209</v>
      </c>
      <c r="E146" s="391" t="s">
        <v>357</v>
      </c>
      <c r="F146" s="333" t="s">
        <v>584</v>
      </c>
      <c r="G146" s="336" t="s">
        <v>666</v>
      </c>
      <c r="H146" s="334"/>
      <c r="I146" s="393">
        <v>0</v>
      </c>
      <c r="J146" s="340">
        <f>150000-5000</f>
        <v>145000</v>
      </c>
      <c r="K146" s="344">
        <v>1</v>
      </c>
      <c r="L146" s="567"/>
    </row>
    <row r="147" spans="1:12" ht="46.5" thickTop="1" thickBot="1" x14ac:dyDescent="0.25">
      <c r="B147" s="335" t="s">
        <v>353</v>
      </c>
      <c r="C147" s="335" t="s">
        <v>355</v>
      </c>
      <c r="D147" s="335" t="s">
        <v>209</v>
      </c>
      <c r="E147" s="391" t="s">
        <v>357</v>
      </c>
      <c r="F147" s="795" t="s">
        <v>1464</v>
      </c>
      <c r="G147" s="336" t="s">
        <v>666</v>
      </c>
      <c r="H147" s="334"/>
      <c r="I147" s="393">
        <v>0</v>
      </c>
      <c r="J147" s="800">
        <f>83910+5000</f>
        <v>88910</v>
      </c>
      <c r="K147" s="344">
        <v>1</v>
      </c>
      <c r="L147" s="567"/>
    </row>
    <row r="148" spans="1:12" ht="31.5" thickTop="1" thickBot="1" x14ac:dyDescent="0.25">
      <c r="B148" s="335" t="s">
        <v>393</v>
      </c>
      <c r="C148" s="335" t="s">
        <v>391</v>
      </c>
      <c r="D148" s="335" t="s">
        <v>365</v>
      </c>
      <c r="E148" s="391" t="s">
        <v>392</v>
      </c>
      <c r="F148" s="336" t="s">
        <v>585</v>
      </c>
      <c r="G148" s="336"/>
      <c r="H148" s="334"/>
      <c r="I148" s="392"/>
      <c r="J148" s="337">
        <v>4000000</v>
      </c>
      <c r="K148" s="344"/>
    </row>
    <row r="149" spans="1:12" ht="106.5" thickTop="1" thickBot="1" x14ac:dyDescent="0.25">
      <c r="B149" s="335" t="s">
        <v>1424</v>
      </c>
      <c r="C149" s="335" t="s">
        <v>1425</v>
      </c>
      <c r="D149" s="335" t="s">
        <v>365</v>
      </c>
      <c r="E149" s="391" t="s">
        <v>1426</v>
      </c>
      <c r="F149" s="336" t="s">
        <v>585</v>
      </c>
      <c r="G149" s="336"/>
      <c r="H149" s="334"/>
      <c r="I149" s="392"/>
      <c r="J149" s="337">
        <v>3200078</v>
      </c>
      <c r="K149" s="344"/>
    </row>
    <row r="150" spans="1:12" ht="106.5" thickTop="1" thickBot="1" x14ac:dyDescent="0.25">
      <c r="B150" s="332" t="s">
        <v>1140</v>
      </c>
      <c r="C150" s="332" t="s">
        <v>1141</v>
      </c>
      <c r="D150" s="332" t="s">
        <v>323</v>
      </c>
      <c r="E150" s="332" t="s">
        <v>1144</v>
      </c>
      <c r="F150" s="355" t="s">
        <v>1145</v>
      </c>
      <c r="G150" s="337" t="s">
        <v>594</v>
      </c>
      <c r="H150" s="334">
        <f>8638500+1849000</f>
        <v>10487500</v>
      </c>
      <c r="I150" s="344">
        <f>(1996859.63+6999090.23)/H150</f>
        <v>0.85777829415971385</v>
      </c>
      <c r="J150" s="337">
        <v>220000</v>
      </c>
      <c r="K150" s="344">
        <v>1</v>
      </c>
    </row>
    <row r="151" spans="1:12" ht="46.5" thickTop="1" thickBot="1" x14ac:dyDescent="0.25">
      <c r="A151" s="239"/>
      <c r="B151" s="936">
        <v>1000000</v>
      </c>
      <c r="C151" s="936"/>
      <c r="D151" s="936"/>
      <c r="E151" s="937" t="s">
        <v>24</v>
      </c>
      <c r="F151" s="946"/>
      <c r="G151" s="938"/>
      <c r="H151" s="938"/>
      <c r="I151" s="938"/>
      <c r="J151" s="946">
        <f>J152</f>
        <v>7416625</v>
      </c>
      <c r="K151" s="946"/>
    </row>
    <row r="152" spans="1:12" ht="44.25" thickTop="1" thickBot="1" x14ac:dyDescent="0.25">
      <c r="A152" s="239"/>
      <c r="B152" s="940">
        <v>1010000</v>
      </c>
      <c r="C152" s="940"/>
      <c r="D152" s="940"/>
      <c r="E152" s="941" t="s">
        <v>41</v>
      </c>
      <c r="F152" s="947"/>
      <c r="G152" s="947"/>
      <c r="H152" s="947"/>
      <c r="I152" s="947"/>
      <c r="J152" s="947">
        <f>SUM(J153:J163)</f>
        <v>7416625</v>
      </c>
      <c r="K152" s="947"/>
    </row>
    <row r="153" spans="1:12" ht="31.5" thickTop="1" thickBot="1" x14ac:dyDescent="0.25">
      <c r="A153" s="239"/>
      <c r="B153" s="332" t="s">
        <v>791</v>
      </c>
      <c r="C153" s="332" t="s">
        <v>792</v>
      </c>
      <c r="D153" s="332" t="s">
        <v>199</v>
      </c>
      <c r="E153" s="332" t="s">
        <v>546</v>
      </c>
      <c r="F153" s="333" t="s">
        <v>578</v>
      </c>
      <c r="G153" s="337"/>
      <c r="H153" s="340"/>
      <c r="I153" s="393"/>
      <c r="J153" s="337">
        <v>49000</v>
      </c>
      <c r="K153" s="393"/>
    </row>
    <row r="154" spans="1:12" ht="61.5" thickTop="1" thickBot="1" x14ac:dyDescent="0.25">
      <c r="A154" s="239"/>
      <c r="B154" s="332" t="s">
        <v>791</v>
      </c>
      <c r="C154" s="332" t="s">
        <v>792</v>
      </c>
      <c r="D154" s="332" t="s">
        <v>199</v>
      </c>
      <c r="E154" s="332" t="s">
        <v>546</v>
      </c>
      <c r="F154" s="333" t="s">
        <v>1255</v>
      </c>
      <c r="G154" s="337" t="s">
        <v>1098</v>
      </c>
      <c r="H154" s="340">
        <v>3361251</v>
      </c>
      <c r="I154" s="393">
        <f>1829721.61/H154</f>
        <v>0.54435732707851936</v>
      </c>
      <c r="J154" s="337">
        <v>1000000</v>
      </c>
      <c r="K154" s="393">
        <f>(1829721.61+J154)/H154</f>
        <v>0.84186560599015081</v>
      </c>
      <c r="L154" s="231" t="s">
        <v>1120</v>
      </c>
    </row>
    <row r="155" spans="1:12" ht="31.5" thickTop="1" thickBot="1" x14ac:dyDescent="0.25">
      <c r="A155" s="239"/>
      <c r="B155" s="335" t="s">
        <v>190</v>
      </c>
      <c r="C155" s="335" t="s">
        <v>191</v>
      </c>
      <c r="D155" s="335" t="s">
        <v>192</v>
      </c>
      <c r="E155" s="335" t="s">
        <v>193</v>
      </c>
      <c r="F155" s="333" t="s">
        <v>578</v>
      </c>
      <c r="G155" s="337"/>
      <c r="H155" s="337"/>
      <c r="I155" s="393"/>
      <c r="J155" s="337">
        <f>(10000+28000)+766000</f>
        <v>804000</v>
      </c>
      <c r="K155" s="393"/>
    </row>
    <row r="156" spans="1:12" ht="76.5" thickTop="1" thickBot="1" x14ac:dyDescent="0.25">
      <c r="A156" s="239"/>
      <c r="B156" s="335" t="s">
        <v>190</v>
      </c>
      <c r="C156" s="335" t="s">
        <v>191</v>
      </c>
      <c r="D156" s="335" t="s">
        <v>192</v>
      </c>
      <c r="E156" s="335" t="s">
        <v>193</v>
      </c>
      <c r="F156" s="333" t="s">
        <v>711</v>
      </c>
      <c r="G156" s="336" t="s">
        <v>666</v>
      </c>
      <c r="H156" s="337"/>
      <c r="I156" s="393">
        <v>0</v>
      </c>
      <c r="J156" s="337">
        <v>84000</v>
      </c>
      <c r="K156" s="393">
        <v>1</v>
      </c>
    </row>
    <row r="157" spans="1:12" ht="46.5" thickTop="1" thickBot="1" x14ac:dyDescent="0.25">
      <c r="A157" s="239"/>
      <c r="B157" s="335" t="s">
        <v>190</v>
      </c>
      <c r="C157" s="335" t="s">
        <v>191</v>
      </c>
      <c r="D157" s="335" t="s">
        <v>192</v>
      </c>
      <c r="E157" s="335" t="s">
        <v>193</v>
      </c>
      <c r="F157" s="333" t="s">
        <v>712</v>
      </c>
      <c r="G157" s="336" t="s">
        <v>666</v>
      </c>
      <c r="H157" s="337"/>
      <c r="I157" s="393">
        <v>0</v>
      </c>
      <c r="J157" s="337">
        <v>67000</v>
      </c>
      <c r="K157" s="393">
        <v>1</v>
      </c>
    </row>
    <row r="158" spans="1:12" ht="31.5" thickTop="1" thickBot="1" x14ac:dyDescent="0.25">
      <c r="A158" s="239"/>
      <c r="B158" s="335" t="s">
        <v>194</v>
      </c>
      <c r="C158" s="335" t="s">
        <v>195</v>
      </c>
      <c r="D158" s="335" t="s">
        <v>192</v>
      </c>
      <c r="E158" s="335" t="s">
        <v>500</v>
      </c>
      <c r="F158" s="333" t="s">
        <v>578</v>
      </c>
      <c r="G158" s="336"/>
      <c r="H158" s="337"/>
      <c r="I158" s="393"/>
      <c r="J158" s="337">
        <f>14900+150000</f>
        <v>164900</v>
      </c>
      <c r="K158" s="344"/>
    </row>
    <row r="159" spans="1:12" ht="61.5" thickTop="1" thickBot="1" x14ac:dyDescent="0.25">
      <c r="A159" s="239"/>
      <c r="B159" s="335" t="s">
        <v>194</v>
      </c>
      <c r="C159" s="335" t="s">
        <v>195</v>
      </c>
      <c r="D159" s="335" t="s">
        <v>192</v>
      </c>
      <c r="E159" s="335" t="s">
        <v>500</v>
      </c>
      <c r="F159" s="355" t="s">
        <v>1176</v>
      </c>
      <c r="G159" s="337" t="s">
        <v>586</v>
      </c>
      <c r="H159" s="337">
        <v>27064985</v>
      </c>
      <c r="I159" s="393">
        <f>(1430336+2994769.5+4929931.79+5600000)/H159</f>
        <v>0.55256033912451819</v>
      </c>
      <c r="J159" s="337">
        <f>(3000000)+2000000</f>
        <v>5000000</v>
      </c>
      <c r="K159" s="393">
        <f>(1430336+2994769.5+4929931.79+5600000+J159)/H159</f>
        <v>0.73730088119391157</v>
      </c>
    </row>
    <row r="160" spans="1:12" ht="46.5" thickTop="1" thickBot="1" x14ac:dyDescent="0.25">
      <c r="A160" s="239"/>
      <c r="B160" s="335" t="s">
        <v>196</v>
      </c>
      <c r="C160" s="335" t="s">
        <v>187</v>
      </c>
      <c r="D160" s="335" t="s">
        <v>197</v>
      </c>
      <c r="E160" s="335" t="s">
        <v>198</v>
      </c>
      <c r="F160" s="333" t="s">
        <v>578</v>
      </c>
      <c r="G160" s="337"/>
      <c r="H160" s="337"/>
      <c r="I160" s="393"/>
      <c r="J160" s="337">
        <f>(124500)+16500+5100</f>
        <v>146100</v>
      </c>
      <c r="K160" s="393"/>
    </row>
    <row r="161" spans="1:13" ht="31.5" thickTop="1" thickBot="1" x14ac:dyDescent="0.25">
      <c r="A161" s="239"/>
      <c r="B161" s="332" t="s">
        <v>358</v>
      </c>
      <c r="C161" s="332" t="s">
        <v>359</v>
      </c>
      <c r="D161" s="332" t="s">
        <v>200</v>
      </c>
      <c r="E161" s="332" t="s">
        <v>501</v>
      </c>
      <c r="F161" s="333" t="s">
        <v>578</v>
      </c>
      <c r="G161" s="337"/>
      <c r="H161" s="337"/>
      <c r="I161" s="393"/>
      <c r="J161" s="337">
        <v>31625</v>
      </c>
      <c r="K161" s="393"/>
    </row>
    <row r="162" spans="1:13" ht="106.5" thickTop="1" thickBot="1" x14ac:dyDescent="0.25">
      <c r="A162" s="239"/>
      <c r="B162" s="335" t="s">
        <v>1123</v>
      </c>
      <c r="C162" s="335" t="s">
        <v>215</v>
      </c>
      <c r="D162" s="335" t="s">
        <v>184</v>
      </c>
      <c r="E162" s="335" t="s">
        <v>36</v>
      </c>
      <c r="F162" s="387" t="s">
        <v>1198</v>
      </c>
      <c r="G162" s="336" t="s">
        <v>666</v>
      </c>
      <c r="H162" s="337">
        <v>200000</v>
      </c>
      <c r="I162" s="344">
        <v>0</v>
      </c>
      <c r="J162" s="337">
        <f>(200000)-130000</f>
        <v>70000</v>
      </c>
      <c r="K162" s="344">
        <f>(J162)/H162</f>
        <v>0.35</v>
      </c>
    </row>
    <row r="163" spans="1:13" ht="136.5" hidden="1" thickTop="1" thickBot="1" x14ac:dyDescent="0.25">
      <c r="A163" s="239"/>
      <c r="B163" s="335" t="s">
        <v>1123</v>
      </c>
      <c r="C163" s="335" t="s">
        <v>215</v>
      </c>
      <c r="D163" s="335" t="s">
        <v>184</v>
      </c>
      <c r="E163" s="335" t="s">
        <v>36</v>
      </c>
      <c r="F163" s="387" t="s">
        <v>1199</v>
      </c>
      <c r="G163" s="336" t="s">
        <v>666</v>
      </c>
      <c r="H163" s="337"/>
      <c r="I163" s="344">
        <v>0</v>
      </c>
      <c r="J163" s="337">
        <f>(100000)-100000</f>
        <v>0</v>
      </c>
      <c r="K163" s="344">
        <v>1</v>
      </c>
    </row>
    <row r="164" spans="1:13" ht="46.5" thickTop="1" thickBot="1" x14ac:dyDescent="0.25">
      <c r="B164" s="936" t="s">
        <v>22</v>
      </c>
      <c r="C164" s="936"/>
      <c r="D164" s="936"/>
      <c r="E164" s="937" t="s">
        <v>23</v>
      </c>
      <c r="F164" s="946"/>
      <c r="G164" s="938"/>
      <c r="H164" s="938"/>
      <c r="I164" s="938"/>
      <c r="J164" s="946">
        <f>J165</f>
        <v>11951695</v>
      </c>
      <c r="K164" s="946"/>
    </row>
    <row r="165" spans="1:13" ht="44.25" thickTop="1" thickBot="1" x14ac:dyDescent="0.25">
      <c r="B165" s="940" t="s">
        <v>21</v>
      </c>
      <c r="C165" s="940"/>
      <c r="D165" s="940"/>
      <c r="E165" s="941" t="s">
        <v>37</v>
      </c>
      <c r="F165" s="947"/>
      <c r="G165" s="947"/>
      <c r="H165" s="947"/>
      <c r="I165" s="947"/>
      <c r="J165" s="947">
        <f>SUM(J166:J180)</f>
        <v>11951695</v>
      </c>
      <c r="K165" s="947"/>
    </row>
    <row r="166" spans="1:13" ht="31.5" thickTop="1" thickBot="1" x14ac:dyDescent="0.25">
      <c r="B166" s="335" t="s">
        <v>207</v>
      </c>
      <c r="C166" s="335" t="s">
        <v>208</v>
      </c>
      <c r="D166" s="335" t="s">
        <v>203</v>
      </c>
      <c r="E166" s="335" t="s">
        <v>10</v>
      </c>
      <c r="F166" s="333" t="s">
        <v>578</v>
      </c>
      <c r="G166" s="336"/>
      <c r="H166" s="337"/>
      <c r="I166" s="336"/>
      <c r="J166" s="334">
        <f>25000+(20000)</f>
        <v>45000</v>
      </c>
      <c r="K166" s="334"/>
    </row>
    <row r="167" spans="1:13" ht="46.5" thickTop="1" thickBot="1" x14ac:dyDescent="0.25">
      <c r="B167" s="335" t="s">
        <v>207</v>
      </c>
      <c r="C167" s="335" t="s">
        <v>208</v>
      </c>
      <c r="D167" s="335" t="s">
        <v>203</v>
      </c>
      <c r="E167" s="335" t="s">
        <v>10</v>
      </c>
      <c r="F167" s="333" t="s">
        <v>715</v>
      </c>
      <c r="G167" s="336" t="s">
        <v>666</v>
      </c>
      <c r="H167" s="334">
        <v>733957</v>
      </c>
      <c r="I167" s="344">
        <f>0/H167</f>
        <v>0</v>
      </c>
      <c r="J167" s="334">
        <f>-6800+(733957-20000)</f>
        <v>707157</v>
      </c>
      <c r="K167" s="344">
        <v>1</v>
      </c>
    </row>
    <row r="168" spans="1:13" s="47" customFormat="1" ht="46.5" thickTop="1" thickBot="1" x14ac:dyDescent="0.25">
      <c r="B168" s="335" t="s">
        <v>28</v>
      </c>
      <c r="C168" s="335" t="s">
        <v>210</v>
      </c>
      <c r="D168" s="335" t="s">
        <v>213</v>
      </c>
      <c r="E168" s="335" t="s">
        <v>50</v>
      </c>
      <c r="F168" s="333" t="s">
        <v>578</v>
      </c>
      <c r="G168" s="336"/>
      <c r="H168" s="337"/>
      <c r="I168" s="336"/>
      <c r="J168" s="334">
        <f>12999+(-7790+((77910+32400+91670)+86000+216360+154040+611040+180000))</f>
        <v>1454629</v>
      </c>
      <c r="K168" s="334"/>
    </row>
    <row r="169" spans="1:13" s="47" customFormat="1" ht="91.5" hidden="1" thickTop="1" thickBot="1" x14ac:dyDescent="0.25">
      <c r="B169" s="335" t="s">
        <v>28</v>
      </c>
      <c r="C169" s="335" t="s">
        <v>210</v>
      </c>
      <c r="D169" s="335" t="s">
        <v>213</v>
      </c>
      <c r="E169" s="335" t="s">
        <v>50</v>
      </c>
      <c r="F169" s="333" t="s">
        <v>1177</v>
      </c>
      <c r="G169" s="336" t="s">
        <v>666</v>
      </c>
      <c r="H169" s="337"/>
      <c r="I169" s="341">
        <v>0</v>
      </c>
      <c r="J169" s="334">
        <f>48600-48600</f>
        <v>0</v>
      </c>
      <c r="K169" s="341">
        <v>1</v>
      </c>
    </row>
    <row r="170" spans="1:13" s="47" customFormat="1" ht="61.5" thickTop="1" thickBot="1" x14ac:dyDescent="0.25">
      <c r="B170" s="335" t="s">
        <v>28</v>
      </c>
      <c r="C170" s="335" t="s">
        <v>210</v>
      </c>
      <c r="D170" s="335" t="s">
        <v>213</v>
      </c>
      <c r="E170" s="335" t="s">
        <v>50</v>
      </c>
      <c r="F170" s="333" t="s">
        <v>1095</v>
      </c>
      <c r="G170" s="336" t="s">
        <v>666</v>
      </c>
      <c r="H170" s="337"/>
      <c r="I170" s="341">
        <v>0</v>
      </c>
      <c r="J170" s="334">
        <v>33250</v>
      </c>
      <c r="K170" s="341">
        <v>1</v>
      </c>
      <c r="L170" s="484" t="s">
        <v>1096</v>
      </c>
    </row>
    <row r="171" spans="1:13" s="47" customFormat="1" ht="91.5" thickTop="1" thickBot="1" x14ac:dyDescent="0.25">
      <c r="B171" s="335" t="s">
        <v>28</v>
      </c>
      <c r="C171" s="335" t="s">
        <v>210</v>
      </c>
      <c r="D171" s="335" t="s">
        <v>213</v>
      </c>
      <c r="E171" s="335" t="s">
        <v>50</v>
      </c>
      <c r="F171" s="333" t="s">
        <v>1330</v>
      </c>
      <c r="G171" s="336" t="s">
        <v>666</v>
      </c>
      <c r="H171" s="337"/>
      <c r="I171" s="341">
        <v>0</v>
      </c>
      <c r="J171" s="334">
        <f>48600</f>
        <v>48600</v>
      </c>
      <c r="K171" s="341">
        <v>1</v>
      </c>
      <c r="L171" s="484"/>
    </row>
    <row r="172" spans="1:13" s="47" customFormat="1" ht="61.5" thickTop="1" thickBot="1" x14ac:dyDescent="0.25">
      <c r="B172" s="335" t="s">
        <v>28</v>
      </c>
      <c r="C172" s="335" t="s">
        <v>210</v>
      </c>
      <c r="D172" s="335" t="s">
        <v>213</v>
      </c>
      <c r="E172" s="335" t="s">
        <v>50</v>
      </c>
      <c r="F172" s="333" t="s">
        <v>1103</v>
      </c>
      <c r="G172" s="340" t="s">
        <v>1098</v>
      </c>
      <c r="H172" s="340">
        <v>1592500</v>
      </c>
      <c r="I172" s="341">
        <f>(61861.62)/H172</f>
        <v>3.8845601255886972E-2</v>
      </c>
      <c r="J172" s="342">
        <f>-12082+((16200+9287+1509600-4449)-74322)</f>
        <v>1444234</v>
      </c>
      <c r="K172" s="341">
        <v>1</v>
      </c>
      <c r="L172" s="568"/>
      <c r="M172" s="568"/>
    </row>
    <row r="173" spans="1:13" s="47" customFormat="1" ht="106.5" thickTop="1" thickBot="1" x14ac:dyDescent="0.25">
      <c r="B173" s="335" t="s">
        <v>28</v>
      </c>
      <c r="C173" s="335" t="s">
        <v>210</v>
      </c>
      <c r="D173" s="335" t="s">
        <v>213</v>
      </c>
      <c r="E173" s="335" t="s">
        <v>50</v>
      </c>
      <c r="F173" s="333" t="s">
        <v>1328</v>
      </c>
      <c r="G173" s="336" t="s">
        <v>1301</v>
      </c>
      <c r="H173" s="340">
        <v>22187664</v>
      </c>
      <c r="I173" s="341">
        <v>0</v>
      </c>
      <c r="J173" s="342">
        <f>3000000+(((405800-255801)+500000)+3000000)</f>
        <v>6649999</v>
      </c>
      <c r="K173" s="341">
        <f>J173/H173</f>
        <v>0.29971604942277835</v>
      </c>
    </row>
    <row r="174" spans="1:13" s="47" customFormat="1" ht="76.5" thickTop="1" thickBot="1" x14ac:dyDescent="0.25">
      <c r="B174" s="335" t="s">
        <v>28</v>
      </c>
      <c r="C174" s="335" t="s">
        <v>210</v>
      </c>
      <c r="D174" s="335" t="s">
        <v>213</v>
      </c>
      <c r="E174" s="335" t="s">
        <v>50</v>
      </c>
      <c r="F174" s="333" t="s">
        <v>1329</v>
      </c>
      <c r="G174" s="336" t="s">
        <v>666</v>
      </c>
      <c r="H174" s="342">
        <v>31970</v>
      </c>
      <c r="I174" s="341">
        <v>0</v>
      </c>
      <c r="J174" s="342">
        <f>(31970)-4790</f>
        <v>27180</v>
      </c>
      <c r="K174" s="341">
        <v>1</v>
      </c>
    </row>
    <row r="175" spans="1:13" s="47" customFormat="1" ht="61.5" hidden="1" thickTop="1" thickBot="1" x14ac:dyDescent="0.25">
      <c r="B175" s="335" t="s">
        <v>28</v>
      </c>
      <c r="C175" s="335" t="s">
        <v>210</v>
      </c>
      <c r="D175" s="335" t="s">
        <v>213</v>
      </c>
      <c r="E175" s="335" t="s">
        <v>50</v>
      </c>
      <c r="F175" s="333" t="s">
        <v>743</v>
      </c>
      <c r="G175" s="336" t="s">
        <v>666</v>
      </c>
      <c r="H175" s="337"/>
      <c r="I175" s="341">
        <v>0</v>
      </c>
      <c r="J175" s="334">
        <f>(200000)-200000</f>
        <v>0</v>
      </c>
      <c r="K175" s="341">
        <v>1</v>
      </c>
    </row>
    <row r="176" spans="1:13" s="47" customFormat="1" ht="46.5" thickTop="1" thickBot="1" x14ac:dyDescent="0.25">
      <c r="B176" s="335" t="s">
        <v>29</v>
      </c>
      <c r="C176" s="335" t="s">
        <v>211</v>
      </c>
      <c r="D176" s="335" t="s">
        <v>213</v>
      </c>
      <c r="E176" s="335" t="s">
        <v>51</v>
      </c>
      <c r="F176" s="333" t="s">
        <v>578</v>
      </c>
      <c r="G176" s="336"/>
      <c r="H176" s="334"/>
      <c r="I176" s="344"/>
      <c r="J176" s="334">
        <f>-81000+((15200)+330000)</f>
        <v>264200</v>
      </c>
      <c r="K176" s="344"/>
    </row>
    <row r="177" spans="2:12" s="47" customFormat="1" ht="31.5" thickTop="1" thickBot="1" x14ac:dyDescent="0.25">
      <c r="B177" s="394" t="s">
        <v>32</v>
      </c>
      <c r="C177" s="394" t="s">
        <v>214</v>
      </c>
      <c r="D177" s="394" t="s">
        <v>213</v>
      </c>
      <c r="E177" s="332" t="s">
        <v>33</v>
      </c>
      <c r="F177" s="333" t="s">
        <v>578</v>
      </c>
      <c r="G177" s="336"/>
      <c r="H177" s="337"/>
      <c r="I177" s="344"/>
      <c r="J177" s="334">
        <v>30000</v>
      </c>
      <c r="K177" s="344"/>
      <c r="L177" s="569"/>
    </row>
    <row r="178" spans="2:12" s="47" customFormat="1" ht="91.5" thickTop="1" thickBot="1" x14ac:dyDescent="0.25">
      <c r="B178" s="332" t="s">
        <v>1467</v>
      </c>
      <c r="C178" s="332" t="s">
        <v>336</v>
      </c>
      <c r="D178" s="332" t="s">
        <v>323</v>
      </c>
      <c r="E178" s="332" t="s">
        <v>1453</v>
      </c>
      <c r="F178" s="333" t="s">
        <v>1468</v>
      </c>
      <c r="G178" s="336" t="s">
        <v>666</v>
      </c>
      <c r="H178" s="337"/>
      <c r="I178" s="341">
        <v>0</v>
      </c>
      <c r="J178" s="334">
        <v>200000</v>
      </c>
      <c r="K178" s="341">
        <v>1</v>
      </c>
      <c r="L178" s="569"/>
    </row>
    <row r="179" spans="2:12" s="47" customFormat="1" ht="144" customHeight="1" thickTop="1" thickBot="1" x14ac:dyDescent="0.25">
      <c r="B179" s="332" t="s">
        <v>742</v>
      </c>
      <c r="C179" s="332" t="s">
        <v>215</v>
      </c>
      <c r="D179" s="332" t="s">
        <v>184</v>
      </c>
      <c r="E179" s="332" t="s">
        <v>36</v>
      </c>
      <c r="F179" s="343" t="s">
        <v>1097</v>
      </c>
      <c r="G179" s="336" t="s">
        <v>666</v>
      </c>
      <c r="H179" s="337">
        <v>1021474</v>
      </c>
      <c r="I179" s="341">
        <f>0/H179</f>
        <v>0</v>
      </c>
      <c r="J179" s="334">
        <f>(45144+976330)-23928</f>
        <v>997546</v>
      </c>
      <c r="K179" s="341">
        <v>1</v>
      </c>
      <c r="L179" s="569"/>
    </row>
    <row r="180" spans="2:12" s="47" customFormat="1" ht="31.5" thickTop="1" thickBot="1" x14ac:dyDescent="0.25">
      <c r="B180" s="332" t="s">
        <v>1523</v>
      </c>
      <c r="C180" s="332" t="s">
        <v>389</v>
      </c>
      <c r="D180" s="332" t="s">
        <v>45</v>
      </c>
      <c r="E180" s="332" t="s">
        <v>390</v>
      </c>
      <c r="F180" s="333" t="s">
        <v>578</v>
      </c>
      <c r="G180" s="336"/>
      <c r="H180" s="337"/>
      <c r="I180" s="341"/>
      <c r="J180" s="334">
        <v>49900</v>
      </c>
      <c r="K180" s="341"/>
      <c r="L180" s="569"/>
    </row>
    <row r="181" spans="2:12" s="47" customFormat="1" ht="46.5" thickTop="1" thickBot="1" x14ac:dyDescent="0.25">
      <c r="B181" s="936" t="s">
        <v>172</v>
      </c>
      <c r="C181" s="936"/>
      <c r="D181" s="936"/>
      <c r="E181" s="937" t="s">
        <v>672</v>
      </c>
      <c r="F181" s="946"/>
      <c r="G181" s="938"/>
      <c r="H181" s="938"/>
      <c r="I181" s="938"/>
      <c r="J181" s="946">
        <f>J182</f>
        <v>30166337</v>
      </c>
      <c r="K181" s="946"/>
      <c r="L181" s="569"/>
    </row>
    <row r="182" spans="2:12" s="47" customFormat="1" ht="44.25" thickTop="1" thickBot="1" x14ac:dyDescent="0.25">
      <c r="B182" s="940" t="s">
        <v>173</v>
      </c>
      <c r="C182" s="940"/>
      <c r="D182" s="940"/>
      <c r="E182" s="941" t="s">
        <v>673</v>
      </c>
      <c r="F182" s="947"/>
      <c r="G182" s="947"/>
      <c r="H182" s="947"/>
      <c r="I182" s="947"/>
      <c r="J182" s="947">
        <f>J183+J184+J185+J186+J191+J192</f>
        <v>30166337</v>
      </c>
      <c r="K182" s="947"/>
      <c r="L182" s="569"/>
    </row>
    <row r="183" spans="2:12" s="47" customFormat="1" ht="46.5" thickTop="1" thickBot="1" x14ac:dyDescent="0.25">
      <c r="B183" s="335" t="s">
        <v>449</v>
      </c>
      <c r="C183" s="335" t="s">
        <v>254</v>
      </c>
      <c r="D183" s="335" t="s">
        <v>252</v>
      </c>
      <c r="E183" s="335" t="s">
        <v>253</v>
      </c>
      <c r="F183" s="333" t="s">
        <v>578</v>
      </c>
      <c r="G183" s="336"/>
      <c r="H183" s="337"/>
      <c r="I183" s="336"/>
      <c r="J183" s="334">
        <f>(36000)+31812+95436</f>
        <v>163248</v>
      </c>
      <c r="K183" s="334"/>
      <c r="L183" s="569"/>
    </row>
    <row r="184" spans="2:12" s="47" customFormat="1" ht="31.5" thickTop="1" thickBot="1" x14ac:dyDescent="0.25">
      <c r="B184" s="335" t="s">
        <v>298</v>
      </c>
      <c r="C184" s="335" t="s">
        <v>299</v>
      </c>
      <c r="D184" s="335" t="s">
        <v>365</v>
      </c>
      <c r="E184" s="335" t="s">
        <v>300</v>
      </c>
      <c r="F184" s="336" t="s">
        <v>588</v>
      </c>
      <c r="G184" s="336"/>
      <c r="H184" s="334"/>
      <c r="I184" s="344"/>
      <c r="J184" s="342">
        <f>-708812+(10345240-1351800)</f>
        <v>8284628</v>
      </c>
      <c r="K184" s="344"/>
      <c r="L184" s="569"/>
    </row>
    <row r="185" spans="2:12" s="47" customFormat="1" ht="31.5" thickTop="1" thickBot="1" x14ac:dyDescent="0.25">
      <c r="B185" s="335" t="s">
        <v>320</v>
      </c>
      <c r="C185" s="335" t="s">
        <v>321</v>
      </c>
      <c r="D185" s="335" t="s">
        <v>301</v>
      </c>
      <c r="E185" s="335" t="s">
        <v>322</v>
      </c>
      <c r="F185" s="336" t="s">
        <v>604</v>
      </c>
      <c r="G185" s="336"/>
      <c r="H185" s="337"/>
      <c r="I185" s="336"/>
      <c r="J185" s="342">
        <f>5000000+3000000</f>
        <v>8000000</v>
      </c>
      <c r="K185" s="334"/>
      <c r="L185" s="569"/>
    </row>
    <row r="186" spans="2:12" s="47" customFormat="1" ht="46.5" thickTop="1" thickBot="1" x14ac:dyDescent="0.25">
      <c r="B186" s="335" t="s">
        <v>302</v>
      </c>
      <c r="C186" s="335" t="s">
        <v>303</v>
      </c>
      <c r="D186" s="335" t="s">
        <v>301</v>
      </c>
      <c r="E186" s="335" t="s">
        <v>503</v>
      </c>
      <c r="F186" s="336" t="s">
        <v>589</v>
      </c>
      <c r="G186" s="337"/>
      <c r="H186" s="337"/>
      <c r="I186" s="344"/>
      <c r="J186" s="342">
        <f>J187+J188+J189+J190</f>
        <v>13068461</v>
      </c>
      <c r="K186" s="344"/>
      <c r="L186" s="569"/>
    </row>
    <row r="187" spans="2:12" s="47" customFormat="1" ht="46.5" thickTop="1" thickBot="1" x14ac:dyDescent="0.25">
      <c r="B187" s="395" t="s">
        <v>302</v>
      </c>
      <c r="C187" s="395" t="s">
        <v>303</v>
      </c>
      <c r="D187" s="395" t="s">
        <v>301</v>
      </c>
      <c r="E187" s="395" t="s">
        <v>503</v>
      </c>
      <c r="F187" s="396" t="s">
        <v>599</v>
      </c>
      <c r="G187" s="336"/>
      <c r="H187" s="337"/>
      <c r="I187" s="336"/>
      <c r="J187" s="442">
        <v>1948000</v>
      </c>
      <c r="K187" s="334"/>
      <c r="L187" s="569"/>
    </row>
    <row r="188" spans="2:12" s="47" customFormat="1" ht="46.5" thickTop="1" thickBot="1" x14ac:dyDescent="0.25">
      <c r="B188" s="395" t="s">
        <v>302</v>
      </c>
      <c r="C188" s="395" t="s">
        <v>303</v>
      </c>
      <c r="D188" s="395" t="s">
        <v>301</v>
      </c>
      <c r="E188" s="395" t="s">
        <v>503</v>
      </c>
      <c r="F188" s="396" t="s">
        <v>590</v>
      </c>
      <c r="G188" s="337"/>
      <c r="H188" s="334"/>
      <c r="I188" s="344"/>
      <c r="J188" s="442">
        <v>10658900</v>
      </c>
      <c r="K188" s="344"/>
      <c r="L188" s="569"/>
    </row>
    <row r="189" spans="2:12" s="47" customFormat="1" ht="46.5" thickTop="1" thickBot="1" x14ac:dyDescent="0.25">
      <c r="B189" s="395" t="s">
        <v>302</v>
      </c>
      <c r="C189" s="395" t="s">
        <v>303</v>
      </c>
      <c r="D189" s="395" t="s">
        <v>301</v>
      </c>
      <c r="E189" s="395" t="s">
        <v>503</v>
      </c>
      <c r="F189" s="396" t="s">
        <v>600</v>
      </c>
      <c r="G189" s="336"/>
      <c r="H189" s="334"/>
      <c r="I189" s="344"/>
      <c r="J189" s="442">
        <v>461561</v>
      </c>
      <c r="K189" s="344"/>
      <c r="L189" s="569"/>
    </row>
    <row r="190" spans="2:12" s="47" customFormat="1" ht="76.5" hidden="1" thickTop="1" thickBot="1" x14ac:dyDescent="0.25">
      <c r="B190" s="335" t="s">
        <v>302</v>
      </c>
      <c r="C190" s="335" t="s">
        <v>303</v>
      </c>
      <c r="D190" s="335" t="s">
        <v>301</v>
      </c>
      <c r="E190" s="395" t="s">
        <v>503</v>
      </c>
      <c r="F190" s="396" t="s">
        <v>603</v>
      </c>
      <c r="G190" s="671" t="s">
        <v>531</v>
      </c>
      <c r="H190" s="670">
        <v>552300</v>
      </c>
      <c r="I190" s="672">
        <f>500000/H190</f>
        <v>0.90530508781459351</v>
      </c>
      <c r="J190" s="342">
        <f>52300-52300</f>
        <v>0</v>
      </c>
      <c r="K190" s="672">
        <f>(500000+J190)/H190</f>
        <v>0.90530508781459351</v>
      </c>
      <c r="L190" s="569"/>
    </row>
    <row r="191" spans="2:12" s="47" customFormat="1" ht="61.5" thickTop="1" thickBot="1" x14ac:dyDescent="0.25">
      <c r="B191" s="335" t="s">
        <v>315</v>
      </c>
      <c r="C191" s="335" t="s">
        <v>230</v>
      </c>
      <c r="D191" s="335" t="s">
        <v>231</v>
      </c>
      <c r="E191" s="335" t="s">
        <v>43</v>
      </c>
      <c r="F191" s="397" t="s">
        <v>768</v>
      </c>
      <c r="G191" s="336"/>
      <c r="H191" s="334"/>
      <c r="I191" s="344"/>
      <c r="J191" s="342">
        <f>300000+(2100000-2050000)</f>
        <v>350000</v>
      </c>
      <c r="K191" s="344"/>
      <c r="L191" s="569"/>
    </row>
    <row r="192" spans="2:12" s="47" customFormat="1" ht="31.5" thickTop="1" thickBot="1" x14ac:dyDescent="0.25">
      <c r="B192" s="335" t="s">
        <v>1126</v>
      </c>
      <c r="C192" s="335" t="s">
        <v>215</v>
      </c>
      <c r="D192" s="335" t="s">
        <v>184</v>
      </c>
      <c r="E192" s="335" t="s">
        <v>36</v>
      </c>
      <c r="F192" s="336" t="s">
        <v>53</v>
      </c>
      <c r="G192" s="336"/>
      <c r="H192" s="401"/>
      <c r="I192" s="336"/>
      <c r="J192" s="337">
        <f>J193+J194</f>
        <v>300000</v>
      </c>
      <c r="K192" s="344"/>
      <c r="L192" s="569"/>
    </row>
    <row r="193" spans="2:12" s="47" customFormat="1" ht="166.5" thickTop="1" thickBot="1" x14ac:dyDescent="0.25">
      <c r="B193" s="395" t="s">
        <v>1126</v>
      </c>
      <c r="C193" s="527" t="s">
        <v>215</v>
      </c>
      <c r="D193" s="527" t="s">
        <v>184</v>
      </c>
      <c r="E193" s="527" t="s">
        <v>36</v>
      </c>
      <c r="F193" s="528" t="s">
        <v>1125</v>
      </c>
      <c r="G193" s="529" t="s">
        <v>666</v>
      </c>
      <c r="H193" s="530">
        <v>1194767</v>
      </c>
      <c r="I193" s="531"/>
      <c r="J193" s="532">
        <v>300000</v>
      </c>
      <c r="K193" s="344">
        <f>(J193)/H193</f>
        <v>0.2510949833733272</v>
      </c>
      <c r="L193" s="569"/>
    </row>
    <row r="194" spans="2:12" s="47" customFormat="1" ht="31.5" hidden="1" thickTop="1" thickBot="1" x14ac:dyDescent="0.25">
      <c r="B194" s="395" t="s">
        <v>1126</v>
      </c>
      <c r="C194" s="527" t="s">
        <v>215</v>
      </c>
      <c r="D194" s="527" t="s">
        <v>184</v>
      </c>
      <c r="E194" s="527" t="s">
        <v>36</v>
      </c>
      <c r="F194" s="397" t="s">
        <v>1178</v>
      </c>
      <c r="G194" s="529"/>
      <c r="H194" s="530"/>
      <c r="I194" s="531"/>
      <c r="J194" s="532">
        <f>90000-90000</f>
        <v>0</v>
      </c>
      <c r="K194" s="344"/>
      <c r="L194" s="569"/>
    </row>
    <row r="195" spans="2:12" s="47" customFormat="1" ht="46.5" thickTop="1" thickBot="1" x14ac:dyDescent="0.25">
      <c r="B195" s="936" t="s">
        <v>640</v>
      </c>
      <c r="C195" s="936"/>
      <c r="D195" s="936"/>
      <c r="E195" s="937" t="s">
        <v>670</v>
      </c>
      <c r="F195" s="946"/>
      <c r="G195" s="938"/>
      <c r="H195" s="938"/>
      <c r="I195" s="938"/>
      <c r="J195" s="946">
        <f>J196</f>
        <v>145109539.57999998</v>
      </c>
      <c r="K195" s="946"/>
      <c r="L195" s="569"/>
    </row>
    <row r="196" spans="2:12" s="47" customFormat="1" ht="56.25" customHeight="1" thickTop="1" thickBot="1" x14ac:dyDescent="0.25">
      <c r="B196" s="940" t="s">
        <v>641</v>
      </c>
      <c r="C196" s="940"/>
      <c r="D196" s="940"/>
      <c r="E196" s="941" t="s">
        <v>671</v>
      </c>
      <c r="F196" s="947"/>
      <c r="G196" s="947"/>
      <c r="H196" s="947"/>
      <c r="I196" s="947"/>
      <c r="J196" s="947">
        <f>J197+J198+J217+J227+J228+J229+J277</f>
        <v>145109539.57999998</v>
      </c>
      <c r="K196" s="947"/>
      <c r="L196" s="569"/>
    </row>
    <row r="197" spans="2:12" s="47" customFormat="1" ht="72" customHeight="1" thickTop="1" thickBot="1" x14ac:dyDescent="0.25">
      <c r="B197" s="335" t="s">
        <v>642</v>
      </c>
      <c r="C197" s="335" t="s">
        <v>254</v>
      </c>
      <c r="D197" s="335" t="s">
        <v>252</v>
      </c>
      <c r="E197" s="335" t="s">
        <v>253</v>
      </c>
      <c r="F197" s="333" t="s">
        <v>578</v>
      </c>
      <c r="G197" s="398"/>
      <c r="H197" s="398"/>
      <c r="I197" s="398"/>
      <c r="J197" s="334">
        <v>144000</v>
      </c>
      <c r="K197" s="398"/>
      <c r="L197" s="569"/>
    </row>
    <row r="198" spans="2:12" s="47" customFormat="1" ht="39.75" customHeight="1" thickTop="1" thickBot="1" x14ac:dyDescent="0.25">
      <c r="B198" s="335" t="s">
        <v>647</v>
      </c>
      <c r="C198" s="335" t="s">
        <v>307</v>
      </c>
      <c r="D198" s="335" t="s">
        <v>301</v>
      </c>
      <c r="E198" s="335" t="s">
        <v>308</v>
      </c>
      <c r="F198" s="336" t="s">
        <v>589</v>
      </c>
      <c r="G198" s="336"/>
      <c r="H198" s="337"/>
      <c r="I198" s="336"/>
      <c r="J198" s="337">
        <f>SUM(J199:J216)</f>
        <v>16270200</v>
      </c>
      <c r="K198" s="337"/>
      <c r="L198" s="569"/>
    </row>
    <row r="199" spans="2:12" s="47" customFormat="1" ht="46.5" thickTop="1" thickBot="1" x14ac:dyDescent="0.25">
      <c r="B199" s="395" t="s">
        <v>647</v>
      </c>
      <c r="C199" s="395" t="s">
        <v>307</v>
      </c>
      <c r="D199" s="395" t="s">
        <v>301</v>
      </c>
      <c r="E199" s="395" t="s">
        <v>308</v>
      </c>
      <c r="F199" s="676" t="s">
        <v>1442</v>
      </c>
      <c r="G199" s="674" t="s">
        <v>666</v>
      </c>
      <c r="H199" s="674"/>
      <c r="I199" s="677"/>
      <c r="J199" s="399">
        <v>1500000</v>
      </c>
      <c r="K199" s="399"/>
      <c r="L199" s="569"/>
    </row>
    <row r="200" spans="2:12" s="47" customFormat="1" ht="57" customHeight="1" thickTop="1" thickBot="1" x14ac:dyDescent="0.25">
      <c r="B200" s="395" t="s">
        <v>647</v>
      </c>
      <c r="C200" s="395" t="s">
        <v>307</v>
      </c>
      <c r="D200" s="395" t="s">
        <v>301</v>
      </c>
      <c r="E200" s="395" t="s">
        <v>308</v>
      </c>
      <c r="F200" s="396" t="s">
        <v>591</v>
      </c>
      <c r="G200" s="674" t="s">
        <v>666</v>
      </c>
      <c r="H200" s="674"/>
      <c r="I200" s="677"/>
      <c r="J200" s="399">
        <f>-39970+(3000000-2121016)</f>
        <v>839014</v>
      </c>
      <c r="K200" s="677"/>
      <c r="L200" s="569"/>
    </row>
    <row r="201" spans="2:12" s="47" customFormat="1" ht="39.75" customHeight="1" thickTop="1" thickBot="1" x14ac:dyDescent="0.25">
      <c r="B201" s="395" t="s">
        <v>647</v>
      </c>
      <c r="C201" s="395" t="s">
        <v>307</v>
      </c>
      <c r="D201" s="395" t="s">
        <v>301</v>
      </c>
      <c r="E201" s="395" t="s">
        <v>308</v>
      </c>
      <c r="F201" s="396" t="s">
        <v>659</v>
      </c>
      <c r="G201" s="674" t="s">
        <v>666</v>
      </c>
      <c r="H201" s="674"/>
      <c r="I201" s="677"/>
      <c r="J201" s="399">
        <f>(3341100)-196600</f>
        <v>3144500</v>
      </c>
      <c r="K201" s="399"/>
      <c r="L201" s="569"/>
    </row>
    <row r="202" spans="2:12" s="47" customFormat="1" ht="58.5" customHeight="1" thickTop="1" thickBot="1" x14ac:dyDescent="0.25">
      <c r="B202" s="395" t="s">
        <v>647</v>
      </c>
      <c r="C202" s="395" t="s">
        <v>307</v>
      </c>
      <c r="D202" s="395" t="s">
        <v>301</v>
      </c>
      <c r="E202" s="395" t="s">
        <v>308</v>
      </c>
      <c r="F202" s="396" t="s">
        <v>592</v>
      </c>
      <c r="G202" s="674" t="s">
        <v>666</v>
      </c>
      <c r="H202" s="674"/>
      <c r="I202" s="677"/>
      <c r="J202" s="399">
        <f>-26247+(600000+60000)</f>
        <v>633753</v>
      </c>
      <c r="K202" s="399"/>
      <c r="L202" s="569"/>
    </row>
    <row r="203" spans="2:12" s="47" customFormat="1" ht="85.5" customHeight="1" thickTop="1" thickBot="1" x14ac:dyDescent="0.25">
      <c r="B203" s="395" t="s">
        <v>647</v>
      </c>
      <c r="C203" s="395" t="s">
        <v>307</v>
      </c>
      <c r="D203" s="395" t="s">
        <v>301</v>
      </c>
      <c r="E203" s="395" t="s">
        <v>308</v>
      </c>
      <c r="F203" s="396" t="s">
        <v>593</v>
      </c>
      <c r="G203" s="399" t="s">
        <v>587</v>
      </c>
      <c r="H203" s="399">
        <v>4552060</v>
      </c>
      <c r="I203" s="678">
        <f>(1207002.59+1000000+346061.97)/H203</f>
        <v>0.56085916266481539</v>
      </c>
      <c r="J203" s="399">
        <f>-10972+(1000000)</f>
        <v>989028</v>
      </c>
      <c r="K203" s="678">
        <f>(1207002.59+1000000+350000+J203)/H203</f>
        <v>0.77899469470964788</v>
      </c>
      <c r="L203" s="569"/>
    </row>
    <row r="204" spans="2:12" s="47" customFormat="1" ht="55.5" customHeight="1" thickTop="1" thickBot="1" x14ac:dyDescent="0.25">
      <c r="B204" s="395" t="s">
        <v>647</v>
      </c>
      <c r="C204" s="395" t="s">
        <v>307</v>
      </c>
      <c r="D204" s="395" t="s">
        <v>301</v>
      </c>
      <c r="E204" s="395" t="s">
        <v>308</v>
      </c>
      <c r="F204" s="396" t="s">
        <v>660</v>
      </c>
      <c r="G204" s="399" t="s">
        <v>594</v>
      </c>
      <c r="H204" s="399">
        <v>7725528</v>
      </c>
      <c r="I204" s="678">
        <f>(860002.41+1990758.43)/H204</f>
        <v>0.36900530811615723</v>
      </c>
      <c r="J204" s="674">
        <f>476000+(3000000+532023)</f>
        <v>4008023</v>
      </c>
      <c r="K204" s="678">
        <f>(860002.41+2000000+J204)/H204</f>
        <v>0.88900401500065762</v>
      </c>
      <c r="L204" s="569"/>
    </row>
    <row r="205" spans="2:12" s="47" customFormat="1" ht="75.75" customHeight="1" thickTop="1" thickBot="1" x14ac:dyDescent="0.25">
      <c r="B205" s="395" t="s">
        <v>647</v>
      </c>
      <c r="C205" s="395" t="s">
        <v>307</v>
      </c>
      <c r="D205" s="395" t="s">
        <v>301</v>
      </c>
      <c r="E205" s="395" t="s">
        <v>308</v>
      </c>
      <c r="F205" s="396" t="s">
        <v>661</v>
      </c>
      <c r="G205" s="679" t="s">
        <v>594</v>
      </c>
      <c r="H205" s="679">
        <v>4380277</v>
      </c>
      <c r="I205" s="678">
        <f>(258212.92+931600.07)/H205</f>
        <v>0.27162962296676674</v>
      </c>
      <c r="J205" s="674">
        <f>-31716+(2122064+850000)</f>
        <v>2940348</v>
      </c>
      <c r="K205" s="678">
        <f>(258212.92+1000000+J205)/H205</f>
        <v>0.95851493410119948</v>
      </c>
      <c r="L205" s="569"/>
    </row>
    <row r="206" spans="2:12" s="47" customFormat="1" ht="67.5" customHeight="1" thickTop="1" thickBot="1" x14ac:dyDescent="0.25">
      <c r="B206" s="395" t="s">
        <v>647</v>
      </c>
      <c r="C206" s="395" t="s">
        <v>307</v>
      </c>
      <c r="D206" s="395" t="s">
        <v>301</v>
      </c>
      <c r="E206" s="395" t="s">
        <v>308</v>
      </c>
      <c r="F206" s="396" t="s">
        <v>662</v>
      </c>
      <c r="G206" s="674" t="s">
        <v>666</v>
      </c>
      <c r="H206" s="674"/>
      <c r="I206" s="677"/>
      <c r="J206" s="399">
        <f>300000+26000</f>
        <v>326000</v>
      </c>
      <c r="K206" s="678"/>
      <c r="L206" s="569"/>
    </row>
    <row r="207" spans="2:12" s="47" customFormat="1" ht="52.5" customHeight="1" thickTop="1" thickBot="1" x14ac:dyDescent="0.25">
      <c r="B207" s="395" t="s">
        <v>647</v>
      </c>
      <c r="C207" s="395" t="s">
        <v>307</v>
      </c>
      <c r="D207" s="395" t="s">
        <v>301</v>
      </c>
      <c r="E207" s="395" t="s">
        <v>308</v>
      </c>
      <c r="F207" s="396" t="s">
        <v>763</v>
      </c>
      <c r="G207" s="674" t="s">
        <v>666</v>
      </c>
      <c r="H207" s="674"/>
      <c r="I207" s="677">
        <v>0</v>
      </c>
      <c r="J207" s="399">
        <f>-51484+(-108741+(600000))</f>
        <v>439775</v>
      </c>
      <c r="K207" s="678"/>
      <c r="L207" s="569"/>
    </row>
    <row r="208" spans="2:12" s="47" customFormat="1" ht="57.75" customHeight="1" thickTop="1" thickBot="1" x14ac:dyDescent="0.25">
      <c r="B208" s="395" t="s">
        <v>647</v>
      </c>
      <c r="C208" s="395" t="s">
        <v>307</v>
      </c>
      <c r="D208" s="395" t="s">
        <v>301</v>
      </c>
      <c r="E208" s="395" t="s">
        <v>308</v>
      </c>
      <c r="F208" s="396" t="s">
        <v>762</v>
      </c>
      <c r="G208" s="674" t="s">
        <v>666</v>
      </c>
      <c r="H208" s="674"/>
      <c r="I208" s="677">
        <v>0</v>
      </c>
      <c r="J208" s="399">
        <f>-35000+(400000)</f>
        <v>365000</v>
      </c>
      <c r="K208" s="678"/>
      <c r="L208" s="569"/>
    </row>
    <row r="209" spans="2:12" s="47" customFormat="1" ht="66.75" hidden="1" customHeight="1" thickTop="1" thickBot="1" x14ac:dyDescent="0.25">
      <c r="B209" s="395" t="s">
        <v>647</v>
      </c>
      <c r="C209" s="395" t="s">
        <v>307</v>
      </c>
      <c r="D209" s="395" t="s">
        <v>301</v>
      </c>
      <c r="E209" s="395" t="s">
        <v>308</v>
      </c>
      <c r="F209" s="396" t="s">
        <v>764</v>
      </c>
      <c r="G209" s="402" t="s">
        <v>658</v>
      </c>
      <c r="H209" s="399">
        <v>113479</v>
      </c>
      <c r="I209" s="678">
        <f>61479/H209</f>
        <v>0.54176543677684863</v>
      </c>
      <c r="J209" s="673">
        <v>0</v>
      </c>
      <c r="K209" s="678">
        <f>(61479+J209)/H209</f>
        <v>0.54176543677684863</v>
      </c>
      <c r="L209" s="569"/>
    </row>
    <row r="210" spans="2:12" s="47" customFormat="1" ht="83.25" customHeight="1" thickTop="1" thickBot="1" x14ac:dyDescent="0.25">
      <c r="B210" s="395" t="s">
        <v>647</v>
      </c>
      <c r="C210" s="395" t="s">
        <v>307</v>
      </c>
      <c r="D210" s="395" t="s">
        <v>301</v>
      </c>
      <c r="E210" s="395" t="s">
        <v>308</v>
      </c>
      <c r="F210" s="396" t="s">
        <v>1082</v>
      </c>
      <c r="G210" s="674" t="s">
        <v>666</v>
      </c>
      <c r="H210" s="674"/>
      <c r="I210" s="677">
        <v>0</v>
      </c>
      <c r="J210" s="399">
        <f>-170581+(180000)</f>
        <v>9419</v>
      </c>
      <c r="K210" s="678"/>
      <c r="L210" s="569"/>
    </row>
    <row r="211" spans="2:12" s="47" customFormat="1" ht="54.75" customHeight="1" thickTop="1" thickBot="1" x14ac:dyDescent="0.25">
      <c r="B211" s="395" t="s">
        <v>647</v>
      </c>
      <c r="C211" s="395" t="s">
        <v>307</v>
      </c>
      <c r="D211" s="395" t="s">
        <v>301</v>
      </c>
      <c r="E211" s="395" t="s">
        <v>308</v>
      </c>
      <c r="F211" s="396" t="s">
        <v>1083</v>
      </c>
      <c r="G211" s="674" t="s">
        <v>666</v>
      </c>
      <c r="H211" s="674"/>
      <c r="I211" s="677"/>
      <c r="J211" s="674">
        <f>200000-49732</f>
        <v>150268</v>
      </c>
      <c r="K211" s="678"/>
      <c r="L211" s="569"/>
    </row>
    <row r="212" spans="2:12" s="47" customFormat="1" ht="42" customHeight="1" thickTop="1" thickBot="1" x14ac:dyDescent="0.25">
      <c r="B212" s="395" t="s">
        <v>647</v>
      </c>
      <c r="C212" s="395" t="s">
        <v>307</v>
      </c>
      <c r="D212" s="395" t="s">
        <v>301</v>
      </c>
      <c r="E212" s="395" t="s">
        <v>308</v>
      </c>
      <c r="F212" s="396" t="s">
        <v>1127</v>
      </c>
      <c r="G212" s="674" t="s">
        <v>666</v>
      </c>
      <c r="H212" s="674"/>
      <c r="I212" s="677">
        <v>0</v>
      </c>
      <c r="J212" s="399">
        <v>180000</v>
      </c>
      <c r="K212" s="678"/>
      <c r="L212" s="569"/>
    </row>
    <row r="213" spans="2:12" s="47" customFormat="1" ht="72" customHeight="1" thickTop="1" thickBot="1" x14ac:dyDescent="0.25">
      <c r="B213" s="395" t="s">
        <v>647</v>
      </c>
      <c r="C213" s="395" t="s">
        <v>307</v>
      </c>
      <c r="D213" s="395" t="s">
        <v>301</v>
      </c>
      <c r="E213" s="395" t="s">
        <v>308</v>
      </c>
      <c r="F213" s="396" t="s">
        <v>1128</v>
      </c>
      <c r="G213" s="674" t="s">
        <v>666</v>
      </c>
      <c r="H213" s="674"/>
      <c r="I213" s="677">
        <v>0</v>
      </c>
      <c r="J213" s="399">
        <v>180000</v>
      </c>
      <c r="K213" s="678"/>
      <c r="L213" s="569"/>
    </row>
    <row r="214" spans="2:12" s="47" customFormat="1" ht="46.5" thickTop="1" thickBot="1" x14ac:dyDescent="0.25">
      <c r="B214" s="395" t="s">
        <v>647</v>
      </c>
      <c r="C214" s="395" t="s">
        <v>307</v>
      </c>
      <c r="D214" s="395" t="s">
        <v>301</v>
      </c>
      <c r="E214" s="395" t="s">
        <v>308</v>
      </c>
      <c r="F214" s="396" t="s">
        <v>1129</v>
      </c>
      <c r="G214" s="674" t="s">
        <v>666</v>
      </c>
      <c r="H214" s="674"/>
      <c r="I214" s="677">
        <v>0</v>
      </c>
      <c r="J214" s="399">
        <f>(90000)-74928</f>
        <v>15072</v>
      </c>
      <c r="K214" s="678"/>
      <c r="L214" s="569"/>
    </row>
    <row r="215" spans="2:12" s="47" customFormat="1" ht="127.5" customHeight="1" thickTop="1" thickBot="1" x14ac:dyDescent="0.25">
      <c r="B215" s="395" t="s">
        <v>647</v>
      </c>
      <c r="C215" s="395" t="s">
        <v>307</v>
      </c>
      <c r="D215" s="395" t="s">
        <v>301</v>
      </c>
      <c r="E215" s="395" t="s">
        <v>308</v>
      </c>
      <c r="F215" s="676" t="s">
        <v>1296</v>
      </c>
      <c r="G215" s="674" t="s">
        <v>666</v>
      </c>
      <c r="H215" s="674"/>
      <c r="I215" s="677">
        <v>0</v>
      </c>
      <c r="J215" s="674">
        <v>500000</v>
      </c>
      <c r="K215" s="677"/>
      <c r="L215" s="569"/>
    </row>
    <row r="216" spans="2:12" s="47" customFormat="1" ht="46.5" thickTop="1" thickBot="1" x14ac:dyDescent="0.25">
      <c r="B216" s="395" t="s">
        <v>647</v>
      </c>
      <c r="C216" s="395" t="s">
        <v>307</v>
      </c>
      <c r="D216" s="395" t="s">
        <v>301</v>
      </c>
      <c r="E216" s="395" t="s">
        <v>308</v>
      </c>
      <c r="F216" s="676" t="s">
        <v>1485</v>
      </c>
      <c r="G216" s="674" t="s">
        <v>666</v>
      </c>
      <c r="H216" s="674"/>
      <c r="I216" s="677">
        <v>0</v>
      </c>
      <c r="J216" s="674">
        <v>50000</v>
      </c>
      <c r="K216" s="677"/>
      <c r="L216" s="569"/>
    </row>
    <row r="217" spans="2:12" s="47" customFormat="1" ht="96" customHeight="1" thickTop="1" thickBot="1" x14ac:dyDescent="0.25">
      <c r="B217" s="335" t="s">
        <v>648</v>
      </c>
      <c r="C217" s="335" t="s">
        <v>324</v>
      </c>
      <c r="D217" s="335" t="s">
        <v>323</v>
      </c>
      <c r="E217" s="335" t="s">
        <v>506</v>
      </c>
      <c r="F217" s="336" t="s">
        <v>53</v>
      </c>
      <c r="G217" s="336"/>
      <c r="H217" s="337"/>
      <c r="I217" s="336"/>
      <c r="J217" s="334">
        <f>SUM(J218:J226)</f>
        <v>5950000</v>
      </c>
      <c r="K217" s="334"/>
      <c r="L217" s="569"/>
    </row>
    <row r="218" spans="2:12" s="47" customFormat="1" ht="105" customHeight="1" thickTop="1" thickBot="1" x14ac:dyDescent="0.25">
      <c r="B218" s="395" t="s">
        <v>648</v>
      </c>
      <c r="C218" s="395" t="s">
        <v>324</v>
      </c>
      <c r="D218" s="395" t="s">
        <v>323</v>
      </c>
      <c r="E218" s="395" t="s">
        <v>506</v>
      </c>
      <c r="F218" s="396" t="s">
        <v>1303</v>
      </c>
      <c r="G218" s="399" t="s">
        <v>1352</v>
      </c>
      <c r="H218" s="674">
        <v>11252200</v>
      </c>
      <c r="I218" s="680">
        <v>0</v>
      </c>
      <c r="J218" s="674">
        <v>2000000</v>
      </c>
      <c r="K218" s="680">
        <f>J218/H218</f>
        <v>0.17774301914292318</v>
      </c>
      <c r="L218" s="569"/>
    </row>
    <row r="219" spans="2:12" s="47" customFormat="1" ht="107.25" customHeight="1" thickTop="1" thickBot="1" x14ac:dyDescent="0.25">
      <c r="B219" s="395" t="s">
        <v>648</v>
      </c>
      <c r="C219" s="395" t="s">
        <v>324</v>
      </c>
      <c r="D219" s="395" t="s">
        <v>323</v>
      </c>
      <c r="E219" s="395" t="s">
        <v>506</v>
      </c>
      <c r="F219" s="396" t="s">
        <v>674</v>
      </c>
      <c r="G219" s="399" t="s">
        <v>594</v>
      </c>
      <c r="H219" s="399">
        <v>18370999</v>
      </c>
      <c r="I219" s="681">
        <f>(140000+253335)/H219</f>
        <v>2.1410648381179488E-2</v>
      </c>
      <c r="J219" s="399">
        <f>3000000</f>
        <v>3000000</v>
      </c>
      <c r="K219" s="681">
        <f>(140000+253415+J219)/H219</f>
        <v>0.18471586656773537</v>
      </c>
      <c r="L219" s="569"/>
    </row>
    <row r="220" spans="2:12" s="47" customFormat="1" ht="105" hidden="1" customHeight="1" thickTop="1" thickBot="1" x14ac:dyDescent="0.25">
      <c r="B220" s="395" t="s">
        <v>648</v>
      </c>
      <c r="C220" s="395" t="s">
        <v>324</v>
      </c>
      <c r="D220" s="395" t="s">
        <v>323</v>
      </c>
      <c r="E220" s="395" t="s">
        <v>506</v>
      </c>
      <c r="F220" s="396" t="s">
        <v>663</v>
      </c>
      <c r="G220" s="399"/>
      <c r="H220" s="399"/>
      <c r="I220" s="681"/>
      <c r="J220" s="399">
        <f>200000-200000</f>
        <v>0</v>
      </c>
      <c r="K220" s="678"/>
      <c r="L220" s="569"/>
    </row>
    <row r="221" spans="2:12" s="47" customFormat="1" ht="93.75" customHeight="1" thickTop="1" thickBot="1" x14ac:dyDescent="0.25">
      <c r="B221" s="395" t="s">
        <v>648</v>
      </c>
      <c r="C221" s="395" t="s">
        <v>324</v>
      </c>
      <c r="D221" s="395" t="s">
        <v>323</v>
      </c>
      <c r="E221" s="395" t="s">
        <v>506</v>
      </c>
      <c r="F221" s="396" t="s">
        <v>1081</v>
      </c>
      <c r="G221" s="399" t="s">
        <v>666</v>
      </c>
      <c r="H221" s="399"/>
      <c r="I221" s="681">
        <v>0</v>
      </c>
      <c r="J221" s="399">
        <v>300000</v>
      </c>
      <c r="K221" s="678"/>
      <c r="L221" s="569"/>
    </row>
    <row r="222" spans="2:12" s="47" customFormat="1" ht="103.5" hidden="1" customHeight="1" thickTop="1" thickBot="1" x14ac:dyDescent="0.25">
      <c r="B222" s="395" t="s">
        <v>648</v>
      </c>
      <c r="C222" s="395" t="s">
        <v>324</v>
      </c>
      <c r="D222" s="395" t="s">
        <v>323</v>
      </c>
      <c r="E222" s="395" t="s">
        <v>506</v>
      </c>
      <c r="F222" s="403" t="s">
        <v>1146</v>
      </c>
      <c r="G222" s="399"/>
      <c r="H222" s="399"/>
      <c r="I222" s="393"/>
      <c r="J222" s="673">
        <f>257020-257020</f>
        <v>0</v>
      </c>
      <c r="K222" s="344"/>
      <c r="L222" s="569"/>
    </row>
    <row r="223" spans="2:12" s="47" customFormat="1" ht="119.25" hidden="1" customHeight="1" thickTop="1" thickBot="1" x14ac:dyDescent="0.25">
      <c r="B223" s="395" t="s">
        <v>648</v>
      </c>
      <c r="C223" s="395" t="s">
        <v>324</v>
      </c>
      <c r="D223" s="395" t="s">
        <v>323</v>
      </c>
      <c r="E223" s="395" t="s">
        <v>506</v>
      </c>
      <c r="F223" s="403" t="s">
        <v>1147</v>
      </c>
      <c r="G223" s="399"/>
      <c r="H223" s="399"/>
      <c r="I223" s="393"/>
      <c r="J223" s="673">
        <f>224762-224762</f>
        <v>0</v>
      </c>
      <c r="K223" s="344"/>
      <c r="L223" s="569"/>
    </row>
    <row r="224" spans="2:12" s="47" customFormat="1" ht="99" hidden="1" customHeight="1" thickTop="1" thickBot="1" x14ac:dyDescent="0.25">
      <c r="B224" s="395" t="s">
        <v>648</v>
      </c>
      <c r="C224" s="395" t="s">
        <v>324</v>
      </c>
      <c r="D224" s="395" t="s">
        <v>323</v>
      </c>
      <c r="E224" s="395" t="s">
        <v>506</v>
      </c>
      <c r="F224" s="403" t="s">
        <v>1148</v>
      </c>
      <c r="G224" s="399" t="s">
        <v>666</v>
      </c>
      <c r="H224" s="399"/>
      <c r="I224" s="393"/>
      <c r="J224" s="673">
        <f>498740-498740</f>
        <v>0</v>
      </c>
      <c r="K224" s="344"/>
      <c r="L224" s="569"/>
    </row>
    <row r="225" spans="2:12" s="47" customFormat="1" ht="106.5" thickTop="1" thickBot="1" x14ac:dyDescent="0.25">
      <c r="B225" s="395" t="s">
        <v>648</v>
      </c>
      <c r="C225" s="395" t="s">
        <v>324</v>
      </c>
      <c r="D225" s="395" t="s">
        <v>323</v>
      </c>
      <c r="E225" s="395" t="s">
        <v>506</v>
      </c>
      <c r="F225" s="403" t="s">
        <v>1472</v>
      </c>
      <c r="G225" s="399" t="s">
        <v>666</v>
      </c>
      <c r="H225" s="399"/>
      <c r="I225" s="681">
        <v>0</v>
      </c>
      <c r="J225" s="674">
        <v>150000</v>
      </c>
      <c r="K225" s="344"/>
      <c r="L225" s="569"/>
    </row>
    <row r="226" spans="2:12" s="47" customFormat="1" ht="61.5" thickTop="1" thickBot="1" x14ac:dyDescent="0.25">
      <c r="B226" s="395" t="s">
        <v>648</v>
      </c>
      <c r="C226" s="395" t="s">
        <v>324</v>
      </c>
      <c r="D226" s="395" t="s">
        <v>323</v>
      </c>
      <c r="E226" s="395" t="s">
        <v>506</v>
      </c>
      <c r="F226" s="403" t="s">
        <v>1471</v>
      </c>
      <c r="G226" s="399" t="s">
        <v>666</v>
      </c>
      <c r="H226" s="399"/>
      <c r="I226" s="681">
        <v>0</v>
      </c>
      <c r="J226" s="674">
        <v>500000</v>
      </c>
      <c r="K226" s="344"/>
      <c r="L226" s="569"/>
    </row>
    <row r="227" spans="2:12" s="47" customFormat="1" ht="62.25" customHeight="1" thickTop="1" thickBot="1" x14ac:dyDescent="0.25">
      <c r="B227" s="335" t="s">
        <v>649</v>
      </c>
      <c r="C227" s="335" t="s">
        <v>312</v>
      </c>
      <c r="D227" s="335" t="s">
        <v>314</v>
      </c>
      <c r="E227" s="335" t="s">
        <v>313</v>
      </c>
      <c r="F227" s="336" t="s">
        <v>61</v>
      </c>
      <c r="G227" s="336"/>
      <c r="H227" s="337"/>
      <c r="I227" s="336"/>
      <c r="J227" s="337">
        <f>-1096000-200000+((16932021+60000000)-5594808-6800000)</f>
        <v>63241213</v>
      </c>
      <c r="K227" s="344"/>
      <c r="L227" s="569"/>
    </row>
    <row r="228" spans="2:12" s="47" customFormat="1" ht="76.5" thickTop="1" thickBot="1" x14ac:dyDescent="0.25">
      <c r="B228" s="335" t="s">
        <v>650</v>
      </c>
      <c r="C228" s="335" t="s">
        <v>230</v>
      </c>
      <c r="D228" s="335" t="s">
        <v>231</v>
      </c>
      <c r="E228" s="335" t="s">
        <v>43</v>
      </c>
      <c r="F228" s="397" t="s">
        <v>1073</v>
      </c>
      <c r="G228" s="336" t="s">
        <v>531</v>
      </c>
      <c r="H228" s="400">
        <v>30859243</v>
      </c>
      <c r="I228" s="393">
        <v>0</v>
      </c>
      <c r="J228" s="340">
        <f>-1872934+(18508795.58+2040727)</f>
        <v>18676588.579999998</v>
      </c>
      <c r="K228" s="393">
        <f>J228/H228</f>
        <v>0.60521862380097913</v>
      </c>
      <c r="L228" s="569"/>
    </row>
    <row r="229" spans="2:12" s="47" customFormat="1" ht="31.5" thickTop="1" thickBot="1" x14ac:dyDescent="0.25">
      <c r="B229" s="335" t="s">
        <v>651</v>
      </c>
      <c r="C229" s="335" t="s">
        <v>215</v>
      </c>
      <c r="D229" s="335" t="s">
        <v>184</v>
      </c>
      <c r="E229" s="335" t="s">
        <v>36</v>
      </c>
      <c r="F229" s="336" t="s">
        <v>53</v>
      </c>
      <c r="G229" s="336"/>
      <c r="H229" s="401"/>
      <c r="I229" s="336"/>
      <c r="J229" s="337">
        <f>SUM(J230:J276)</f>
        <v>40759538</v>
      </c>
      <c r="K229" s="344"/>
      <c r="L229" s="569"/>
    </row>
    <row r="230" spans="2:12" s="47" customFormat="1" ht="61.5" thickTop="1" thickBot="1" x14ac:dyDescent="0.25">
      <c r="B230" s="527" t="s">
        <v>651</v>
      </c>
      <c r="C230" s="527" t="s">
        <v>215</v>
      </c>
      <c r="D230" s="527" t="s">
        <v>184</v>
      </c>
      <c r="E230" s="527" t="s">
        <v>36</v>
      </c>
      <c r="F230" s="528" t="s">
        <v>1080</v>
      </c>
      <c r="G230" s="682"/>
      <c r="H230" s="532"/>
      <c r="I230" s="683"/>
      <c r="J230" s="674">
        <f>1220300-2300</f>
        <v>1218000</v>
      </c>
      <c r="K230" s="683"/>
      <c r="L230" s="569"/>
    </row>
    <row r="231" spans="2:12" s="47" customFormat="1" ht="61.5" thickTop="1" thickBot="1" x14ac:dyDescent="0.25">
      <c r="B231" s="527" t="s">
        <v>651</v>
      </c>
      <c r="C231" s="527" t="s">
        <v>215</v>
      </c>
      <c r="D231" s="527" t="s">
        <v>184</v>
      </c>
      <c r="E231" s="527" t="s">
        <v>36</v>
      </c>
      <c r="F231" s="514" t="s">
        <v>1297</v>
      </c>
      <c r="G231" s="675"/>
      <c r="H231" s="674"/>
      <c r="I231" s="680"/>
      <c r="J231" s="674">
        <f>(540000)</f>
        <v>540000</v>
      </c>
      <c r="K231" s="680"/>
      <c r="L231" s="569"/>
    </row>
    <row r="232" spans="2:12" s="47" customFormat="1" ht="76.5" thickTop="1" thickBot="1" x14ac:dyDescent="0.25">
      <c r="B232" s="527" t="s">
        <v>651</v>
      </c>
      <c r="C232" s="527" t="s">
        <v>215</v>
      </c>
      <c r="D232" s="527" t="s">
        <v>184</v>
      </c>
      <c r="E232" s="527" t="s">
        <v>36</v>
      </c>
      <c r="F232" s="514" t="s">
        <v>1298</v>
      </c>
      <c r="G232" s="675"/>
      <c r="H232" s="674"/>
      <c r="I232" s="680"/>
      <c r="J232" s="674">
        <f>(660000)</f>
        <v>660000</v>
      </c>
      <c r="K232" s="680"/>
      <c r="L232" s="569"/>
    </row>
    <row r="233" spans="2:12" s="47" customFormat="1" ht="61.5" thickTop="1" thickBot="1" x14ac:dyDescent="0.25">
      <c r="B233" s="527" t="s">
        <v>651</v>
      </c>
      <c r="C233" s="527" t="s">
        <v>215</v>
      </c>
      <c r="D233" s="527" t="s">
        <v>184</v>
      </c>
      <c r="E233" s="527" t="s">
        <v>36</v>
      </c>
      <c r="F233" s="528" t="s">
        <v>1164</v>
      </c>
      <c r="G233" s="682"/>
      <c r="H233" s="532"/>
      <c r="I233" s="683"/>
      <c r="J233" s="532">
        <f>-269200+((2885097)-200000)</f>
        <v>2415897</v>
      </c>
      <c r="K233" s="683"/>
      <c r="L233" s="569"/>
    </row>
    <row r="234" spans="2:12" s="47" customFormat="1" ht="46.5" thickTop="1" thickBot="1" x14ac:dyDescent="0.25">
      <c r="B234" s="527" t="s">
        <v>651</v>
      </c>
      <c r="C234" s="527" t="s">
        <v>215</v>
      </c>
      <c r="D234" s="527" t="s">
        <v>184</v>
      </c>
      <c r="E234" s="527" t="s">
        <v>36</v>
      </c>
      <c r="F234" s="528" t="s">
        <v>1476</v>
      </c>
      <c r="G234" s="682"/>
      <c r="H234" s="532"/>
      <c r="I234" s="683"/>
      <c r="J234" s="532">
        <v>200000</v>
      </c>
      <c r="K234" s="683"/>
      <c r="L234" s="569"/>
    </row>
    <row r="235" spans="2:12" s="47" customFormat="1" ht="61.5" thickTop="1" thickBot="1" x14ac:dyDescent="0.25">
      <c r="B235" s="527" t="s">
        <v>651</v>
      </c>
      <c r="C235" s="527" t="s">
        <v>215</v>
      </c>
      <c r="D235" s="527" t="s">
        <v>184</v>
      </c>
      <c r="E235" s="527" t="s">
        <v>36</v>
      </c>
      <c r="F235" s="528" t="s">
        <v>1093</v>
      </c>
      <c r="G235" s="682"/>
      <c r="H235" s="532"/>
      <c r="I235" s="683"/>
      <c r="J235" s="674">
        <f>50000+395000</f>
        <v>445000</v>
      </c>
      <c r="K235" s="683"/>
      <c r="L235" s="569"/>
    </row>
    <row r="236" spans="2:12" s="47" customFormat="1" ht="91.5" thickTop="1" thickBot="1" x14ac:dyDescent="0.25">
      <c r="B236" s="395" t="s">
        <v>651</v>
      </c>
      <c r="C236" s="395" t="s">
        <v>215</v>
      </c>
      <c r="D236" s="395" t="s">
        <v>184</v>
      </c>
      <c r="E236" s="395" t="s">
        <v>36</v>
      </c>
      <c r="F236" s="397" t="s">
        <v>664</v>
      </c>
      <c r="G236" s="402" t="s">
        <v>665</v>
      </c>
      <c r="H236" s="399">
        <v>4730960</v>
      </c>
      <c r="I236" s="681">
        <f>(70200+0)/H236</f>
        <v>1.4838426027698396E-2</v>
      </c>
      <c r="J236" s="674">
        <f>-95000+(3500000-3400000)</f>
        <v>5000</v>
      </c>
      <c r="K236" s="681">
        <f>(70200+50000+J236)/H236</f>
        <v>2.6463973485296853E-2</v>
      </c>
      <c r="L236" s="569"/>
    </row>
    <row r="237" spans="2:12" s="47" customFormat="1" ht="138.75" hidden="1" customHeight="1" thickTop="1" thickBot="1" x14ac:dyDescent="0.25">
      <c r="B237" s="395" t="s">
        <v>651</v>
      </c>
      <c r="C237" s="395" t="s">
        <v>215</v>
      </c>
      <c r="D237" s="395" t="s">
        <v>184</v>
      </c>
      <c r="E237" s="395" t="s">
        <v>36</v>
      </c>
      <c r="F237" s="403" t="s">
        <v>601</v>
      </c>
      <c r="G237" s="402" t="s">
        <v>666</v>
      </c>
      <c r="H237" s="399"/>
      <c r="I237" s="681">
        <v>0</v>
      </c>
      <c r="J237" s="673">
        <f>400000-380000-20000</f>
        <v>0</v>
      </c>
      <c r="K237" s="399"/>
      <c r="L237" s="569"/>
    </row>
    <row r="238" spans="2:12" s="47" customFormat="1" ht="123" customHeight="1" thickTop="1" thickBot="1" x14ac:dyDescent="0.25">
      <c r="B238" s="395" t="s">
        <v>651</v>
      </c>
      <c r="C238" s="395" t="s">
        <v>215</v>
      </c>
      <c r="D238" s="395" t="s">
        <v>184</v>
      </c>
      <c r="E238" s="395" t="s">
        <v>36</v>
      </c>
      <c r="F238" s="403" t="s">
        <v>1194</v>
      </c>
      <c r="G238" s="402" t="s">
        <v>666</v>
      </c>
      <c r="H238" s="399"/>
      <c r="I238" s="681">
        <v>0</v>
      </c>
      <c r="J238" s="399">
        <f>380000+470000</f>
        <v>850000</v>
      </c>
      <c r="K238" s="399"/>
      <c r="L238" s="569"/>
    </row>
    <row r="239" spans="2:12" s="47" customFormat="1" ht="100.5" hidden="1" customHeight="1" thickTop="1" thickBot="1" x14ac:dyDescent="0.25">
      <c r="B239" s="395" t="s">
        <v>651</v>
      </c>
      <c r="C239" s="395" t="s">
        <v>215</v>
      </c>
      <c r="D239" s="395" t="s">
        <v>184</v>
      </c>
      <c r="E239" s="395" t="s">
        <v>36</v>
      </c>
      <c r="F239" s="403" t="s">
        <v>1475</v>
      </c>
      <c r="G239" s="402" t="s">
        <v>666</v>
      </c>
      <c r="H239" s="399"/>
      <c r="I239" s="681">
        <v>0</v>
      </c>
      <c r="J239" s="674">
        <f>(50000)-50000</f>
        <v>0</v>
      </c>
      <c r="K239" s="681"/>
      <c r="L239" s="569"/>
    </row>
    <row r="240" spans="2:12" s="47" customFormat="1" ht="95.25" customHeight="1" thickTop="1" thickBot="1" x14ac:dyDescent="0.25">
      <c r="B240" s="395" t="s">
        <v>651</v>
      </c>
      <c r="C240" s="395" t="s">
        <v>215</v>
      </c>
      <c r="D240" s="395" t="s">
        <v>184</v>
      </c>
      <c r="E240" s="395" t="s">
        <v>36</v>
      </c>
      <c r="F240" s="403" t="s">
        <v>1167</v>
      </c>
      <c r="G240" s="402" t="s">
        <v>666</v>
      </c>
      <c r="H240" s="399"/>
      <c r="I240" s="681">
        <v>0</v>
      </c>
      <c r="J240" s="399">
        <f>-198000+(200000)</f>
        <v>2000</v>
      </c>
      <c r="K240" s="399"/>
      <c r="L240" s="569"/>
    </row>
    <row r="241" spans="2:12" s="47" customFormat="1" ht="106.5" hidden="1" thickTop="1" thickBot="1" x14ac:dyDescent="0.25">
      <c r="B241" s="395" t="s">
        <v>651</v>
      </c>
      <c r="C241" s="395" t="s">
        <v>215</v>
      </c>
      <c r="D241" s="395" t="s">
        <v>184</v>
      </c>
      <c r="E241" s="395" t="s">
        <v>36</v>
      </c>
      <c r="F241" s="403" t="s">
        <v>1165</v>
      </c>
      <c r="G241" s="402" t="s">
        <v>666</v>
      </c>
      <c r="H241" s="399"/>
      <c r="I241" s="681">
        <v>0</v>
      </c>
      <c r="J241" s="399">
        <f>(50000)-50000</f>
        <v>0</v>
      </c>
      <c r="K241" s="399"/>
      <c r="L241" s="569"/>
    </row>
    <row r="242" spans="2:12" s="47" customFormat="1" ht="106.5" thickTop="1" thickBot="1" x14ac:dyDescent="0.25">
      <c r="B242" s="395" t="s">
        <v>651</v>
      </c>
      <c r="C242" s="395" t="s">
        <v>215</v>
      </c>
      <c r="D242" s="395" t="s">
        <v>184</v>
      </c>
      <c r="E242" s="395" t="s">
        <v>36</v>
      </c>
      <c r="F242" s="403" t="s">
        <v>1302</v>
      </c>
      <c r="G242" s="402" t="s">
        <v>666</v>
      </c>
      <c r="H242" s="399">
        <v>1301922</v>
      </c>
      <c r="I242" s="681">
        <v>0</v>
      </c>
      <c r="J242" s="674">
        <f>(1301922-183000)-19863</f>
        <v>1099059</v>
      </c>
      <c r="K242" s="681">
        <f>J242/H242</f>
        <v>0.84418190951531658</v>
      </c>
      <c r="L242" s="569"/>
    </row>
    <row r="243" spans="2:12" s="47" customFormat="1" ht="76.5" thickTop="1" thickBot="1" x14ac:dyDescent="0.25">
      <c r="B243" s="395" t="s">
        <v>651</v>
      </c>
      <c r="C243" s="395" t="s">
        <v>215</v>
      </c>
      <c r="D243" s="395" t="s">
        <v>184</v>
      </c>
      <c r="E243" s="395" t="s">
        <v>36</v>
      </c>
      <c r="F243" s="403" t="s">
        <v>1353</v>
      </c>
      <c r="G243" s="402" t="s">
        <v>1301</v>
      </c>
      <c r="H243" s="399"/>
      <c r="I243" s="681">
        <v>0</v>
      </c>
      <c r="J243" s="399">
        <v>2000000</v>
      </c>
      <c r="K243" s="681"/>
      <c r="L243" s="569"/>
    </row>
    <row r="244" spans="2:12" s="47" customFormat="1" ht="90.75" customHeight="1" thickTop="1" thickBot="1" x14ac:dyDescent="0.25">
      <c r="B244" s="440" t="s">
        <v>651</v>
      </c>
      <c r="C244" s="440" t="s">
        <v>215</v>
      </c>
      <c r="D244" s="440" t="s">
        <v>184</v>
      </c>
      <c r="E244" s="440" t="s">
        <v>36</v>
      </c>
      <c r="F244" s="583" t="s">
        <v>1481</v>
      </c>
      <c r="G244" s="675"/>
      <c r="H244" s="674"/>
      <c r="I244" s="681"/>
      <c r="J244" s="674">
        <f>(145000)-28000</f>
        <v>117000</v>
      </c>
      <c r="K244" s="680"/>
      <c r="L244" s="569"/>
    </row>
    <row r="245" spans="2:12" s="47" customFormat="1" ht="61.5" thickTop="1" thickBot="1" x14ac:dyDescent="0.25">
      <c r="B245" s="440" t="s">
        <v>651</v>
      </c>
      <c r="C245" s="440" t="s">
        <v>215</v>
      </c>
      <c r="D245" s="440" t="s">
        <v>184</v>
      </c>
      <c r="E245" s="440" t="s">
        <v>36</v>
      </c>
      <c r="F245" s="583" t="s">
        <v>1479</v>
      </c>
      <c r="G245" s="675"/>
      <c r="H245" s="674"/>
      <c r="I245" s="675"/>
      <c r="J245" s="674">
        <v>38000</v>
      </c>
      <c r="K245" s="680"/>
      <c r="L245" s="569"/>
    </row>
    <row r="246" spans="2:12" s="47" customFormat="1" ht="46.5" thickTop="1" thickBot="1" x14ac:dyDescent="0.25">
      <c r="B246" s="440" t="s">
        <v>651</v>
      </c>
      <c r="C246" s="440" t="s">
        <v>215</v>
      </c>
      <c r="D246" s="440" t="s">
        <v>184</v>
      </c>
      <c r="E246" s="440" t="s">
        <v>36</v>
      </c>
      <c r="F246" s="583" t="s">
        <v>1480</v>
      </c>
      <c r="G246" s="675"/>
      <c r="H246" s="674"/>
      <c r="I246" s="675"/>
      <c r="J246" s="674">
        <f>-591100+(790000)</f>
        <v>198900</v>
      </c>
      <c r="K246" s="680"/>
      <c r="L246" s="569"/>
    </row>
    <row r="247" spans="2:12" s="47" customFormat="1" ht="46.5" thickTop="1" thickBot="1" x14ac:dyDescent="0.25">
      <c r="B247" s="395" t="s">
        <v>651</v>
      </c>
      <c r="C247" s="395" t="s">
        <v>215</v>
      </c>
      <c r="D247" s="395" t="s">
        <v>184</v>
      </c>
      <c r="E247" s="395" t="s">
        <v>36</v>
      </c>
      <c r="F247" s="403" t="s">
        <v>1077</v>
      </c>
      <c r="G247" s="402"/>
      <c r="H247" s="399"/>
      <c r="I247" s="402"/>
      <c r="J247" s="399">
        <v>22200</v>
      </c>
      <c r="K247" s="681"/>
      <c r="L247" s="569"/>
    </row>
    <row r="248" spans="2:12" s="47" customFormat="1" ht="46.5" thickTop="1" thickBot="1" x14ac:dyDescent="0.25">
      <c r="B248" s="395" t="s">
        <v>651</v>
      </c>
      <c r="C248" s="395" t="s">
        <v>215</v>
      </c>
      <c r="D248" s="395" t="s">
        <v>184</v>
      </c>
      <c r="E248" s="395" t="s">
        <v>36</v>
      </c>
      <c r="F248" s="403" t="s">
        <v>1300</v>
      </c>
      <c r="G248" s="402"/>
      <c r="H248" s="399"/>
      <c r="I248" s="402"/>
      <c r="J248" s="399">
        <v>6400</v>
      </c>
      <c r="K248" s="681"/>
      <c r="L248" s="569"/>
    </row>
    <row r="249" spans="2:12" s="47" customFormat="1" ht="46.5" thickTop="1" thickBot="1" x14ac:dyDescent="0.25">
      <c r="B249" s="395" t="s">
        <v>651</v>
      </c>
      <c r="C249" s="395" t="s">
        <v>215</v>
      </c>
      <c r="D249" s="395" t="s">
        <v>184</v>
      </c>
      <c r="E249" s="395" t="s">
        <v>36</v>
      </c>
      <c r="F249" s="403" t="s">
        <v>1473</v>
      </c>
      <c r="G249" s="402"/>
      <c r="H249" s="399"/>
      <c r="I249" s="402"/>
      <c r="J249" s="399">
        <v>150000</v>
      </c>
      <c r="K249" s="681"/>
      <c r="L249" s="569"/>
    </row>
    <row r="250" spans="2:12" s="47" customFormat="1" ht="46.5" thickTop="1" thickBot="1" x14ac:dyDescent="0.25">
      <c r="B250" s="395" t="s">
        <v>651</v>
      </c>
      <c r="C250" s="395" t="s">
        <v>215</v>
      </c>
      <c r="D250" s="395" t="s">
        <v>184</v>
      </c>
      <c r="E250" s="395" t="s">
        <v>36</v>
      </c>
      <c r="F250" s="403" t="s">
        <v>1474</v>
      </c>
      <c r="G250" s="402"/>
      <c r="H250" s="399"/>
      <c r="I250" s="402"/>
      <c r="J250" s="399">
        <v>22224</v>
      </c>
      <c r="K250" s="681"/>
      <c r="L250" s="569"/>
    </row>
    <row r="251" spans="2:12" s="47" customFormat="1" ht="61.5" thickTop="1" thickBot="1" x14ac:dyDescent="0.25">
      <c r="B251" s="395" t="s">
        <v>651</v>
      </c>
      <c r="C251" s="395" t="s">
        <v>215</v>
      </c>
      <c r="D251" s="395" t="s">
        <v>184</v>
      </c>
      <c r="E251" s="395" t="s">
        <v>36</v>
      </c>
      <c r="F251" s="403" t="s">
        <v>1078</v>
      </c>
      <c r="G251" s="402"/>
      <c r="H251" s="399"/>
      <c r="I251" s="402"/>
      <c r="J251" s="399">
        <v>350000</v>
      </c>
      <c r="K251" s="681"/>
      <c r="L251" s="569"/>
    </row>
    <row r="252" spans="2:12" s="47" customFormat="1" ht="46.5" thickTop="1" thickBot="1" x14ac:dyDescent="0.25">
      <c r="B252" s="395" t="s">
        <v>651</v>
      </c>
      <c r="C252" s="395" t="s">
        <v>215</v>
      </c>
      <c r="D252" s="395" t="s">
        <v>184</v>
      </c>
      <c r="E252" s="395" t="s">
        <v>36</v>
      </c>
      <c r="F252" s="403" t="s">
        <v>1079</v>
      </c>
      <c r="G252" s="402"/>
      <c r="H252" s="399"/>
      <c r="I252" s="402"/>
      <c r="J252" s="399">
        <v>48590</v>
      </c>
      <c r="K252" s="681"/>
      <c r="L252" s="569"/>
    </row>
    <row r="253" spans="2:12" s="47" customFormat="1" ht="91.5" thickTop="1" thickBot="1" x14ac:dyDescent="0.25">
      <c r="B253" s="395" t="s">
        <v>651</v>
      </c>
      <c r="C253" s="395" t="s">
        <v>215</v>
      </c>
      <c r="D253" s="395" t="s">
        <v>184</v>
      </c>
      <c r="E253" s="395" t="s">
        <v>36</v>
      </c>
      <c r="F253" s="397" t="s">
        <v>1179</v>
      </c>
      <c r="G253" s="402" t="s">
        <v>666</v>
      </c>
      <c r="H253" s="399">
        <v>1050599</v>
      </c>
      <c r="I253" s="681">
        <v>0</v>
      </c>
      <c r="J253" s="674">
        <f>1050599-70414</f>
        <v>980185</v>
      </c>
      <c r="K253" s="681">
        <f>J253/H253</f>
        <v>0.93297728248361178</v>
      </c>
      <c r="L253" s="569"/>
    </row>
    <row r="254" spans="2:12" s="47" customFormat="1" ht="91.5" thickTop="1" thickBot="1" x14ac:dyDescent="0.25">
      <c r="B254" s="395" t="s">
        <v>651</v>
      </c>
      <c r="C254" s="395" t="s">
        <v>215</v>
      </c>
      <c r="D254" s="395" t="s">
        <v>184</v>
      </c>
      <c r="E254" s="395" t="s">
        <v>36</v>
      </c>
      <c r="F254" s="403" t="s">
        <v>667</v>
      </c>
      <c r="G254" s="402" t="s">
        <v>666</v>
      </c>
      <c r="H254" s="399">
        <v>694860</v>
      </c>
      <c r="I254" s="681">
        <v>0</v>
      </c>
      <c r="J254" s="674">
        <f>-99343+(694860-72171)</f>
        <v>523346</v>
      </c>
      <c r="K254" s="681">
        <f>J254/H254</f>
        <v>0.75316754454134649</v>
      </c>
      <c r="L254" s="569"/>
    </row>
    <row r="255" spans="2:12" s="47" customFormat="1" ht="136.5" thickTop="1" thickBot="1" x14ac:dyDescent="0.25">
      <c r="B255" s="395" t="s">
        <v>651</v>
      </c>
      <c r="C255" s="395" t="s">
        <v>215</v>
      </c>
      <c r="D255" s="395" t="s">
        <v>184</v>
      </c>
      <c r="E255" s="395" t="s">
        <v>36</v>
      </c>
      <c r="F255" s="403" t="s">
        <v>668</v>
      </c>
      <c r="G255" s="399" t="s">
        <v>531</v>
      </c>
      <c r="H255" s="399">
        <v>1306212</v>
      </c>
      <c r="I255" s="681">
        <f>(300000+299522)/H255</f>
        <v>0.4589775626008642</v>
      </c>
      <c r="J255" s="674">
        <f>-128000+(700000)</f>
        <v>572000</v>
      </c>
      <c r="K255" s="681">
        <f>(300000+300000+J255)/H255</f>
        <v>0.89725098222953092</v>
      </c>
      <c r="L255" s="569"/>
    </row>
    <row r="256" spans="2:12" s="47" customFormat="1" ht="76.5" thickTop="1" thickBot="1" x14ac:dyDescent="0.25">
      <c r="B256" s="395" t="s">
        <v>651</v>
      </c>
      <c r="C256" s="395" t="s">
        <v>215</v>
      </c>
      <c r="D256" s="395" t="s">
        <v>184</v>
      </c>
      <c r="E256" s="395" t="s">
        <v>36</v>
      </c>
      <c r="F256" s="403" t="s">
        <v>669</v>
      </c>
      <c r="G256" s="399" t="s">
        <v>666</v>
      </c>
      <c r="H256" s="399">
        <v>700000</v>
      </c>
      <c r="I256" s="681">
        <v>0</v>
      </c>
      <c r="J256" s="399">
        <f>700000-210000</f>
        <v>490000</v>
      </c>
      <c r="K256" s="681">
        <v>1</v>
      </c>
      <c r="L256" s="569"/>
    </row>
    <row r="257" spans="2:12" s="47" customFormat="1" ht="61.5" thickTop="1" thickBot="1" x14ac:dyDescent="0.25">
      <c r="B257" s="395" t="s">
        <v>651</v>
      </c>
      <c r="C257" s="395" t="s">
        <v>215</v>
      </c>
      <c r="D257" s="395" t="s">
        <v>184</v>
      </c>
      <c r="E257" s="395" t="s">
        <v>36</v>
      </c>
      <c r="F257" s="403" t="s">
        <v>595</v>
      </c>
      <c r="G257" s="399" t="s">
        <v>531</v>
      </c>
      <c r="H257" s="399">
        <v>1978170</v>
      </c>
      <c r="I257" s="681">
        <f>899093.21/H257</f>
        <v>0.45450755496241474</v>
      </c>
      <c r="J257" s="399">
        <f>-21534+(1078170)</f>
        <v>1056636</v>
      </c>
      <c r="K257" s="681">
        <v>1</v>
      </c>
      <c r="L257" s="569"/>
    </row>
    <row r="258" spans="2:12" s="47" customFormat="1" ht="91.5" thickTop="1" thickBot="1" x14ac:dyDescent="0.25">
      <c r="B258" s="395" t="s">
        <v>651</v>
      </c>
      <c r="C258" s="395" t="s">
        <v>215</v>
      </c>
      <c r="D258" s="395" t="s">
        <v>184</v>
      </c>
      <c r="E258" s="395" t="s">
        <v>36</v>
      </c>
      <c r="F258" s="403" t="s">
        <v>1130</v>
      </c>
      <c r="G258" s="399" t="s">
        <v>666</v>
      </c>
      <c r="H258" s="399">
        <v>3490558</v>
      </c>
      <c r="I258" s="681">
        <v>0</v>
      </c>
      <c r="J258" s="674">
        <f>552666+(100000+1500000+500000)</f>
        <v>2652666</v>
      </c>
      <c r="K258" s="681">
        <v>1</v>
      </c>
      <c r="L258" s="569" t="s">
        <v>1478</v>
      </c>
    </row>
    <row r="259" spans="2:12" s="47" customFormat="1" ht="91.5" hidden="1" thickTop="1" thickBot="1" x14ac:dyDescent="0.25">
      <c r="B259" s="395" t="s">
        <v>651</v>
      </c>
      <c r="C259" s="395" t="s">
        <v>215</v>
      </c>
      <c r="D259" s="395" t="s">
        <v>184</v>
      </c>
      <c r="E259" s="395" t="s">
        <v>36</v>
      </c>
      <c r="F259" s="403" t="s">
        <v>766</v>
      </c>
      <c r="G259" s="399"/>
      <c r="H259" s="399"/>
      <c r="I259" s="681"/>
      <c r="J259" s="399">
        <f>100000-100000</f>
        <v>0</v>
      </c>
      <c r="K259" s="681"/>
      <c r="L259" s="569"/>
    </row>
    <row r="260" spans="2:12" s="47" customFormat="1" ht="91.5" hidden="1" thickTop="1" thickBot="1" x14ac:dyDescent="0.25">
      <c r="B260" s="395" t="s">
        <v>651</v>
      </c>
      <c r="C260" s="395" t="s">
        <v>215</v>
      </c>
      <c r="D260" s="395" t="s">
        <v>184</v>
      </c>
      <c r="E260" s="395" t="s">
        <v>36</v>
      </c>
      <c r="F260" s="403" t="s">
        <v>767</v>
      </c>
      <c r="G260" s="399"/>
      <c r="H260" s="399"/>
      <c r="I260" s="681"/>
      <c r="J260" s="399">
        <f>100000-100000</f>
        <v>0</v>
      </c>
      <c r="K260" s="681"/>
      <c r="L260" s="569"/>
    </row>
    <row r="261" spans="2:12" s="47" customFormat="1" ht="105" customHeight="1" thickTop="1" thickBot="1" x14ac:dyDescent="0.25">
      <c r="B261" s="395" t="s">
        <v>651</v>
      </c>
      <c r="C261" s="395" t="s">
        <v>215</v>
      </c>
      <c r="D261" s="395" t="s">
        <v>184</v>
      </c>
      <c r="E261" s="395" t="s">
        <v>36</v>
      </c>
      <c r="F261" s="403" t="s">
        <v>765</v>
      </c>
      <c r="G261" s="402" t="s">
        <v>1098</v>
      </c>
      <c r="H261" s="399">
        <v>11472055</v>
      </c>
      <c r="I261" s="681">
        <f>(6562194)/H261</f>
        <v>0.57201556303556778</v>
      </c>
      <c r="J261" s="399">
        <f>4571460+102000</f>
        <v>4673460</v>
      </c>
      <c r="K261" s="681">
        <v>1</v>
      </c>
      <c r="L261" s="569"/>
    </row>
    <row r="262" spans="2:12" s="47" customFormat="1" ht="46.5" thickTop="1" thickBot="1" x14ac:dyDescent="0.25">
      <c r="B262" s="395" t="s">
        <v>651</v>
      </c>
      <c r="C262" s="395" t="s">
        <v>215</v>
      </c>
      <c r="D262" s="395" t="s">
        <v>184</v>
      </c>
      <c r="E262" s="395" t="s">
        <v>36</v>
      </c>
      <c r="F262" s="403" t="s">
        <v>1020</v>
      </c>
      <c r="G262" s="402"/>
      <c r="H262" s="399"/>
      <c r="I262" s="681"/>
      <c r="J262" s="399">
        <v>1000000</v>
      </c>
      <c r="K262" s="681"/>
      <c r="L262" s="569"/>
    </row>
    <row r="263" spans="2:12" s="47" customFormat="1" ht="91.5" thickTop="1" thickBot="1" x14ac:dyDescent="0.25">
      <c r="B263" s="395" t="s">
        <v>651</v>
      </c>
      <c r="C263" s="395" t="s">
        <v>215</v>
      </c>
      <c r="D263" s="395" t="s">
        <v>184</v>
      </c>
      <c r="E263" s="395" t="s">
        <v>36</v>
      </c>
      <c r="F263" s="403" t="s">
        <v>1180</v>
      </c>
      <c r="G263" s="675" t="s">
        <v>666</v>
      </c>
      <c r="H263" s="674">
        <v>6455767</v>
      </c>
      <c r="I263" s="680">
        <v>0</v>
      </c>
      <c r="J263" s="674">
        <f>4000000+1940000</f>
        <v>5940000</v>
      </c>
      <c r="K263" s="680">
        <f>J263/H263</f>
        <v>0.92010755654595344</v>
      </c>
      <c r="L263" s="569"/>
    </row>
    <row r="264" spans="2:12" s="47" customFormat="1" ht="121.5" thickTop="1" thickBot="1" x14ac:dyDescent="0.25">
      <c r="B264" s="395" t="s">
        <v>651</v>
      </c>
      <c r="C264" s="395" t="s">
        <v>215</v>
      </c>
      <c r="D264" s="395" t="s">
        <v>184</v>
      </c>
      <c r="E264" s="395" t="s">
        <v>36</v>
      </c>
      <c r="F264" s="403" t="s">
        <v>1084</v>
      </c>
      <c r="G264" s="402" t="s">
        <v>666</v>
      </c>
      <c r="H264" s="399">
        <v>1187842</v>
      </c>
      <c r="I264" s="681">
        <f>0</f>
        <v>0</v>
      </c>
      <c r="J264" s="399">
        <v>593921</v>
      </c>
      <c r="K264" s="681">
        <v>1</v>
      </c>
      <c r="L264" s="569"/>
    </row>
    <row r="265" spans="2:12" s="47" customFormat="1" ht="106.5" thickTop="1" thickBot="1" x14ac:dyDescent="0.25">
      <c r="B265" s="395" t="s">
        <v>651</v>
      </c>
      <c r="C265" s="395" t="s">
        <v>215</v>
      </c>
      <c r="D265" s="395" t="s">
        <v>184</v>
      </c>
      <c r="E265" s="395" t="s">
        <v>36</v>
      </c>
      <c r="F265" s="403" t="s">
        <v>1181</v>
      </c>
      <c r="G265" s="399" t="s">
        <v>666</v>
      </c>
      <c r="H265" s="399">
        <v>1201688</v>
      </c>
      <c r="I265" s="681">
        <f>(310000)/H265</f>
        <v>0.25797045489344989</v>
      </c>
      <c r="J265" s="399">
        <f>-36860+(891000)</f>
        <v>854140</v>
      </c>
      <c r="K265" s="681">
        <v>1</v>
      </c>
      <c r="L265" s="569"/>
    </row>
    <row r="266" spans="2:12" s="47" customFormat="1" ht="91.5" thickTop="1" thickBot="1" x14ac:dyDescent="0.25">
      <c r="B266" s="395" t="s">
        <v>651</v>
      </c>
      <c r="C266" s="395" t="s">
        <v>215</v>
      </c>
      <c r="D266" s="395" t="s">
        <v>184</v>
      </c>
      <c r="E266" s="395" t="s">
        <v>36</v>
      </c>
      <c r="F266" s="403" t="s">
        <v>1094</v>
      </c>
      <c r="G266" s="402" t="s">
        <v>666</v>
      </c>
      <c r="H266" s="399">
        <v>2924077</v>
      </c>
      <c r="I266" s="681">
        <v>0</v>
      </c>
      <c r="J266" s="399">
        <v>100000</v>
      </c>
      <c r="K266" s="681">
        <f>J266/H266</f>
        <v>3.4198825817514385E-2</v>
      </c>
      <c r="L266" s="569"/>
    </row>
    <row r="267" spans="2:12" s="47" customFormat="1" ht="91.5" thickTop="1" thickBot="1" x14ac:dyDescent="0.25">
      <c r="B267" s="395" t="s">
        <v>651</v>
      </c>
      <c r="C267" s="395" t="s">
        <v>215</v>
      </c>
      <c r="D267" s="395" t="s">
        <v>184</v>
      </c>
      <c r="E267" s="395" t="s">
        <v>36</v>
      </c>
      <c r="F267" s="403" t="s">
        <v>1131</v>
      </c>
      <c r="G267" s="399" t="s">
        <v>666</v>
      </c>
      <c r="H267" s="399">
        <v>990371</v>
      </c>
      <c r="I267" s="681">
        <v>0</v>
      </c>
      <c r="J267" s="399">
        <v>495200</v>
      </c>
      <c r="K267" s="681">
        <f>J267/H267</f>
        <v>0.50001464097797699</v>
      </c>
      <c r="L267" s="569"/>
    </row>
    <row r="268" spans="2:12" s="47" customFormat="1" ht="121.5" thickTop="1" thickBot="1" x14ac:dyDescent="0.25">
      <c r="B268" s="395" t="s">
        <v>651</v>
      </c>
      <c r="C268" s="440" t="s">
        <v>215</v>
      </c>
      <c r="D268" s="440" t="s">
        <v>184</v>
      </c>
      <c r="E268" s="440" t="s">
        <v>36</v>
      </c>
      <c r="F268" s="583" t="s">
        <v>1299</v>
      </c>
      <c r="G268" s="674" t="s">
        <v>1301</v>
      </c>
      <c r="H268" s="674">
        <v>3193463</v>
      </c>
      <c r="I268" s="680">
        <v>0</v>
      </c>
      <c r="J268" s="674">
        <v>1000000</v>
      </c>
      <c r="K268" s="681">
        <f>J268/H268</f>
        <v>0.31313968566412076</v>
      </c>
      <c r="L268" s="569"/>
    </row>
    <row r="269" spans="2:12" s="47" customFormat="1" ht="46.5" thickTop="1" thickBot="1" x14ac:dyDescent="0.25">
      <c r="B269" s="395" t="s">
        <v>651</v>
      </c>
      <c r="C269" s="395" t="s">
        <v>215</v>
      </c>
      <c r="D269" s="395" t="s">
        <v>184</v>
      </c>
      <c r="E269" s="395" t="s">
        <v>36</v>
      </c>
      <c r="F269" s="403" t="s">
        <v>1132</v>
      </c>
      <c r="G269" s="395"/>
      <c r="H269" s="395"/>
      <c r="I269" s="395"/>
      <c r="J269" s="399">
        <f>(2000000)-1990000</f>
        <v>10000</v>
      </c>
      <c r="K269" s="681"/>
      <c r="L269" s="569"/>
    </row>
    <row r="270" spans="2:12" s="47" customFormat="1" ht="91.5" thickTop="1" thickBot="1" x14ac:dyDescent="0.25">
      <c r="B270" s="395" t="s">
        <v>651</v>
      </c>
      <c r="C270" s="395" t="s">
        <v>215</v>
      </c>
      <c r="D270" s="395" t="s">
        <v>184</v>
      </c>
      <c r="E270" s="395" t="s">
        <v>36</v>
      </c>
      <c r="F270" s="403" t="s">
        <v>1484</v>
      </c>
      <c r="G270" s="399" t="s">
        <v>666</v>
      </c>
      <c r="H270" s="395"/>
      <c r="I270" s="681">
        <v>0</v>
      </c>
      <c r="J270" s="399">
        <v>50000</v>
      </c>
      <c r="K270" s="681"/>
      <c r="L270" s="569"/>
    </row>
    <row r="271" spans="2:12" s="47" customFormat="1" ht="91.5" thickTop="1" thickBot="1" x14ac:dyDescent="0.25">
      <c r="B271" s="395" t="s">
        <v>651</v>
      </c>
      <c r="C271" s="395" t="s">
        <v>215</v>
      </c>
      <c r="D271" s="395" t="s">
        <v>184</v>
      </c>
      <c r="E271" s="395" t="s">
        <v>36</v>
      </c>
      <c r="F271" s="403" t="s">
        <v>1477</v>
      </c>
      <c r="G271" s="399" t="s">
        <v>666</v>
      </c>
      <c r="H271" s="399">
        <v>129481</v>
      </c>
      <c r="I271" s="681">
        <v>0</v>
      </c>
      <c r="J271" s="399">
        <v>129481</v>
      </c>
      <c r="K271" s="681">
        <v>1</v>
      </c>
      <c r="L271" s="569"/>
    </row>
    <row r="272" spans="2:12" s="47" customFormat="1" ht="123.75" customHeight="1" thickTop="1" thickBot="1" x14ac:dyDescent="0.25">
      <c r="B272" s="395" t="s">
        <v>651</v>
      </c>
      <c r="C272" s="395" t="s">
        <v>215</v>
      </c>
      <c r="D272" s="395" t="s">
        <v>184</v>
      </c>
      <c r="E272" s="395" t="s">
        <v>36</v>
      </c>
      <c r="F272" s="403" t="s">
        <v>1074</v>
      </c>
      <c r="G272" s="399" t="s">
        <v>666</v>
      </c>
      <c r="H272" s="399">
        <v>3304175</v>
      </c>
      <c r="I272" s="681">
        <v>0</v>
      </c>
      <c r="J272" s="399">
        <f>-136772+(3304175)</f>
        <v>3167403</v>
      </c>
      <c r="K272" s="681">
        <v>1</v>
      </c>
      <c r="L272" s="569"/>
    </row>
    <row r="273" spans="2:12" s="47" customFormat="1" ht="108" customHeight="1" thickTop="1" thickBot="1" x14ac:dyDescent="0.25">
      <c r="B273" s="395" t="s">
        <v>651</v>
      </c>
      <c r="C273" s="395" t="s">
        <v>215</v>
      </c>
      <c r="D273" s="395" t="s">
        <v>184</v>
      </c>
      <c r="E273" s="395" t="s">
        <v>36</v>
      </c>
      <c r="F273" s="403" t="s">
        <v>1182</v>
      </c>
      <c r="G273" s="399" t="s">
        <v>666</v>
      </c>
      <c r="H273" s="399">
        <v>2115430</v>
      </c>
      <c r="I273" s="681">
        <v>0</v>
      </c>
      <c r="J273" s="399">
        <v>2115430</v>
      </c>
      <c r="K273" s="681">
        <v>1</v>
      </c>
      <c r="L273" s="569"/>
    </row>
    <row r="274" spans="2:12" s="47" customFormat="1" ht="76.5" thickTop="1" thickBot="1" x14ac:dyDescent="0.25">
      <c r="B274" s="395" t="s">
        <v>651</v>
      </c>
      <c r="C274" s="395" t="s">
        <v>215</v>
      </c>
      <c r="D274" s="395" t="s">
        <v>184</v>
      </c>
      <c r="E274" s="395" t="s">
        <v>36</v>
      </c>
      <c r="F274" s="403" t="s">
        <v>1183</v>
      </c>
      <c r="G274" s="399" t="s">
        <v>666</v>
      </c>
      <c r="H274" s="399">
        <v>864238</v>
      </c>
      <c r="I274" s="681">
        <v>0</v>
      </c>
      <c r="J274" s="399">
        <v>864238</v>
      </c>
      <c r="K274" s="681">
        <v>1</v>
      </c>
      <c r="L274" s="569"/>
    </row>
    <row r="275" spans="2:12" s="47" customFormat="1" ht="105" customHeight="1" thickTop="1" thickBot="1" x14ac:dyDescent="0.25">
      <c r="B275" s="395" t="s">
        <v>651</v>
      </c>
      <c r="C275" s="395" t="s">
        <v>215</v>
      </c>
      <c r="D275" s="395" t="s">
        <v>184</v>
      </c>
      <c r="E275" s="395" t="s">
        <v>36</v>
      </c>
      <c r="F275" s="403" t="s">
        <v>1075</v>
      </c>
      <c r="G275" s="399" t="s">
        <v>666</v>
      </c>
      <c r="H275" s="399">
        <v>2086056</v>
      </c>
      <c r="I275" s="681">
        <v>0</v>
      </c>
      <c r="J275" s="399">
        <v>2086056</v>
      </c>
      <c r="K275" s="681">
        <v>1</v>
      </c>
      <c r="L275" s="569"/>
    </row>
    <row r="276" spans="2:12" s="47" customFormat="1" ht="106.5" thickTop="1" thickBot="1" x14ac:dyDescent="0.25">
      <c r="B276" s="395" t="s">
        <v>651</v>
      </c>
      <c r="C276" s="395" t="s">
        <v>215</v>
      </c>
      <c r="D276" s="395" t="s">
        <v>184</v>
      </c>
      <c r="E276" s="395" t="s">
        <v>36</v>
      </c>
      <c r="F276" s="403" t="s">
        <v>1076</v>
      </c>
      <c r="G276" s="399" t="s">
        <v>666</v>
      </c>
      <c r="H276" s="399">
        <v>1017106</v>
      </c>
      <c r="I276" s="681">
        <v>0</v>
      </c>
      <c r="J276" s="399">
        <v>1017106</v>
      </c>
      <c r="K276" s="681">
        <v>1</v>
      </c>
      <c r="L276" s="569"/>
    </row>
    <row r="277" spans="2:12" s="47" customFormat="1" ht="31.5" thickTop="1" thickBot="1" x14ac:dyDescent="0.25">
      <c r="B277" s="335" t="s">
        <v>654</v>
      </c>
      <c r="C277" s="332" t="s">
        <v>268</v>
      </c>
      <c r="D277" s="332" t="s">
        <v>269</v>
      </c>
      <c r="E277" s="332" t="s">
        <v>267</v>
      </c>
      <c r="F277" s="338" t="s">
        <v>578</v>
      </c>
      <c r="G277" s="340"/>
      <c r="H277" s="340"/>
      <c r="I277" s="408"/>
      <c r="J277" s="340">
        <f>36000+(32000)</f>
        <v>68000</v>
      </c>
      <c r="K277" s="408"/>
      <c r="L277" s="569"/>
    </row>
    <row r="278" spans="2:12" ht="46.5" thickTop="1" thickBot="1" x14ac:dyDescent="0.25">
      <c r="B278" s="936" t="s">
        <v>25</v>
      </c>
      <c r="C278" s="936"/>
      <c r="D278" s="936"/>
      <c r="E278" s="937" t="s">
        <v>1064</v>
      </c>
      <c r="F278" s="946"/>
      <c r="G278" s="938"/>
      <c r="H278" s="938"/>
      <c r="I278" s="938"/>
      <c r="J278" s="946">
        <f>J279</f>
        <v>322170245.50999999</v>
      </c>
      <c r="K278" s="946"/>
      <c r="L278" s="570">
        <f>L281+L284+L297</f>
        <v>4000000</v>
      </c>
    </row>
    <row r="279" spans="2:12" ht="44.25" thickTop="1" thickBot="1" x14ac:dyDescent="0.25">
      <c r="B279" s="940" t="s">
        <v>26</v>
      </c>
      <c r="C279" s="940"/>
      <c r="D279" s="940"/>
      <c r="E279" s="941" t="s">
        <v>1065</v>
      </c>
      <c r="F279" s="947"/>
      <c r="G279" s="947"/>
      <c r="H279" s="947"/>
      <c r="I279" s="947"/>
      <c r="J279" s="947">
        <f>SUM(J280:J302)</f>
        <v>322170245.50999999</v>
      </c>
      <c r="K279" s="947"/>
      <c r="L279" s="570"/>
    </row>
    <row r="280" spans="2:12" ht="73.5" customHeight="1" thickTop="1" thickBot="1" x14ac:dyDescent="0.25">
      <c r="B280" s="404" t="s">
        <v>463</v>
      </c>
      <c r="C280" s="404" t="s">
        <v>465</v>
      </c>
      <c r="D280" s="404" t="s">
        <v>213</v>
      </c>
      <c r="E280" s="404" t="s">
        <v>464</v>
      </c>
      <c r="F280" s="338" t="s">
        <v>498</v>
      </c>
      <c r="G280" s="337" t="s">
        <v>468</v>
      </c>
      <c r="H280" s="340">
        <v>448128773</v>
      </c>
      <c r="I280" s="408">
        <f>(122740173.92)/H280</f>
        <v>0.27389487423071585</v>
      </c>
      <c r="J280" s="340">
        <f>((8000000+2000000+7000000)+70000000+25000000)+20000000+32955840</f>
        <v>164955840</v>
      </c>
      <c r="K280" s="408">
        <f>(122740173.92+J280)/H280</f>
        <v>0.64199406789708635</v>
      </c>
      <c r="L280" s="570"/>
    </row>
    <row r="281" spans="2:12" ht="78" hidden="1" customHeight="1" thickTop="1" thickBot="1" x14ac:dyDescent="0.25">
      <c r="B281" s="404" t="s">
        <v>333</v>
      </c>
      <c r="C281" s="404" t="s">
        <v>334</v>
      </c>
      <c r="D281" s="404" t="s">
        <v>323</v>
      </c>
      <c r="E281" s="404" t="s">
        <v>332</v>
      </c>
      <c r="F281" s="595" t="s">
        <v>637</v>
      </c>
      <c r="G281" s="337" t="s">
        <v>468</v>
      </c>
      <c r="H281" s="337">
        <v>30010059</v>
      </c>
      <c r="I281" s="393">
        <f>(11364795.14+7640000)/H281</f>
        <v>0.6332808322702731</v>
      </c>
      <c r="J281" s="337">
        <v>0</v>
      </c>
      <c r="K281" s="393">
        <f>(11364795.14+7640000+J281)/H281</f>
        <v>0.6332808322702731</v>
      </c>
      <c r="L281" s="570">
        <v>1000000</v>
      </c>
    </row>
    <row r="282" spans="2:12" ht="151.5" customHeight="1" thickTop="1" thickBot="1" x14ac:dyDescent="0.25">
      <c r="B282" s="404" t="s">
        <v>1150</v>
      </c>
      <c r="C282" s="404" t="s">
        <v>324</v>
      </c>
      <c r="D282" s="404" t="s">
        <v>323</v>
      </c>
      <c r="E282" s="404" t="s">
        <v>506</v>
      </c>
      <c r="F282" s="490" t="s">
        <v>1149</v>
      </c>
      <c r="G282" s="337"/>
      <c r="H282" s="337"/>
      <c r="I282" s="393"/>
      <c r="J282" s="337">
        <f>(36872.51)+43702</f>
        <v>80574.510000000009</v>
      </c>
      <c r="K282" s="393"/>
      <c r="L282" s="570"/>
    </row>
    <row r="283" spans="2:12" ht="55.5" customHeight="1" thickTop="1" thickBot="1" x14ac:dyDescent="0.25">
      <c r="B283" s="404" t="s">
        <v>333</v>
      </c>
      <c r="C283" s="404" t="s">
        <v>334</v>
      </c>
      <c r="D283" s="404" t="s">
        <v>323</v>
      </c>
      <c r="E283" s="404" t="s">
        <v>332</v>
      </c>
      <c r="F283" s="490" t="s">
        <v>1228</v>
      </c>
      <c r="G283" s="340" t="s">
        <v>1138</v>
      </c>
      <c r="H283" s="340">
        <v>56437448</v>
      </c>
      <c r="I283" s="408">
        <f>(28071676.14)/H283</f>
        <v>0.49739449841885125</v>
      </c>
      <c r="J283" s="340">
        <f>1458181+(3512869+10010000+1600000)</f>
        <v>16581050</v>
      </c>
      <c r="K283" s="408">
        <f>(28071676.14+2857360+J283+1500000)/H283</f>
        <v>0.8683965678249661</v>
      </c>
      <c r="L283" s="570"/>
    </row>
    <row r="284" spans="2:12" ht="76.5" thickTop="1" thickBot="1" x14ac:dyDescent="0.25">
      <c r="B284" s="404" t="s">
        <v>333</v>
      </c>
      <c r="C284" s="404" t="s">
        <v>334</v>
      </c>
      <c r="D284" s="404" t="s">
        <v>323</v>
      </c>
      <c r="E284" s="404" t="s">
        <v>332</v>
      </c>
      <c r="F284" s="490" t="s">
        <v>1184</v>
      </c>
      <c r="G284" s="340" t="s">
        <v>638</v>
      </c>
      <c r="H284" s="337">
        <f>9300000+10829899</f>
        <v>20129899</v>
      </c>
      <c r="I284" s="393">
        <f>(6879597.52)/H284</f>
        <v>0.34176016084333061</v>
      </c>
      <c r="J284" s="337">
        <f>(700000)-6693</f>
        <v>693307</v>
      </c>
      <c r="K284" s="393">
        <f>(6879597.52+J284)/H284</f>
        <v>0.37620181402797898</v>
      </c>
      <c r="L284" s="570">
        <v>1000000</v>
      </c>
    </row>
    <row r="285" spans="2:12" ht="82.5" customHeight="1" thickTop="1" thickBot="1" x14ac:dyDescent="0.25">
      <c r="B285" s="404" t="s">
        <v>333</v>
      </c>
      <c r="C285" s="404" t="s">
        <v>334</v>
      </c>
      <c r="D285" s="404" t="s">
        <v>323</v>
      </c>
      <c r="E285" s="404" t="s">
        <v>332</v>
      </c>
      <c r="F285" s="490" t="s">
        <v>1274</v>
      </c>
      <c r="G285" s="340" t="s">
        <v>468</v>
      </c>
      <c r="H285" s="340">
        <v>34056704</v>
      </c>
      <c r="I285" s="393">
        <f>(13051785.82)/H285</f>
        <v>0.38323690454601833</v>
      </c>
      <c r="J285" s="340">
        <f>1427600+(400000+(2443118+5992910-1087940))</f>
        <v>9175688</v>
      </c>
      <c r="K285" s="393">
        <f>(13051785.82+1007090+1087940+J285)/H285</f>
        <v>0.71417668074984586</v>
      </c>
      <c r="L285" s="570"/>
    </row>
    <row r="286" spans="2:12" ht="76.5" thickTop="1" thickBot="1" x14ac:dyDescent="0.25">
      <c r="B286" s="404" t="s">
        <v>333</v>
      </c>
      <c r="C286" s="404" t="s">
        <v>334</v>
      </c>
      <c r="D286" s="404" t="s">
        <v>323</v>
      </c>
      <c r="E286" s="404" t="s">
        <v>332</v>
      </c>
      <c r="F286" s="490" t="s">
        <v>1185</v>
      </c>
      <c r="G286" s="337"/>
      <c r="H286" s="337"/>
      <c r="I286" s="337"/>
      <c r="J286" s="337">
        <f>(200000)-100000</f>
        <v>100000</v>
      </c>
      <c r="K286" s="393"/>
      <c r="L286" s="570"/>
    </row>
    <row r="287" spans="2:12" ht="61.5" thickTop="1" thickBot="1" x14ac:dyDescent="0.25">
      <c r="B287" s="404" t="s">
        <v>333</v>
      </c>
      <c r="C287" s="404" t="s">
        <v>334</v>
      </c>
      <c r="D287" s="404" t="s">
        <v>323</v>
      </c>
      <c r="E287" s="404" t="s">
        <v>332</v>
      </c>
      <c r="F287" s="490" t="s">
        <v>1482</v>
      </c>
      <c r="G287" s="337"/>
      <c r="H287" s="337"/>
      <c r="I287" s="337"/>
      <c r="J287" s="337">
        <v>50000</v>
      </c>
      <c r="K287" s="393"/>
      <c r="L287" s="570"/>
    </row>
    <row r="288" spans="2:12" ht="66.75" customHeight="1" thickTop="1" thickBot="1" x14ac:dyDescent="0.25">
      <c r="B288" s="404" t="s">
        <v>563</v>
      </c>
      <c r="C288" s="404" t="s">
        <v>564</v>
      </c>
      <c r="D288" s="404" t="s">
        <v>323</v>
      </c>
      <c r="E288" s="404" t="s">
        <v>883</v>
      </c>
      <c r="F288" s="490" t="s">
        <v>596</v>
      </c>
      <c r="G288" s="340" t="s">
        <v>1191</v>
      </c>
      <c r="H288" s="337">
        <v>21098584</v>
      </c>
      <c r="I288" s="393">
        <f>(529041.07)/H288</f>
        <v>2.5074719232342793E-2</v>
      </c>
      <c r="J288" s="337">
        <v>200000</v>
      </c>
      <c r="K288" s="393">
        <f>(529041.07+J288)/H288</f>
        <v>3.4554028365126305E-2</v>
      </c>
      <c r="L288" s="570"/>
    </row>
    <row r="289" spans="2:12" ht="61.5" thickTop="1" thickBot="1" x14ac:dyDescent="0.25">
      <c r="B289" s="404" t="s">
        <v>337</v>
      </c>
      <c r="C289" s="404" t="s">
        <v>338</v>
      </c>
      <c r="D289" s="404" t="s">
        <v>323</v>
      </c>
      <c r="E289" s="404" t="s">
        <v>499</v>
      </c>
      <c r="F289" s="596" t="s">
        <v>1230</v>
      </c>
      <c r="G289" s="340" t="s">
        <v>1192</v>
      </c>
      <c r="H289" s="337">
        <v>15423995</v>
      </c>
      <c r="I289" s="393">
        <f>111261.75/H289</f>
        <v>7.2135494079192839E-3</v>
      </c>
      <c r="J289" s="340">
        <v>100000</v>
      </c>
      <c r="K289" s="393">
        <f>(111261.75+J289)/H289</f>
        <v>1.3696953999271913E-2</v>
      </c>
      <c r="L289" s="570"/>
    </row>
    <row r="290" spans="2:12" ht="76.5" thickTop="1" thickBot="1" x14ac:dyDescent="0.25">
      <c r="B290" s="404" t="s">
        <v>337</v>
      </c>
      <c r="C290" s="404" t="s">
        <v>338</v>
      </c>
      <c r="D290" s="404" t="s">
        <v>323</v>
      </c>
      <c r="E290" s="404" t="s">
        <v>499</v>
      </c>
      <c r="F290" s="596" t="s">
        <v>1517</v>
      </c>
      <c r="G290" s="340"/>
      <c r="H290" s="337"/>
      <c r="I290" s="393"/>
      <c r="J290" s="340">
        <v>50000</v>
      </c>
      <c r="K290" s="393"/>
      <c r="L290" s="570"/>
    </row>
    <row r="291" spans="2:12" ht="104.25" customHeight="1" thickTop="1" thickBot="1" x14ac:dyDescent="0.25">
      <c r="B291" s="404" t="s">
        <v>337</v>
      </c>
      <c r="C291" s="404" t="s">
        <v>338</v>
      </c>
      <c r="D291" s="404" t="s">
        <v>323</v>
      </c>
      <c r="E291" s="404" t="s">
        <v>499</v>
      </c>
      <c r="F291" s="596" t="s">
        <v>1231</v>
      </c>
      <c r="G291" s="340" t="s">
        <v>468</v>
      </c>
      <c r="H291" s="340">
        <v>10111121</v>
      </c>
      <c r="I291" s="408">
        <f>(7825154.66)/H291</f>
        <v>0.77391563803855179</v>
      </c>
      <c r="J291" s="340">
        <f>-200000+(2206836-1581020)</f>
        <v>425816</v>
      </c>
      <c r="K291" s="393">
        <f>(7825154.66+J291)/H291</f>
        <v>0.81602926718016733</v>
      </c>
      <c r="L291" s="570"/>
    </row>
    <row r="292" spans="2:12" ht="46.5" thickTop="1" thickBot="1" x14ac:dyDescent="0.25">
      <c r="B292" s="404" t="s">
        <v>337</v>
      </c>
      <c r="C292" s="404" t="s">
        <v>338</v>
      </c>
      <c r="D292" s="404" t="s">
        <v>323</v>
      </c>
      <c r="E292" s="404" t="s">
        <v>499</v>
      </c>
      <c r="F292" s="596" t="s">
        <v>1233</v>
      </c>
      <c r="G292" s="340" t="s">
        <v>639</v>
      </c>
      <c r="H292" s="337">
        <v>20249401</v>
      </c>
      <c r="I292" s="393">
        <f>(14384713.31)/H292</f>
        <v>0.71037722597325226</v>
      </c>
      <c r="J292" s="340">
        <f>420000+68629</f>
        <v>488629</v>
      </c>
      <c r="K292" s="393">
        <f>(14384713.31+J292)/H292</f>
        <v>0.73450776692110553</v>
      </c>
      <c r="L292" s="570"/>
    </row>
    <row r="293" spans="2:12" ht="76.5" thickTop="1" thickBot="1" x14ac:dyDescent="0.25">
      <c r="B293" s="404" t="s">
        <v>337</v>
      </c>
      <c r="C293" s="404" t="s">
        <v>338</v>
      </c>
      <c r="D293" s="404" t="s">
        <v>323</v>
      </c>
      <c r="E293" s="404" t="s">
        <v>499</v>
      </c>
      <c r="F293" s="596" t="s">
        <v>1232</v>
      </c>
      <c r="G293" s="340" t="s">
        <v>1190</v>
      </c>
      <c r="H293" s="337">
        <v>53314687</v>
      </c>
      <c r="I293" s="393">
        <f>(1418673.51)/H293</f>
        <v>2.6609431468668288E-2</v>
      </c>
      <c r="J293" s="340">
        <v>200000</v>
      </c>
      <c r="K293" s="393">
        <f>(1418673.51+J293)/H293</f>
        <v>3.0360742997515865E-2</v>
      </c>
      <c r="L293" s="570"/>
    </row>
    <row r="294" spans="2:12" ht="46.5" thickTop="1" thickBot="1" x14ac:dyDescent="0.25">
      <c r="B294" s="404" t="s">
        <v>337</v>
      </c>
      <c r="C294" s="404" t="s">
        <v>338</v>
      </c>
      <c r="D294" s="404" t="s">
        <v>323</v>
      </c>
      <c r="E294" s="404" t="s">
        <v>499</v>
      </c>
      <c r="F294" s="406" t="s">
        <v>1236</v>
      </c>
      <c r="G294" s="337" t="s">
        <v>602</v>
      </c>
      <c r="H294" s="337">
        <v>65017720</v>
      </c>
      <c r="I294" s="393">
        <f>(4855726.3)/H294</f>
        <v>7.4683121770495797E-2</v>
      </c>
      <c r="J294" s="337">
        <f>2928058+((5700000+5000000+2000000)+2000000)</f>
        <v>17628058</v>
      </c>
      <c r="K294" s="393">
        <f>(4855726.3+J294)/H294</f>
        <v>0.34581010069254969</v>
      </c>
      <c r="L294" s="570"/>
    </row>
    <row r="295" spans="2:12" ht="102" customHeight="1" thickTop="1" thickBot="1" x14ac:dyDescent="0.25">
      <c r="B295" s="404" t="s">
        <v>337</v>
      </c>
      <c r="C295" s="404" t="s">
        <v>338</v>
      </c>
      <c r="D295" s="404" t="s">
        <v>323</v>
      </c>
      <c r="E295" s="404" t="s">
        <v>499</v>
      </c>
      <c r="F295" s="691" t="s">
        <v>1354</v>
      </c>
      <c r="G295" s="337" t="s">
        <v>1295</v>
      </c>
      <c r="H295" s="337"/>
      <c r="I295" s="393">
        <v>0</v>
      </c>
      <c r="J295" s="337">
        <v>120000</v>
      </c>
      <c r="K295" s="393">
        <v>1</v>
      </c>
      <c r="L295" s="570"/>
    </row>
    <row r="296" spans="2:12" ht="91.5" thickTop="1" thickBot="1" x14ac:dyDescent="0.25">
      <c r="B296" s="407" t="s">
        <v>337</v>
      </c>
      <c r="C296" s="407" t="s">
        <v>338</v>
      </c>
      <c r="D296" s="407" t="s">
        <v>323</v>
      </c>
      <c r="E296" s="407" t="s">
        <v>499</v>
      </c>
      <c r="F296" s="406" t="s">
        <v>1251</v>
      </c>
      <c r="G296" s="340"/>
      <c r="H296" s="340"/>
      <c r="I296" s="408"/>
      <c r="J296" s="340">
        <v>50000</v>
      </c>
      <c r="K296" s="408"/>
      <c r="L296" s="570"/>
    </row>
    <row r="297" spans="2:12" ht="76.5" thickTop="1" thickBot="1" x14ac:dyDescent="0.25">
      <c r="B297" s="407" t="s">
        <v>337</v>
      </c>
      <c r="C297" s="407" t="s">
        <v>338</v>
      </c>
      <c r="D297" s="407" t="s">
        <v>323</v>
      </c>
      <c r="E297" s="407" t="s">
        <v>499</v>
      </c>
      <c r="F297" s="406" t="s">
        <v>1186</v>
      </c>
      <c r="G297" s="340"/>
      <c r="H297" s="340"/>
      <c r="I297" s="408"/>
      <c r="J297" s="340">
        <v>50000</v>
      </c>
      <c r="K297" s="408"/>
      <c r="L297" s="570">
        <v>2000000</v>
      </c>
    </row>
    <row r="298" spans="2:12" ht="102" customHeight="1" thickTop="1" thickBot="1" x14ac:dyDescent="0.25">
      <c r="B298" s="404" t="s">
        <v>337</v>
      </c>
      <c r="C298" s="404" t="s">
        <v>338</v>
      </c>
      <c r="D298" s="404" t="s">
        <v>323</v>
      </c>
      <c r="E298" s="404" t="s">
        <v>499</v>
      </c>
      <c r="F298" s="406" t="s">
        <v>1187</v>
      </c>
      <c r="G298" s="337"/>
      <c r="H298" s="337"/>
      <c r="I298" s="393"/>
      <c r="J298" s="340">
        <f>(100000)-87009</f>
        <v>12991</v>
      </c>
      <c r="K298" s="393"/>
      <c r="L298" s="570"/>
    </row>
    <row r="299" spans="2:12" ht="110.25" customHeight="1" thickTop="1" thickBot="1" x14ac:dyDescent="0.25">
      <c r="B299" s="404" t="s">
        <v>337</v>
      </c>
      <c r="C299" s="404" t="s">
        <v>338</v>
      </c>
      <c r="D299" s="404" t="s">
        <v>323</v>
      </c>
      <c r="E299" s="404" t="s">
        <v>499</v>
      </c>
      <c r="F299" s="406" t="s">
        <v>1188</v>
      </c>
      <c r="G299" s="337"/>
      <c r="H299" s="337"/>
      <c r="I299" s="393"/>
      <c r="J299" s="340">
        <f>(300000)+395970+61020</f>
        <v>756990</v>
      </c>
      <c r="K299" s="393"/>
      <c r="L299" s="570"/>
    </row>
    <row r="300" spans="2:12" ht="110.25" hidden="1" customHeight="1" thickTop="1" thickBot="1" x14ac:dyDescent="0.25">
      <c r="B300" s="404" t="s">
        <v>337</v>
      </c>
      <c r="C300" s="404" t="s">
        <v>338</v>
      </c>
      <c r="D300" s="404" t="s">
        <v>323</v>
      </c>
      <c r="E300" s="407" t="s">
        <v>499</v>
      </c>
      <c r="F300" s="406" t="s">
        <v>1189</v>
      </c>
      <c r="G300" s="337"/>
      <c r="H300" s="337"/>
      <c r="I300" s="393"/>
      <c r="J300" s="340">
        <f>(400000)-400000</f>
        <v>0</v>
      </c>
      <c r="K300" s="393"/>
      <c r="L300" s="570"/>
    </row>
    <row r="301" spans="2:12" ht="96.75" customHeight="1" thickTop="1" thickBot="1" x14ac:dyDescent="0.25">
      <c r="B301" s="404" t="s">
        <v>337</v>
      </c>
      <c r="C301" s="404" t="s">
        <v>338</v>
      </c>
      <c r="D301" s="404" t="s">
        <v>323</v>
      </c>
      <c r="E301" s="404" t="s">
        <v>499</v>
      </c>
      <c r="F301" s="490" t="s">
        <v>1234</v>
      </c>
      <c r="G301" s="340" t="s">
        <v>602</v>
      </c>
      <c r="H301" s="340">
        <v>37427012</v>
      </c>
      <c r="I301" s="408">
        <f>(17243634.19)/H301</f>
        <v>0.46072697948743546</v>
      </c>
      <c r="J301" s="340">
        <v>370000</v>
      </c>
      <c r="K301" s="408">
        <f>(17243634.19+J301)/H301</f>
        <v>0.47061288755832287</v>
      </c>
      <c r="L301" s="570"/>
    </row>
    <row r="302" spans="2:12" ht="54" customHeight="1" thickTop="1" thickBot="1" x14ac:dyDescent="0.25">
      <c r="B302" s="404" t="s">
        <v>469</v>
      </c>
      <c r="C302" s="404" t="s">
        <v>376</v>
      </c>
      <c r="D302" s="404" t="s">
        <v>184</v>
      </c>
      <c r="E302" s="404" t="s">
        <v>280</v>
      </c>
      <c r="F302" s="596" t="s">
        <v>1227</v>
      </c>
      <c r="G302" s="337" t="s">
        <v>1235</v>
      </c>
      <c r="H302" s="337">
        <v>204203314</v>
      </c>
      <c r="I302" s="408">
        <f>(40567842.39+53857912)/H302</f>
        <v>0.46241048952809843</v>
      </c>
      <c r="J302" s="340">
        <f>((23737852+6343450)+20000000)+60000000</f>
        <v>110081302</v>
      </c>
      <c r="K302" s="408">
        <f>(40567842.39+53857912+J302)/H302</f>
        <v>1.0014874508353964</v>
      </c>
      <c r="L302" s="570">
        <f>(40567842.39+53857912)</f>
        <v>94425754.390000001</v>
      </c>
    </row>
    <row r="303" spans="2:12" ht="46.5" thickTop="1" thickBot="1" x14ac:dyDescent="0.25">
      <c r="B303" s="936" t="s">
        <v>174</v>
      </c>
      <c r="C303" s="936"/>
      <c r="D303" s="936"/>
      <c r="E303" s="937" t="s">
        <v>1066</v>
      </c>
      <c r="F303" s="946"/>
      <c r="G303" s="938"/>
      <c r="H303" s="938"/>
      <c r="I303" s="938"/>
      <c r="J303" s="946">
        <f>J304</f>
        <v>837700</v>
      </c>
      <c r="K303" s="946"/>
      <c r="L303" s="564"/>
    </row>
    <row r="304" spans="2:12" ht="78" customHeight="1" thickTop="1" thickBot="1" x14ac:dyDescent="0.25">
      <c r="B304" s="940" t="s">
        <v>175</v>
      </c>
      <c r="C304" s="940"/>
      <c r="D304" s="940"/>
      <c r="E304" s="941" t="s">
        <v>1085</v>
      </c>
      <c r="F304" s="947"/>
      <c r="G304" s="947"/>
      <c r="H304" s="947"/>
      <c r="I304" s="947"/>
      <c r="J304" s="947">
        <f>SUM(J305:J308)</f>
        <v>837700</v>
      </c>
      <c r="K304" s="947"/>
      <c r="L304" s="564"/>
    </row>
    <row r="305" spans="1:12" ht="57" customHeight="1" thickTop="1" thickBot="1" x14ac:dyDescent="0.25">
      <c r="B305" s="335" t="s">
        <v>447</v>
      </c>
      <c r="C305" s="335" t="s">
        <v>254</v>
      </c>
      <c r="D305" s="335" t="s">
        <v>252</v>
      </c>
      <c r="E305" s="335" t="s">
        <v>253</v>
      </c>
      <c r="F305" s="333" t="s">
        <v>578</v>
      </c>
      <c r="G305" s="337"/>
      <c r="H305" s="337"/>
      <c r="I305" s="393"/>
      <c r="J305" s="337">
        <f>63700+((140000)+36000)</f>
        <v>239700</v>
      </c>
      <c r="K305" s="393"/>
      <c r="L305" s="564"/>
    </row>
    <row r="306" spans="1:12" ht="76.5" thickTop="1" thickBot="1" x14ac:dyDescent="0.25">
      <c r="B306" s="332" t="s">
        <v>1114</v>
      </c>
      <c r="C306" s="332" t="s">
        <v>1115</v>
      </c>
      <c r="D306" s="332" t="s">
        <v>323</v>
      </c>
      <c r="E306" s="332" t="s">
        <v>1116</v>
      </c>
      <c r="F306" s="333" t="s">
        <v>1117</v>
      </c>
      <c r="G306" s="337" t="s">
        <v>666</v>
      </c>
      <c r="H306" s="337"/>
      <c r="I306" s="393">
        <v>0</v>
      </c>
      <c r="J306" s="337">
        <f>211000-13000</f>
        <v>198000</v>
      </c>
      <c r="K306" s="393">
        <v>1</v>
      </c>
      <c r="L306" s="564"/>
    </row>
    <row r="307" spans="1:12" ht="61.5" thickTop="1" thickBot="1" x14ac:dyDescent="0.25">
      <c r="B307" s="332" t="s">
        <v>1114</v>
      </c>
      <c r="C307" s="332" t="s">
        <v>1115</v>
      </c>
      <c r="D307" s="332" t="s">
        <v>323</v>
      </c>
      <c r="E307" s="332" t="s">
        <v>1116</v>
      </c>
      <c r="F307" s="498" t="s">
        <v>1118</v>
      </c>
      <c r="G307" s="337" t="s">
        <v>666</v>
      </c>
      <c r="H307" s="337"/>
      <c r="I307" s="393">
        <v>0</v>
      </c>
      <c r="J307" s="499">
        <f>(400000+13000)-13000</f>
        <v>400000</v>
      </c>
      <c r="K307" s="393">
        <v>1</v>
      </c>
      <c r="L307" s="564"/>
    </row>
    <row r="308" spans="1:12" ht="63.75" hidden="1" customHeight="1" thickTop="1" thickBot="1" x14ac:dyDescent="0.25">
      <c r="B308" s="332" t="s">
        <v>1114</v>
      </c>
      <c r="C308" s="332" t="s">
        <v>1115</v>
      </c>
      <c r="D308" s="332" t="s">
        <v>323</v>
      </c>
      <c r="E308" s="332" t="s">
        <v>1116</v>
      </c>
      <c r="F308" s="648" t="s">
        <v>1275</v>
      </c>
      <c r="G308" s="337" t="s">
        <v>666</v>
      </c>
      <c r="H308" s="337"/>
      <c r="I308" s="393">
        <v>0</v>
      </c>
      <c r="J308" s="554"/>
      <c r="K308" s="393">
        <v>1</v>
      </c>
      <c r="L308" s="564"/>
    </row>
    <row r="309" spans="1:12" ht="46.5" thickTop="1" thickBot="1" x14ac:dyDescent="0.25">
      <c r="B309" s="936" t="s">
        <v>477</v>
      </c>
      <c r="C309" s="936"/>
      <c r="D309" s="936"/>
      <c r="E309" s="937" t="s">
        <v>479</v>
      </c>
      <c r="F309" s="946"/>
      <c r="G309" s="938"/>
      <c r="H309" s="938"/>
      <c r="I309" s="938"/>
      <c r="J309" s="946">
        <f>J310</f>
        <v>36000</v>
      </c>
      <c r="K309" s="946"/>
    </row>
    <row r="310" spans="1:12" ht="44.25" thickTop="1" thickBot="1" x14ac:dyDescent="0.25">
      <c r="B310" s="940" t="s">
        <v>478</v>
      </c>
      <c r="C310" s="940"/>
      <c r="D310" s="940"/>
      <c r="E310" s="941" t="s">
        <v>480</v>
      </c>
      <c r="F310" s="947"/>
      <c r="G310" s="947"/>
      <c r="H310" s="947"/>
      <c r="I310" s="947"/>
      <c r="J310" s="947">
        <f>J311</f>
        <v>36000</v>
      </c>
      <c r="K310" s="947"/>
    </row>
    <row r="311" spans="1:12" ht="46.5" thickTop="1" thickBot="1" x14ac:dyDescent="0.25">
      <c r="B311" s="335" t="s">
        <v>481</v>
      </c>
      <c r="C311" s="335" t="s">
        <v>254</v>
      </c>
      <c r="D311" s="335" t="s">
        <v>252</v>
      </c>
      <c r="E311" s="335" t="s">
        <v>253</v>
      </c>
      <c r="F311" s="333" t="s">
        <v>578</v>
      </c>
      <c r="G311" s="409"/>
      <c r="H311" s="410"/>
      <c r="I311" s="409"/>
      <c r="J311" s="334">
        <f>(18000)+18000</f>
        <v>36000</v>
      </c>
      <c r="K311" s="334"/>
    </row>
    <row r="312" spans="1:12" ht="31.5" thickTop="1" thickBot="1" x14ac:dyDescent="0.25">
      <c r="A312" s="571"/>
      <c r="B312" s="936" t="s">
        <v>180</v>
      </c>
      <c r="C312" s="936"/>
      <c r="D312" s="936"/>
      <c r="E312" s="937" t="s">
        <v>380</v>
      </c>
      <c r="F312" s="946"/>
      <c r="G312" s="938"/>
      <c r="H312" s="938"/>
      <c r="I312" s="938"/>
      <c r="J312" s="946">
        <f>J313</f>
        <v>1569885</v>
      </c>
      <c r="K312" s="946"/>
    </row>
    <row r="313" spans="1:12" ht="44.25" thickTop="1" thickBot="1" x14ac:dyDescent="0.25">
      <c r="A313" s="571"/>
      <c r="B313" s="940" t="s">
        <v>181</v>
      </c>
      <c r="C313" s="940"/>
      <c r="D313" s="940"/>
      <c r="E313" s="941" t="s">
        <v>381</v>
      </c>
      <c r="F313" s="947"/>
      <c r="G313" s="947"/>
      <c r="H313" s="947"/>
      <c r="I313" s="947"/>
      <c r="J313" s="947">
        <f>SUM(J314:J315)</f>
        <v>1569885</v>
      </c>
      <c r="K313" s="947"/>
    </row>
    <row r="314" spans="1:12" ht="31.5" thickTop="1" thickBot="1" x14ac:dyDescent="0.25">
      <c r="B314" s="335" t="s">
        <v>274</v>
      </c>
      <c r="C314" s="335" t="s">
        <v>275</v>
      </c>
      <c r="D314" s="335" t="s">
        <v>184</v>
      </c>
      <c r="E314" s="335" t="s">
        <v>273</v>
      </c>
      <c r="F314" s="336" t="s">
        <v>61</v>
      </c>
      <c r="G314" s="336"/>
      <c r="H314" s="337"/>
      <c r="I314" s="336"/>
      <c r="J314" s="337">
        <f>(400000)-190115</f>
        <v>209885</v>
      </c>
      <c r="K314" s="337"/>
    </row>
    <row r="315" spans="1:12" ht="91.5" thickTop="1" thickBot="1" x14ac:dyDescent="0.25">
      <c r="B315" s="332" t="s">
        <v>1101</v>
      </c>
      <c r="C315" s="332" t="s">
        <v>389</v>
      </c>
      <c r="D315" s="332" t="s">
        <v>45</v>
      </c>
      <c r="E315" s="332" t="s">
        <v>390</v>
      </c>
      <c r="F315" s="333" t="s">
        <v>1102</v>
      </c>
      <c r="G315" s="336"/>
      <c r="H315" s="337"/>
      <c r="I315" s="336"/>
      <c r="J315" s="337">
        <f>(1000000)+700000-340000</f>
        <v>1360000</v>
      </c>
      <c r="K315" s="337"/>
    </row>
    <row r="316" spans="1:12" ht="61.5" thickTop="1" thickBot="1" x14ac:dyDescent="0.25">
      <c r="B316" s="936" t="s">
        <v>178</v>
      </c>
      <c r="C316" s="936"/>
      <c r="D316" s="936"/>
      <c r="E316" s="937" t="s">
        <v>1059</v>
      </c>
      <c r="F316" s="946"/>
      <c r="G316" s="938"/>
      <c r="H316" s="938"/>
      <c r="I316" s="938"/>
      <c r="J316" s="946">
        <f>J317</f>
        <v>64000</v>
      </c>
      <c r="K316" s="946"/>
    </row>
    <row r="317" spans="1:12" ht="58.5" thickTop="1" thickBot="1" x14ac:dyDescent="0.25">
      <c r="B317" s="940" t="s">
        <v>179</v>
      </c>
      <c r="C317" s="940"/>
      <c r="D317" s="940"/>
      <c r="E317" s="941" t="s">
        <v>1060</v>
      </c>
      <c r="F317" s="947"/>
      <c r="G317" s="947"/>
      <c r="H317" s="947"/>
      <c r="I317" s="947"/>
      <c r="J317" s="947">
        <f>J318</f>
        <v>64000</v>
      </c>
      <c r="K317" s="947"/>
    </row>
    <row r="318" spans="1:12" ht="46.5" thickTop="1" thickBot="1" x14ac:dyDescent="0.25">
      <c r="B318" s="335" t="s">
        <v>450</v>
      </c>
      <c r="C318" s="335" t="s">
        <v>254</v>
      </c>
      <c r="D318" s="335" t="s">
        <v>252</v>
      </c>
      <c r="E318" s="335" t="s">
        <v>253</v>
      </c>
      <c r="F318" s="333" t="s">
        <v>578</v>
      </c>
      <c r="G318" s="336"/>
      <c r="H318" s="337"/>
      <c r="I318" s="336"/>
      <c r="J318" s="334">
        <f>(18000)+46000</f>
        <v>64000</v>
      </c>
      <c r="K318" s="337"/>
    </row>
    <row r="319" spans="1:12" ht="46.5" thickTop="1" thickBot="1" x14ac:dyDescent="0.25">
      <c r="B319" s="936" t="s">
        <v>176</v>
      </c>
      <c r="C319" s="936"/>
      <c r="D319" s="936"/>
      <c r="E319" s="937" t="s">
        <v>1068</v>
      </c>
      <c r="F319" s="946"/>
      <c r="G319" s="938"/>
      <c r="H319" s="938"/>
      <c r="I319" s="938"/>
      <c r="J319" s="946">
        <f>J320</f>
        <v>350000</v>
      </c>
      <c r="K319" s="946"/>
    </row>
    <row r="320" spans="1:12" ht="44.25" thickTop="1" thickBot="1" x14ac:dyDescent="0.25">
      <c r="B320" s="940" t="s">
        <v>177</v>
      </c>
      <c r="C320" s="940"/>
      <c r="D320" s="940"/>
      <c r="E320" s="941" t="s">
        <v>1069</v>
      </c>
      <c r="F320" s="947"/>
      <c r="G320" s="947"/>
      <c r="H320" s="947"/>
      <c r="I320" s="947"/>
      <c r="J320" s="947">
        <f>SUM(J321:J324)</f>
        <v>350000</v>
      </c>
      <c r="K320" s="947"/>
    </row>
    <row r="321" spans="1:18" ht="46.5" thickTop="1" thickBot="1" x14ac:dyDescent="0.25">
      <c r="B321" s="335" t="s">
        <v>446</v>
      </c>
      <c r="C321" s="335" t="s">
        <v>254</v>
      </c>
      <c r="D321" s="335" t="s">
        <v>252</v>
      </c>
      <c r="E321" s="335" t="s">
        <v>253</v>
      </c>
      <c r="F321" s="333" t="s">
        <v>578</v>
      </c>
      <c r="G321" s="336"/>
      <c r="H321" s="337"/>
      <c r="I321" s="336"/>
      <c r="J321" s="334">
        <v>100000</v>
      </c>
      <c r="K321" s="337"/>
    </row>
    <row r="322" spans="1:18" ht="31.5" thickTop="1" thickBot="1" x14ac:dyDescent="0.25">
      <c r="B322" s="335" t="s">
        <v>325</v>
      </c>
      <c r="C322" s="335" t="s">
        <v>326</v>
      </c>
      <c r="D322" s="335" t="s">
        <v>327</v>
      </c>
      <c r="E322" s="335" t="s">
        <v>497</v>
      </c>
      <c r="F322" s="405" t="s">
        <v>34</v>
      </c>
      <c r="G322" s="336"/>
      <c r="H322" s="337"/>
      <c r="I322" s="336"/>
      <c r="J322" s="334">
        <v>20000</v>
      </c>
      <c r="K322" s="337"/>
    </row>
    <row r="323" spans="1:18" ht="31.5" thickTop="1" thickBot="1" x14ac:dyDescent="0.25">
      <c r="B323" s="335" t="s">
        <v>325</v>
      </c>
      <c r="C323" s="335" t="s">
        <v>326</v>
      </c>
      <c r="D323" s="335" t="s">
        <v>327</v>
      </c>
      <c r="E323" s="335" t="s">
        <v>497</v>
      </c>
      <c r="F323" s="405" t="s">
        <v>35</v>
      </c>
      <c r="G323" s="336"/>
      <c r="H323" s="337"/>
      <c r="I323" s="336"/>
      <c r="J323" s="334">
        <v>180000</v>
      </c>
      <c r="K323" s="337"/>
    </row>
    <row r="324" spans="1:18" ht="46.5" thickTop="1" thickBot="1" x14ac:dyDescent="0.25">
      <c r="B324" s="335" t="s">
        <v>394</v>
      </c>
      <c r="C324" s="335" t="s">
        <v>395</v>
      </c>
      <c r="D324" s="335" t="s">
        <v>184</v>
      </c>
      <c r="E324" s="335" t="s">
        <v>396</v>
      </c>
      <c r="F324" s="405" t="s">
        <v>342</v>
      </c>
      <c r="G324" s="336"/>
      <c r="H324" s="337"/>
      <c r="I324" s="336"/>
      <c r="J324" s="334">
        <v>50000</v>
      </c>
      <c r="K324" s="337"/>
    </row>
    <row r="325" spans="1:18" ht="31.5" thickTop="1" thickBot="1" x14ac:dyDescent="0.25">
      <c r="B325" s="936" t="s">
        <v>182</v>
      </c>
      <c r="C325" s="936"/>
      <c r="D325" s="936"/>
      <c r="E325" s="937" t="s">
        <v>27</v>
      </c>
      <c r="F325" s="946"/>
      <c r="G325" s="938"/>
      <c r="H325" s="938"/>
      <c r="I325" s="938"/>
      <c r="J325" s="946">
        <f>J326</f>
        <v>65000</v>
      </c>
      <c r="K325" s="946"/>
    </row>
    <row r="326" spans="1:18" ht="44.25" thickTop="1" thickBot="1" x14ac:dyDescent="0.25">
      <c r="B326" s="940" t="s">
        <v>183</v>
      </c>
      <c r="C326" s="940"/>
      <c r="D326" s="940"/>
      <c r="E326" s="941" t="s">
        <v>42</v>
      </c>
      <c r="F326" s="947"/>
      <c r="G326" s="947"/>
      <c r="H326" s="947"/>
      <c r="I326" s="947"/>
      <c r="J326" s="947">
        <f>J327</f>
        <v>65000</v>
      </c>
      <c r="K326" s="947"/>
    </row>
    <row r="327" spans="1:18" ht="46.5" thickTop="1" thickBot="1" x14ac:dyDescent="0.25">
      <c r="B327" s="332" t="s">
        <v>448</v>
      </c>
      <c r="C327" s="332" t="s">
        <v>254</v>
      </c>
      <c r="D327" s="332" t="s">
        <v>252</v>
      </c>
      <c r="E327" s="332" t="s">
        <v>253</v>
      </c>
      <c r="F327" s="333" t="s">
        <v>578</v>
      </c>
      <c r="G327" s="336"/>
      <c r="H327" s="337"/>
      <c r="I327" s="336"/>
      <c r="J327" s="334">
        <f>25000+(40000)</f>
        <v>65000</v>
      </c>
      <c r="K327" s="337"/>
    </row>
    <row r="328" spans="1:18" ht="34.5" customHeight="1" thickTop="1" thickBot="1" x14ac:dyDescent="0.25">
      <c r="A328" s="563"/>
      <c r="B328" s="245" t="s">
        <v>408</v>
      </c>
      <c r="C328" s="245" t="s">
        <v>408</v>
      </c>
      <c r="D328" s="245" t="s">
        <v>408</v>
      </c>
      <c r="E328" s="255" t="s">
        <v>418</v>
      </c>
      <c r="F328" s="245" t="s">
        <v>408</v>
      </c>
      <c r="G328" s="245" t="s">
        <v>408</v>
      </c>
      <c r="H328" s="245" t="s">
        <v>408</v>
      </c>
      <c r="I328" s="245" t="s">
        <v>408</v>
      </c>
      <c r="J328" s="245">
        <f>J12+J20+J164+J97+J122+J151+J319+J312+J310+J303+J316+J278+J195+J181+J325</f>
        <v>645199818.30999994</v>
      </c>
      <c r="K328" s="245" t="s">
        <v>408</v>
      </c>
      <c r="L328" s="256" t="b">
        <f>J328='d3'!K359</f>
        <v>1</v>
      </c>
    </row>
    <row r="329" spans="1:18" ht="16.5" thickTop="1" x14ac:dyDescent="0.2">
      <c r="B329" s="1081" t="s">
        <v>597</v>
      </c>
      <c r="C329" s="1082"/>
      <c r="D329" s="1082"/>
      <c r="E329" s="1082"/>
      <c r="F329" s="1082"/>
      <c r="G329" s="1082"/>
      <c r="H329" s="1082"/>
      <c r="I329" s="1082"/>
      <c r="J329" s="1082"/>
      <c r="K329" s="1082"/>
      <c r="L329" s="1083"/>
      <c r="M329" s="1083"/>
      <c r="N329" s="1083"/>
      <c r="O329" s="1083"/>
      <c r="P329" s="1083"/>
      <c r="Q329" s="1083"/>
      <c r="R329" s="1083"/>
    </row>
    <row r="330" spans="1:18" ht="12" customHeight="1" x14ac:dyDescent="0.2">
      <c r="B330" s="1084"/>
      <c r="C330" s="1084"/>
      <c r="D330" s="1084"/>
      <c r="E330" s="1084"/>
      <c r="F330" s="1084"/>
      <c r="G330" s="1084"/>
      <c r="H330" s="1084"/>
      <c r="I330" s="1084"/>
      <c r="J330" s="1084"/>
      <c r="K330" s="1084"/>
    </row>
    <row r="331" spans="1:18" ht="26.45" hidden="1" customHeight="1" x14ac:dyDescent="0.2">
      <c r="B331" s="617"/>
      <c r="C331" s="617"/>
      <c r="D331" s="617" t="s">
        <v>610</v>
      </c>
      <c r="E331" s="617"/>
      <c r="F331" s="617"/>
      <c r="G331" s="617"/>
      <c r="H331" s="617"/>
      <c r="I331" s="617"/>
      <c r="J331" s="617" t="s">
        <v>605</v>
      </c>
      <c r="K331" s="617"/>
    </row>
    <row r="332" spans="1:18" ht="15" x14ac:dyDescent="0.25">
      <c r="D332" s="1027" t="s">
        <v>1532</v>
      </c>
      <c r="E332" s="1079"/>
      <c r="F332" s="694"/>
      <c r="G332" s="694" t="s">
        <v>1534</v>
      </c>
      <c r="H332" s="694"/>
      <c r="I332" s="148"/>
      <c r="J332" s="148"/>
      <c r="K332" s="147"/>
    </row>
    <row r="333" spans="1:18" ht="15" x14ac:dyDescent="0.25">
      <c r="D333" s="145"/>
      <c r="E333" s="694"/>
      <c r="F333" s="604"/>
      <c r="G333" s="694"/>
      <c r="H333" s="694"/>
      <c r="I333" s="694"/>
      <c r="J333" s="572"/>
      <c r="K333" s="572"/>
    </row>
    <row r="334" spans="1:18" ht="15" x14ac:dyDescent="0.25">
      <c r="D334" s="145"/>
      <c r="E334" s="694"/>
      <c r="F334" s="604"/>
      <c r="G334" s="147"/>
      <c r="H334" s="147"/>
      <c r="I334" s="148"/>
      <c r="J334" s="148"/>
      <c r="K334" s="147"/>
    </row>
    <row r="346" spans="7:11" ht="46.5" x14ac:dyDescent="0.2">
      <c r="K346" s="106"/>
    </row>
    <row r="349" spans="7:11" ht="46.5" x14ac:dyDescent="0.2">
      <c r="G349" s="106"/>
      <c r="K349" s="106"/>
    </row>
    <row r="368" spans="12:12" ht="90" x14ac:dyDescent="1.1499999999999999">
      <c r="L368" s="73"/>
    </row>
  </sheetData>
  <mergeCells count="55">
    <mergeCell ref="D332:E332"/>
    <mergeCell ref="I88:I89"/>
    <mergeCell ref="J88:J89"/>
    <mergeCell ref="K88:K89"/>
    <mergeCell ref="B329:R329"/>
    <mergeCell ref="B330:K330"/>
    <mergeCell ref="F88:F89"/>
    <mergeCell ref="G88:G89"/>
    <mergeCell ref="H88:H89"/>
    <mergeCell ref="B131:B133"/>
    <mergeCell ref="C131:C133"/>
    <mergeCell ref="D131:D133"/>
    <mergeCell ref="F131:F133"/>
    <mergeCell ref="G131:G133"/>
    <mergeCell ref="H131:H133"/>
    <mergeCell ref="K131:K133"/>
    <mergeCell ref="B1:K1"/>
    <mergeCell ref="G2:K2"/>
    <mergeCell ref="B4:K4"/>
    <mergeCell ref="B5:K5"/>
    <mergeCell ref="B7:C7"/>
    <mergeCell ref="B8:C8"/>
    <mergeCell ref="B88:B89"/>
    <mergeCell ref="C88:C89"/>
    <mergeCell ref="D88:D89"/>
    <mergeCell ref="E88:E89"/>
    <mergeCell ref="J131:J133"/>
    <mergeCell ref="I131:I133"/>
    <mergeCell ref="B134:B137"/>
    <mergeCell ref="C134:C137"/>
    <mergeCell ref="D134:D137"/>
    <mergeCell ref="F134:F137"/>
    <mergeCell ref="J134:J137"/>
    <mergeCell ref="G134:G137"/>
    <mergeCell ref="H134:H137"/>
    <mergeCell ref="I134:I137"/>
    <mergeCell ref="K134:K137"/>
    <mergeCell ref="B138:B140"/>
    <mergeCell ref="C138:C140"/>
    <mergeCell ref="D138:D140"/>
    <mergeCell ref="F138:F140"/>
    <mergeCell ref="J138:J140"/>
    <mergeCell ref="G138:G140"/>
    <mergeCell ref="H138:H140"/>
    <mergeCell ref="I138:I140"/>
    <mergeCell ref="K138:K140"/>
    <mergeCell ref="H141:H143"/>
    <mergeCell ref="I141:I143"/>
    <mergeCell ref="J141:J143"/>
    <mergeCell ref="K141:K143"/>
    <mergeCell ref="B141:B143"/>
    <mergeCell ref="C141:C143"/>
    <mergeCell ref="D141:D143"/>
    <mergeCell ref="F141:F143"/>
    <mergeCell ref="G141:G143"/>
  </mergeCells>
  <printOptions horizontalCentered="1"/>
  <pageMargins left="0.82677165354330717" right="0" top="0.31496062992125984" bottom="0.31496062992125984" header="0.23622047244094491" footer="0.19685039370078741"/>
  <pageSetup paperSize="9" scale="63" fitToHeight="0" orientation="landscape" r:id="rId1"/>
  <headerFooter alignWithMargins="0">
    <oddFooter>&amp;R&amp;P</oddFooter>
  </headerFooter>
  <rowBreaks count="3" manualBreakCount="3">
    <brk id="17" min="1" max="10" man="1"/>
    <brk id="40" min="1" max="10" man="1"/>
    <brk id="269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3"/>
  <sheetViews>
    <sheetView view="pageBreakPreview" zoomScale="10" zoomScaleNormal="25" zoomScaleSheetLayoutView="10" zoomScalePageLayoutView="10" workbookViewId="0">
      <pane ySplit="14" topLeftCell="A253" activePane="bottomLeft" state="frozen"/>
      <selection activeCell="F175" sqref="F175"/>
      <selection pane="bottomLeft" activeCell="G270" sqref="G270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62.28515625" style="184" customWidth="1"/>
    <col min="12" max="12" width="60.140625" style="184" bestFit="1" customWidth="1"/>
    <col min="13" max="13" width="63" style="184" bestFit="1" customWidth="1"/>
    <col min="14" max="16" width="9.140625" style="184"/>
    <col min="17" max="17" width="70.28515625" style="184" customWidth="1"/>
    <col min="18" max="16384" width="9.140625" style="132"/>
  </cols>
  <sheetData>
    <row r="1" spans="1:17" ht="45.75" x14ac:dyDescent="0.2">
      <c r="D1" s="134"/>
      <c r="E1" s="135"/>
      <c r="F1" s="133"/>
      <c r="G1" s="135"/>
      <c r="H1" s="135"/>
      <c r="I1" s="1000" t="s">
        <v>724</v>
      </c>
      <c r="J1" s="1000"/>
    </row>
    <row r="2" spans="1:17" ht="45.75" x14ac:dyDescent="0.2">
      <c r="A2" s="134"/>
      <c r="B2" s="134"/>
      <c r="C2" s="134"/>
      <c r="D2" s="134"/>
      <c r="E2" s="135"/>
      <c r="F2" s="133"/>
      <c r="G2" s="135"/>
      <c r="H2" s="135"/>
      <c r="I2" s="1000" t="s">
        <v>1243</v>
      </c>
      <c r="J2" s="1002"/>
    </row>
    <row r="3" spans="1:17" ht="40.700000000000003" customHeight="1" x14ac:dyDescent="0.2">
      <c r="A3" s="134"/>
      <c r="B3" s="134"/>
      <c r="C3" s="134"/>
      <c r="D3" s="134"/>
      <c r="E3" s="135"/>
      <c r="F3" s="133"/>
      <c r="G3" s="135"/>
      <c r="H3" s="135"/>
      <c r="I3" s="1000"/>
      <c r="J3" s="1002"/>
    </row>
    <row r="4" spans="1:17" ht="45.75" hidden="1" x14ac:dyDescent="0.2">
      <c r="A4" s="134"/>
      <c r="B4" s="134"/>
      <c r="C4" s="134"/>
      <c r="D4" s="134"/>
      <c r="E4" s="135"/>
      <c r="F4" s="133"/>
      <c r="G4" s="135"/>
      <c r="H4" s="135"/>
      <c r="I4" s="134"/>
      <c r="J4" s="133"/>
    </row>
    <row r="5" spans="1:17" ht="45" x14ac:dyDescent="0.2">
      <c r="A5" s="1003" t="s">
        <v>679</v>
      </c>
      <c r="B5" s="1003"/>
      <c r="C5" s="1003"/>
      <c r="D5" s="1003"/>
      <c r="E5" s="1003"/>
      <c r="F5" s="1003"/>
      <c r="G5" s="1003"/>
      <c r="H5" s="1003"/>
      <c r="I5" s="1003"/>
      <c r="J5" s="1003"/>
    </row>
    <row r="6" spans="1:17" s="155" customFormat="1" ht="45" x14ac:dyDescent="0.2">
      <c r="A6" s="1003" t="s">
        <v>680</v>
      </c>
      <c r="B6" s="1003"/>
      <c r="C6" s="1003"/>
      <c r="D6" s="1003"/>
      <c r="E6" s="1003"/>
      <c r="F6" s="1003"/>
      <c r="G6" s="1003"/>
      <c r="H6" s="1003"/>
      <c r="I6" s="1003"/>
      <c r="J6" s="1003"/>
      <c r="K6" s="184"/>
      <c r="L6" s="184"/>
      <c r="M6" s="184"/>
      <c r="N6" s="184"/>
      <c r="O6" s="184"/>
      <c r="P6" s="184"/>
      <c r="Q6" s="184"/>
    </row>
    <row r="7" spans="1:17" ht="45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</row>
    <row r="8" spans="1:17" ht="45" x14ac:dyDescent="0.2">
      <c r="A8" s="1003"/>
      <c r="B8" s="1003"/>
      <c r="C8" s="1003"/>
      <c r="D8" s="1003"/>
      <c r="E8" s="1003"/>
      <c r="F8" s="1003"/>
      <c r="G8" s="1003"/>
      <c r="H8" s="1003"/>
      <c r="I8" s="1003"/>
      <c r="J8" s="1003"/>
    </row>
    <row r="9" spans="1:17" ht="45.75" x14ac:dyDescent="0.65">
      <c r="A9" s="1004">
        <v>22564000000</v>
      </c>
      <c r="B9" s="1005"/>
      <c r="C9" s="953"/>
      <c r="D9" s="953"/>
      <c r="E9" s="953"/>
      <c r="F9" s="953"/>
      <c r="G9" s="953"/>
      <c r="H9" s="953"/>
      <c r="I9" s="953"/>
      <c r="J9" s="953"/>
    </row>
    <row r="10" spans="1:17" ht="45.75" x14ac:dyDescent="0.2">
      <c r="A10" s="1009" t="s">
        <v>535</v>
      </c>
      <c r="B10" s="1010"/>
      <c r="C10" s="953"/>
      <c r="D10" s="953"/>
      <c r="E10" s="953"/>
      <c r="F10" s="953"/>
      <c r="G10" s="953"/>
      <c r="H10" s="953"/>
      <c r="I10" s="953"/>
      <c r="J10" s="953"/>
    </row>
    <row r="11" spans="1:17" ht="53.45" customHeight="1" thickBot="1" x14ac:dyDescent="0.25">
      <c r="A11" s="135"/>
      <c r="B11" s="135"/>
      <c r="C11" s="135"/>
      <c r="D11" s="135"/>
      <c r="E11" s="135"/>
      <c r="F11" s="133"/>
      <c r="G11" s="135"/>
      <c r="H11" s="135"/>
      <c r="I11" s="135"/>
      <c r="J11" s="6" t="s">
        <v>431</v>
      </c>
    </row>
    <row r="12" spans="1:17" ht="104.25" customHeight="1" thickTop="1" thickBot="1" x14ac:dyDescent="0.25">
      <c r="A12" s="1008" t="s">
        <v>536</v>
      </c>
      <c r="B12" s="1008" t="s">
        <v>537</v>
      </c>
      <c r="C12" s="1008" t="s">
        <v>417</v>
      </c>
      <c r="D12" s="1008" t="s">
        <v>681</v>
      </c>
      <c r="E12" s="1008" t="s">
        <v>540</v>
      </c>
      <c r="F12" s="1008" t="s">
        <v>541</v>
      </c>
      <c r="G12" s="1008" t="s">
        <v>410</v>
      </c>
      <c r="H12" s="1008" t="s">
        <v>12</v>
      </c>
      <c r="I12" s="1006" t="s">
        <v>57</v>
      </c>
      <c r="J12" s="1007"/>
    </row>
    <row r="13" spans="1:17" ht="406.5" customHeight="1" thickTop="1" thickBot="1" x14ac:dyDescent="0.25">
      <c r="A13" s="1006"/>
      <c r="B13" s="1011"/>
      <c r="C13" s="1011"/>
      <c r="D13" s="1006"/>
      <c r="E13" s="1006"/>
      <c r="F13" s="1006"/>
      <c r="G13" s="1006"/>
      <c r="H13" s="1006"/>
      <c r="I13" s="169" t="s">
        <v>411</v>
      </c>
      <c r="J13" s="169" t="s">
        <v>412</v>
      </c>
    </row>
    <row r="14" spans="1:17" s="2" customFormat="1" ht="46.5" thickTop="1" thickBot="1" x14ac:dyDescent="0.25">
      <c r="A14" s="170" t="s">
        <v>2</v>
      </c>
      <c r="B14" s="170" t="s">
        <v>3</v>
      </c>
      <c r="C14" s="170" t="s">
        <v>14</v>
      </c>
      <c r="D14" s="170" t="s">
        <v>5</v>
      </c>
      <c r="E14" s="170" t="s">
        <v>419</v>
      </c>
      <c r="F14" s="170" t="s">
        <v>420</v>
      </c>
      <c r="G14" s="170" t="s">
        <v>421</v>
      </c>
      <c r="H14" s="170" t="s">
        <v>422</v>
      </c>
      <c r="I14" s="170" t="s">
        <v>423</v>
      </c>
      <c r="J14" s="170" t="s">
        <v>424</v>
      </c>
      <c r="K14" s="187"/>
      <c r="L14" s="187"/>
      <c r="M14" s="187"/>
      <c r="N14" s="187"/>
      <c r="O14" s="187"/>
      <c r="P14" s="187"/>
      <c r="Q14" s="187"/>
    </row>
    <row r="15" spans="1:17" s="2" customFormat="1" ht="148.69999999999999" customHeight="1" thickTop="1" thickBot="1" x14ac:dyDescent="0.25">
      <c r="A15" s="825" t="s">
        <v>162</v>
      </c>
      <c r="B15" s="825"/>
      <c r="C15" s="825"/>
      <c r="D15" s="826" t="s">
        <v>164</v>
      </c>
      <c r="E15" s="827"/>
      <c r="F15" s="828"/>
      <c r="G15" s="828">
        <f>G16</f>
        <v>29980256.77</v>
      </c>
      <c r="H15" s="828">
        <f t="shared" ref="H15:J15" si="0">H16</f>
        <v>20067292.59</v>
      </c>
      <c r="I15" s="827">
        <f>I16</f>
        <v>9912964.1799999997</v>
      </c>
      <c r="J15" s="827">
        <f t="shared" si="0"/>
        <v>6238319.5999999996</v>
      </c>
      <c r="K15" s="228" t="b">
        <f>H16='d3'!F17-'d3'!F19-'d3'!F20+'d7'!H17+'d7'!H19</f>
        <v>1</v>
      </c>
      <c r="L15" s="228" t="b">
        <f>I16='d3'!J17-'d3'!J19-'d3'!J20+'d7'!I17+'d7'!I19+I18</f>
        <v>1</v>
      </c>
      <c r="M15" s="228" t="b">
        <f>J16='d3'!K17-'d3'!K19-'d3'!K20+'d7'!J17+'d7'!J19+J18</f>
        <v>1</v>
      </c>
      <c r="N15" s="187"/>
      <c r="O15" s="187"/>
      <c r="P15" s="187"/>
      <c r="Q15" s="187"/>
    </row>
    <row r="16" spans="1:17" s="2" customFormat="1" ht="157.69999999999999" customHeight="1" thickTop="1" thickBot="1" x14ac:dyDescent="0.25">
      <c r="A16" s="829" t="s">
        <v>163</v>
      </c>
      <c r="B16" s="829"/>
      <c r="C16" s="829"/>
      <c r="D16" s="830" t="s">
        <v>165</v>
      </c>
      <c r="E16" s="831"/>
      <c r="F16" s="831"/>
      <c r="G16" s="831">
        <f>SUM(G17:G39)</f>
        <v>29980256.77</v>
      </c>
      <c r="H16" s="831">
        <f>SUM(H17:H39)</f>
        <v>20067292.59</v>
      </c>
      <c r="I16" s="831">
        <f>SUM(I17:I39)</f>
        <v>9912964.1799999997</v>
      </c>
      <c r="J16" s="831">
        <f>SUM(J17:J39)</f>
        <v>6238319.5999999996</v>
      </c>
      <c r="K16" s="187"/>
      <c r="L16" s="187"/>
      <c r="M16" s="187"/>
      <c r="N16" s="187"/>
      <c r="O16" s="187"/>
      <c r="P16" s="187"/>
      <c r="Q16" s="187"/>
    </row>
    <row r="17" spans="1:17" ht="321.75" thickTop="1" thickBot="1" x14ac:dyDescent="0.25">
      <c r="A17" s="224" t="s">
        <v>250</v>
      </c>
      <c r="B17" s="224" t="s">
        <v>251</v>
      </c>
      <c r="C17" s="224" t="s">
        <v>252</v>
      </c>
      <c r="D17" s="224" t="s">
        <v>249</v>
      </c>
      <c r="E17" s="298" t="s">
        <v>1371</v>
      </c>
      <c r="F17" s="450" t="s">
        <v>1021</v>
      </c>
      <c r="G17" s="225">
        <f t="shared" ref="G17:G26" si="1">H17+I17</f>
        <v>2069419.6</v>
      </c>
      <c r="H17" s="302"/>
      <c r="I17" s="489">
        <v>2069419.6</v>
      </c>
      <c r="J17" s="489">
        <v>2069419.6</v>
      </c>
      <c r="K17" s="217"/>
      <c r="L17" s="228" t="b">
        <f>I17+I19+I18='d3'!J19</f>
        <v>0</v>
      </c>
      <c r="M17" s="228" t="b">
        <f>J17+J19+J18='d3'!K19</f>
        <v>0</v>
      </c>
    </row>
    <row r="18" spans="1:17" s="781" customFormat="1" ht="409.6" thickTop="1" thickBot="1" x14ac:dyDescent="0.25">
      <c r="A18" s="785" t="s">
        <v>250</v>
      </c>
      <c r="B18" s="785" t="s">
        <v>251</v>
      </c>
      <c r="C18" s="785" t="s">
        <v>252</v>
      </c>
      <c r="D18" s="785" t="s">
        <v>249</v>
      </c>
      <c r="E18" s="783" t="s">
        <v>1171</v>
      </c>
      <c r="F18" s="841" t="s">
        <v>1025</v>
      </c>
      <c r="G18" s="489">
        <f t="shared" si="1"/>
        <v>381000</v>
      </c>
      <c r="H18" s="302"/>
      <c r="I18" s="489">
        <f>352000+29000</f>
        <v>381000</v>
      </c>
      <c r="J18" s="489">
        <f>352000+29000</f>
        <v>381000</v>
      </c>
      <c r="K18" s="797"/>
      <c r="L18" s="320"/>
      <c r="M18" s="320"/>
      <c r="N18" s="786"/>
      <c r="O18" s="786"/>
      <c r="P18" s="786"/>
      <c r="Q18" s="786"/>
    </row>
    <row r="19" spans="1:17" s="166" customFormat="1" ht="367.5" thickTop="1" thickBot="1" x14ac:dyDescent="0.25">
      <c r="A19" s="224" t="s">
        <v>250</v>
      </c>
      <c r="B19" s="224" t="s">
        <v>251</v>
      </c>
      <c r="C19" s="224" t="s">
        <v>252</v>
      </c>
      <c r="D19" s="224" t="s">
        <v>249</v>
      </c>
      <c r="E19" s="298" t="s">
        <v>1042</v>
      </c>
      <c r="F19" s="453" t="s">
        <v>1043</v>
      </c>
      <c r="G19" s="225">
        <f t="shared" si="1"/>
        <v>619500</v>
      </c>
      <c r="H19" s="302">
        <v>20000</v>
      </c>
      <c r="I19" s="489">
        <f>618500-19000</f>
        <v>599500</v>
      </c>
      <c r="J19" s="489">
        <f>618500-19000</f>
        <v>599500</v>
      </c>
      <c r="K19" s="218"/>
      <c r="L19" s="219"/>
      <c r="M19" s="184"/>
      <c r="N19" s="184"/>
      <c r="O19" s="184"/>
      <c r="P19" s="184"/>
      <c r="Q19" s="184"/>
    </row>
    <row r="20" spans="1:17" s="296" customFormat="1" ht="409.6" thickTop="1" thickBot="1" x14ac:dyDescent="0.25">
      <c r="A20" s="299" t="s">
        <v>774</v>
      </c>
      <c r="B20" s="299" t="s">
        <v>388</v>
      </c>
      <c r="C20" s="299" t="s">
        <v>775</v>
      </c>
      <c r="D20" s="299" t="s">
        <v>776</v>
      </c>
      <c r="E20" s="298" t="s">
        <v>1055</v>
      </c>
      <c r="F20" s="469" t="s">
        <v>1056</v>
      </c>
      <c r="G20" s="225">
        <f t="shared" si="1"/>
        <v>49000</v>
      </c>
      <c r="H20" s="302">
        <f>'d3'!E21</f>
        <v>49000</v>
      </c>
      <c r="I20" s="225"/>
      <c r="J20" s="225"/>
      <c r="K20" s="218"/>
      <c r="L20" s="219"/>
      <c r="M20" s="297"/>
      <c r="N20" s="297"/>
      <c r="O20" s="297"/>
      <c r="P20" s="297"/>
      <c r="Q20" s="297"/>
    </row>
    <row r="21" spans="1:17" ht="138.75" thickTop="1" thickBot="1" x14ac:dyDescent="0.25">
      <c r="A21" s="224" t="s">
        <v>265</v>
      </c>
      <c r="B21" s="224" t="s">
        <v>45</v>
      </c>
      <c r="C21" s="224" t="s">
        <v>44</v>
      </c>
      <c r="D21" s="224" t="s">
        <v>266</v>
      </c>
      <c r="E21" s="458" t="s">
        <v>1022</v>
      </c>
      <c r="F21" s="450" t="s">
        <v>1023</v>
      </c>
      <c r="G21" s="225">
        <f t="shared" si="1"/>
        <v>1300000</v>
      </c>
      <c r="H21" s="302">
        <f>(1500000)-200000</f>
        <v>1300000</v>
      </c>
      <c r="I21" s="225"/>
      <c r="J21" s="225"/>
      <c r="K21" s="1098" t="b">
        <f>H21+H22='d3'!E22</f>
        <v>1</v>
      </c>
      <c r="L21" s="1098"/>
      <c r="M21" s="1098"/>
    </row>
    <row r="22" spans="1:17" ht="184.5" customHeight="1" thickTop="1" thickBot="1" x14ac:dyDescent="0.25">
      <c r="A22" s="224" t="s">
        <v>265</v>
      </c>
      <c r="B22" s="224" t="s">
        <v>45</v>
      </c>
      <c r="C22" s="224" t="s">
        <v>44</v>
      </c>
      <c r="D22" s="224" t="s">
        <v>266</v>
      </c>
      <c r="E22" s="298" t="s">
        <v>1026</v>
      </c>
      <c r="F22" s="450" t="s">
        <v>1027</v>
      </c>
      <c r="G22" s="225">
        <f t="shared" si="1"/>
        <v>1635750</v>
      </c>
      <c r="H22" s="302">
        <f>(20000+41000+1549750)+25000</f>
        <v>1635750</v>
      </c>
      <c r="I22" s="225"/>
      <c r="J22" s="225"/>
      <c r="K22" s="977"/>
      <c r="L22" s="977"/>
      <c r="M22" s="977"/>
    </row>
    <row r="23" spans="1:17" ht="138.75" thickTop="1" thickBot="1" x14ac:dyDescent="0.25">
      <c r="A23" s="224" t="s">
        <v>256</v>
      </c>
      <c r="B23" s="224" t="s">
        <v>257</v>
      </c>
      <c r="C23" s="224" t="s">
        <v>258</v>
      </c>
      <c r="D23" s="224" t="s">
        <v>255</v>
      </c>
      <c r="E23" s="298" t="s">
        <v>1371</v>
      </c>
      <c r="F23" s="450" t="s">
        <v>1021</v>
      </c>
      <c r="G23" s="225">
        <f t="shared" si="1"/>
        <v>5892400</v>
      </c>
      <c r="H23" s="225">
        <f>'d3'!E25</f>
        <v>4392400</v>
      </c>
      <c r="I23" s="225">
        <f>'d3'!J25</f>
        <v>1500000</v>
      </c>
      <c r="J23" s="225">
        <f>'d3'!K25</f>
        <v>1500000</v>
      </c>
      <c r="K23" s="228" t="b">
        <f>H23='d3'!E25</f>
        <v>1</v>
      </c>
      <c r="L23" s="229" t="b">
        <f>I23='d3'!J25</f>
        <v>1</v>
      </c>
      <c r="M23" s="230" t="b">
        <f>J23='d3'!K25</f>
        <v>1</v>
      </c>
    </row>
    <row r="24" spans="1:17" s="643" customFormat="1" ht="230.25" thickTop="1" thickBot="1" x14ac:dyDescent="0.25">
      <c r="A24" s="646" t="s">
        <v>1276</v>
      </c>
      <c r="B24" s="646" t="s">
        <v>1277</v>
      </c>
      <c r="C24" s="646" t="s">
        <v>258</v>
      </c>
      <c r="D24" s="646" t="s">
        <v>1278</v>
      </c>
      <c r="E24" s="298" t="s">
        <v>1371</v>
      </c>
      <c r="F24" s="644" t="s">
        <v>1021</v>
      </c>
      <c r="G24" s="225">
        <f t="shared" si="1"/>
        <v>250000</v>
      </c>
      <c r="H24" s="225">
        <f>'d3'!E26</f>
        <v>250000</v>
      </c>
      <c r="I24" s="225">
        <f>'d3'!J26</f>
        <v>0</v>
      </c>
      <c r="J24" s="225">
        <f>'d3'!K26</f>
        <v>0</v>
      </c>
      <c r="K24" s="228" t="b">
        <f>H24='d3'!E26</f>
        <v>1</v>
      </c>
      <c r="L24" s="229" t="b">
        <f>I24='d3'!J26</f>
        <v>1</v>
      </c>
      <c r="M24" s="230" t="b">
        <f>J24='d3'!K26</f>
        <v>1</v>
      </c>
      <c r="N24" s="647"/>
      <c r="O24" s="647"/>
      <c r="P24" s="647"/>
      <c r="Q24" s="647"/>
    </row>
    <row r="25" spans="1:17" ht="230.25" thickTop="1" thickBot="1" x14ac:dyDescent="0.25">
      <c r="A25" s="299" t="s">
        <v>318</v>
      </c>
      <c r="B25" s="299" t="s">
        <v>319</v>
      </c>
      <c r="C25" s="299" t="s">
        <v>184</v>
      </c>
      <c r="D25" s="299" t="s">
        <v>475</v>
      </c>
      <c r="E25" s="298" t="s">
        <v>1026</v>
      </c>
      <c r="F25" s="450" t="s">
        <v>1027</v>
      </c>
      <c r="G25" s="225">
        <f t="shared" si="1"/>
        <v>290200</v>
      </c>
      <c r="H25" s="225">
        <f>'d3'!E28</f>
        <v>290200</v>
      </c>
      <c r="I25" s="225">
        <f>'d3'!J28</f>
        <v>0</v>
      </c>
      <c r="J25" s="225">
        <f>'d3'!K28</f>
        <v>0</v>
      </c>
      <c r="K25" s="228" t="b">
        <f>H25='d3'!E28</f>
        <v>1</v>
      </c>
      <c r="L25" s="229" t="b">
        <f>I25='d3'!J28</f>
        <v>1</v>
      </c>
      <c r="M25" s="230" t="b">
        <f>J25='d3'!K28</f>
        <v>1</v>
      </c>
    </row>
    <row r="26" spans="1:17" ht="364.5" customHeight="1" thickTop="1" thickBot="1" x14ac:dyDescent="0.7">
      <c r="A26" s="1101" t="s">
        <v>364</v>
      </c>
      <c r="B26" s="1101" t="s">
        <v>363</v>
      </c>
      <c r="C26" s="1101" t="s">
        <v>184</v>
      </c>
      <c r="D26" s="303" t="s">
        <v>473</v>
      </c>
      <c r="E26" s="1101" t="s">
        <v>1026</v>
      </c>
      <c r="F26" s="1101" t="s">
        <v>1027</v>
      </c>
      <c r="G26" s="1103">
        <f t="shared" si="1"/>
        <v>3674644.58</v>
      </c>
      <c r="H26" s="1103">
        <f>'d3'!E30</f>
        <v>0</v>
      </c>
      <c r="I26" s="1103">
        <f>'d3'!J30</f>
        <v>3674644.58</v>
      </c>
      <c r="J26" s="1103">
        <f>'d3'!K30</f>
        <v>0</v>
      </c>
      <c r="K26" s="228" t="b">
        <f>H26='d3'!E30</f>
        <v>1</v>
      </c>
      <c r="L26" s="229" t="b">
        <f>I26='d3'!J30</f>
        <v>1</v>
      </c>
      <c r="M26" s="230" t="b">
        <f>J26='d3'!K30</f>
        <v>1</v>
      </c>
    </row>
    <row r="27" spans="1:17" ht="184.5" thickTop="1" thickBot="1" x14ac:dyDescent="0.25">
      <c r="A27" s="1102"/>
      <c r="B27" s="1102"/>
      <c r="C27" s="1102"/>
      <c r="D27" s="304" t="s">
        <v>474</v>
      </c>
      <c r="E27" s="1102"/>
      <c r="F27" s="1102"/>
      <c r="G27" s="1104"/>
      <c r="H27" s="1104"/>
      <c r="I27" s="1104"/>
      <c r="J27" s="1104"/>
      <c r="K27" s="79"/>
      <c r="L27" s="79"/>
      <c r="M27" s="79"/>
    </row>
    <row r="28" spans="1:17" s="500" customFormat="1" ht="276" thickTop="1" thickBot="1" x14ac:dyDescent="0.25">
      <c r="A28" s="502" t="s">
        <v>1119</v>
      </c>
      <c r="B28" s="502" t="s">
        <v>275</v>
      </c>
      <c r="C28" s="502" t="s">
        <v>184</v>
      </c>
      <c r="D28" s="502" t="s">
        <v>273</v>
      </c>
      <c r="E28" s="501" t="s">
        <v>482</v>
      </c>
      <c r="F28" s="276" t="s">
        <v>458</v>
      </c>
      <c r="G28" s="225">
        <f>H28+I28</f>
        <v>1600542.59</v>
      </c>
      <c r="H28" s="225">
        <f>'d3'!E32</f>
        <v>1600542.59</v>
      </c>
      <c r="I28" s="225">
        <f>'d3'!J32</f>
        <v>0</v>
      </c>
      <c r="J28" s="225">
        <f>'d3'!K32</f>
        <v>0</v>
      </c>
      <c r="K28" s="79"/>
      <c r="L28" s="79"/>
      <c r="M28" s="79"/>
      <c r="N28" s="503"/>
      <c r="O28" s="503"/>
      <c r="P28" s="503"/>
      <c r="Q28" s="503"/>
    </row>
    <row r="29" spans="1:17" ht="255.75" customHeight="1" thickTop="1" thickBot="1" x14ac:dyDescent="0.25">
      <c r="A29" s="224" t="s">
        <v>259</v>
      </c>
      <c r="B29" s="224" t="s">
        <v>260</v>
      </c>
      <c r="C29" s="224" t="s">
        <v>261</v>
      </c>
      <c r="D29" s="224" t="s">
        <v>262</v>
      </c>
      <c r="E29" s="225" t="s">
        <v>1061</v>
      </c>
      <c r="F29" s="469" t="s">
        <v>1062</v>
      </c>
      <c r="G29" s="225">
        <f>H29+I29</f>
        <v>6359300</v>
      </c>
      <c r="H29" s="225">
        <f>'d3'!E35</f>
        <v>6359300</v>
      </c>
      <c r="I29" s="225">
        <f>'d3'!J35</f>
        <v>0</v>
      </c>
      <c r="J29" s="225">
        <f>'d3'!K35</f>
        <v>0</v>
      </c>
      <c r="K29" s="228" t="b">
        <f>H29='d3'!E35</f>
        <v>1</v>
      </c>
      <c r="L29" s="229" t="b">
        <f>I29='d3'!J35</f>
        <v>1</v>
      </c>
      <c r="M29" s="230" t="b">
        <f>J29='d3'!K35</f>
        <v>1</v>
      </c>
    </row>
    <row r="30" spans="1:17" ht="276" thickTop="1" thickBot="1" x14ac:dyDescent="0.25">
      <c r="A30" s="275" t="s">
        <v>263</v>
      </c>
      <c r="B30" s="275" t="s">
        <v>264</v>
      </c>
      <c r="C30" s="275" t="s">
        <v>45</v>
      </c>
      <c r="D30" s="275" t="s">
        <v>476</v>
      </c>
      <c r="E30" s="298" t="s">
        <v>1026</v>
      </c>
      <c r="F30" s="450" t="s">
        <v>1027</v>
      </c>
      <c r="G30" s="285">
        <f>H30+I30</f>
        <v>300000</v>
      </c>
      <c r="H30" s="306">
        <f>'d3'!E38</f>
        <v>300000</v>
      </c>
      <c r="I30" s="285">
        <f>'d3'!J38</f>
        <v>0</v>
      </c>
      <c r="J30" s="285">
        <f>'d3'!K38</f>
        <v>0</v>
      </c>
      <c r="K30" s="228" t="b">
        <f>H30='d3'!E38</f>
        <v>1</v>
      </c>
      <c r="L30" s="229" t="b">
        <f>I30='d3'!J38</f>
        <v>1</v>
      </c>
      <c r="M30" s="229" t="b">
        <f>J30='d3'!K38</f>
        <v>1</v>
      </c>
    </row>
    <row r="31" spans="1:17" s="182" customFormat="1" ht="230.25" thickTop="1" thickBot="1" x14ac:dyDescent="0.25">
      <c r="A31" s="295" t="s">
        <v>694</v>
      </c>
      <c r="B31" s="295" t="s">
        <v>389</v>
      </c>
      <c r="C31" s="295" t="s">
        <v>45</v>
      </c>
      <c r="D31" s="295" t="s">
        <v>390</v>
      </c>
      <c r="E31" s="298" t="s">
        <v>1026</v>
      </c>
      <c r="F31" s="450" t="s">
        <v>1027</v>
      </c>
      <c r="G31" s="285">
        <f>H31+I31</f>
        <v>120100</v>
      </c>
      <c r="H31" s="306">
        <f>'d3'!E39</f>
        <v>120100</v>
      </c>
      <c r="I31" s="285">
        <f>'d3'!J39</f>
        <v>0</v>
      </c>
      <c r="J31" s="285">
        <f>'d3'!K39</f>
        <v>0</v>
      </c>
      <c r="K31" s="228" t="b">
        <f>H31='d3'!E39</f>
        <v>1</v>
      </c>
      <c r="L31" s="229" t="b">
        <f>I31='d3'!J39</f>
        <v>1</v>
      </c>
      <c r="M31" s="229" t="b">
        <f>J31='d3'!K39</f>
        <v>1</v>
      </c>
      <c r="N31" s="206"/>
      <c r="O31" s="206"/>
      <c r="P31" s="206"/>
      <c r="Q31" s="206"/>
    </row>
    <row r="32" spans="1:17" ht="276" thickTop="1" thickBot="1" x14ac:dyDescent="0.25">
      <c r="A32" s="549" t="s">
        <v>560</v>
      </c>
      <c r="B32" s="549" t="s">
        <v>561</v>
      </c>
      <c r="C32" s="549" t="s">
        <v>45</v>
      </c>
      <c r="D32" s="549" t="s">
        <v>562</v>
      </c>
      <c r="E32" s="546" t="s">
        <v>1214</v>
      </c>
      <c r="F32" s="276" t="s">
        <v>1170</v>
      </c>
      <c r="G32" s="546">
        <f t="shared" ref="G32:G39" si="2">H32+I32</f>
        <v>1800000</v>
      </c>
      <c r="H32" s="546">
        <f>120000+(400000+80000+400000+80000+60000+200000+80000)</f>
        <v>1420000</v>
      </c>
      <c r="I32" s="546">
        <f>80000+300000</f>
        <v>380000</v>
      </c>
      <c r="J32" s="546">
        <f>80000+300000</f>
        <v>380000</v>
      </c>
      <c r="K32" s="228" t="b">
        <f>H32+H33+H34+H35+H36+H37+H39+H38='d3'!E40</f>
        <v>1</v>
      </c>
      <c r="L32" s="229" t="b">
        <f>I32+I33+I34+I35+I36+I37+I39='d3'!J40</f>
        <v>1</v>
      </c>
      <c r="M32" s="229" t="b">
        <f>J32+J33+J34+J35+J36+J37+J39='d3'!K40</f>
        <v>1</v>
      </c>
    </row>
    <row r="33" spans="1:17" s="545" customFormat="1" ht="409.6" thickTop="1" thickBot="1" x14ac:dyDescent="0.25">
      <c r="A33" s="549" t="s">
        <v>560</v>
      </c>
      <c r="B33" s="549" t="s">
        <v>561</v>
      </c>
      <c r="C33" s="549" t="s">
        <v>45</v>
      </c>
      <c r="D33" s="549" t="s">
        <v>562</v>
      </c>
      <c r="E33" s="783" t="s">
        <v>1171</v>
      </c>
      <c r="F33" s="546" t="s">
        <v>1025</v>
      </c>
      <c r="G33" s="546">
        <f t="shared" si="2"/>
        <v>1000000</v>
      </c>
      <c r="H33" s="546">
        <f>(500000)+500000</f>
        <v>1000000</v>
      </c>
      <c r="I33" s="546">
        <v>0</v>
      </c>
      <c r="J33" s="546">
        <v>0</v>
      </c>
      <c r="K33" s="217"/>
      <c r="L33" s="220"/>
      <c r="M33" s="221"/>
      <c r="N33" s="553"/>
      <c r="O33" s="553"/>
      <c r="P33" s="553"/>
      <c r="Q33" s="553"/>
    </row>
    <row r="34" spans="1:17" s="545" customFormat="1" ht="367.5" thickTop="1" thickBot="1" x14ac:dyDescent="0.25">
      <c r="A34" s="549" t="s">
        <v>560</v>
      </c>
      <c r="B34" s="549" t="s">
        <v>561</v>
      </c>
      <c r="C34" s="549" t="s">
        <v>45</v>
      </c>
      <c r="D34" s="549" t="s">
        <v>562</v>
      </c>
      <c r="E34" s="546" t="s">
        <v>1378</v>
      </c>
      <c r="F34" s="546" t="s">
        <v>1172</v>
      </c>
      <c r="G34" s="546">
        <f t="shared" si="2"/>
        <v>880000</v>
      </c>
      <c r="H34" s="546">
        <f>(500000)+300000+80000</f>
        <v>880000</v>
      </c>
      <c r="I34" s="546">
        <v>0</v>
      </c>
      <c r="J34" s="546">
        <v>0</v>
      </c>
      <c r="K34" s="217"/>
      <c r="L34" s="220"/>
      <c r="M34" s="221"/>
      <c r="N34" s="553"/>
      <c r="O34" s="553"/>
      <c r="P34" s="553"/>
      <c r="Q34" s="553"/>
    </row>
    <row r="35" spans="1:17" s="545" customFormat="1" ht="230.25" thickTop="1" thickBot="1" x14ac:dyDescent="0.25">
      <c r="A35" s="549" t="s">
        <v>560</v>
      </c>
      <c r="B35" s="549" t="s">
        <v>561</v>
      </c>
      <c r="C35" s="549" t="s">
        <v>45</v>
      </c>
      <c r="D35" s="549" t="s">
        <v>562</v>
      </c>
      <c r="E35" s="584" t="s">
        <v>1207</v>
      </c>
      <c r="F35" s="584" t="s">
        <v>1208</v>
      </c>
      <c r="G35" s="546">
        <f t="shared" si="2"/>
        <v>648400</v>
      </c>
      <c r="H35" s="546">
        <v>300000</v>
      </c>
      <c r="I35" s="546">
        <v>348400</v>
      </c>
      <c r="J35" s="546">
        <v>348400</v>
      </c>
      <c r="K35" s="217"/>
      <c r="L35" s="220"/>
      <c r="M35" s="221"/>
      <c r="N35" s="553"/>
      <c r="O35" s="553"/>
      <c r="P35" s="553"/>
      <c r="Q35" s="553"/>
    </row>
    <row r="36" spans="1:17" s="545" customFormat="1" ht="409.6" thickTop="1" thickBot="1" x14ac:dyDescent="0.25">
      <c r="A36" s="549" t="s">
        <v>560</v>
      </c>
      <c r="B36" s="549" t="s">
        <v>561</v>
      </c>
      <c r="C36" s="549" t="s">
        <v>45</v>
      </c>
      <c r="D36" s="549" t="s">
        <v>562</v>
      </c>
      <c r="E36" s="584" t="s">
        <v>1209</v>
      </c>
      <c r="F36" s="584" t="s">
        <v>1210</v>
      </c>
      <c r="G36" s="546">
        <f t="shared" si="2"/>
        <v>880000</v>
      </c>
      <c r="H36" s="546">
        <v>0</v>
      </c>
      <c r="I36" s="546">
        <f>(500000)+380000</f>
        <v>880000</v>
      </c>
      <c r="J36" s="546">
        <f>(500000)+380000</f>
        <v>880000</v>
      </c>
      <c r="K36" s="217"/>
      <c r="L36" s="220"/>
      <c r="M36" s="221"/>
      <c r="N36" s="553"/>
      <c r="O36" s="553"/>
      <c r="P36" s="553"/>
      <c r="Q36" s="553"/>
    </row>
    <row r="37" spans="1:17" s="545" customFormat="1" ht="367.5" thickTop="1" thickBot="1" x14ac:dyDescent="0.25">
      <c r="A37" s="549" t="s">
        <v>560</v>
      </c>
      <c r="B37" s="549" t="s">
        <v>561</v>
      </c>
      <c r="C37" s="549" t="s">
        <v>45</v>
      </c>
      <c r="D37" s="549" t="s">
        <v>562</v>
      </c>
      <c r="E37" s="584" t="s">
        <v>1222</v>
      </c>
      <c r="F37" s="584" t="s">
        <v>1211</v>
      </c>
      <c r="G37" s="546">
        <f t="shared" si="2"/>
        <v>80000</v>
      </c>
      <c r="H37" s="546">
        <v>0</v>
      </c>
      <c r="I37" s="546">
        <v>80000</v>
      </c>
      <c r="J37" s="546">
        <v>80000</v>
      </c>
      <c r="K37" s="217"/>
      <c r="L37" s="220"/>
      <c r="M37" s="221"/>
      <c r="N37" s="553"/>
      <c r="O37" s="553"/>
      <c r="P37" s="553"/>
      <c r="Q37" s="553"/>
    </row>
    <row r="38" spans="1:17" s="658" customFormat="1" ht="409.6" thickTop="1" thickBot="1" x14ac:dyDescent="0.25">
      <c r="A38" s="661" t="s">
        <v>560</v>
      </c>
      <c r="B38" s="661" t="s">
        <v>561</v>
      </c>
      <c r="C38" s="661" t="s">
        <v>45</v>
      </c>
      <c r="D38" s="661" t="s">
        <v>562</v>
      </c>
      <c r="E38" s="660" t="s">
        <v>1370</v>
      </c>
      <c r="F38" s="705" t="s">
        <v>1372</v>
      </c>
      <c r="G38" s="662">
        <f t="shared" si="2"/>
        <v>50000</v>
      </c>
      <c r="H38" s="662">
        <v>50000</v>
      </c>
      <c r="I38" s="662"/>
      <c r="J38" s="662"/>
      <c r="K38" s="217"/>
      <c r="L38" s="220"/>
      <c r="M38" s="221"/>
      <c r="N38" s="666"/>
      <c r="O38" s="666"/>
      <c r="P38" s="666"/>
      <c r="Q38" s="666"/>
    </row>
    <row r="39" spans="1:17" s="545" customFormat="1" ht="276" thickTop="1" thickBot="1" x14ac:dyDescent="0.25">
      <c r="A39" s="549" t="s">
        <v>560</v>
      </c>
      <c r="B39" s="549" t="s">
        <v>561</v>
      </c>
      <c r="C39" s="549" t="s">
        <v>45</v>
      </c>
      <c r="D39" s="549" t="s">
        <v>562</v>
      </c>
      <c r="E39" s="584" t="s">
        <v>1212</v>
      </c>
      <c r="F39" s="584" t="s">
        <v>1213</v>
      </c>
      <c r="G39" s="546">
        <f t="shared" si="2"/>
        <v>100000</v>
      </c>
      <c r="H39" s="546">
        <v>100000</v>
      </c>
      <c r="I39" s="546">
        <v>0</v>
      </c>
      <c r="J39" s="546">
        <v>0</v>
      </c>
      <c r="K39" s="217"/>
      <c r="L39" s="220"/>
      <c r="M39" s="221"/>
      <c r="N39" s="553"/>
      <c r="O39" s="553"/>
      <c r="P39" s="553"/>
      <c r="Q39" s="553"/>
    </row>
    <row r="40" spans="1:17" ht="136.5" thickTop="1" thickBot="1" x14ac:dyDescent="0.25">
      <c r="A40" s="825" t="s">
        <v>166</v>
      </c>
      <c r="B40" s="825"/>
      <c r="C40" s="825"/>
      <c r="D40" s="826" t="s">
        <v>0</v>
      </c>
      <c r="E40" s="827"/>
      <c r="F40" s="828"/>
      <c r="G40" s="828">
        <f>G41</f>
        <v>1822227435.2</v>
      </c>
      <c r="H40" s="828">
        <f t="shared" ref="H40:J40" si="3">H41</f>
        <v>1613809580.29</v>
      </c>
      <c r="I40" s="827">
        <f t="shared" si="3"/>
        <v>208417854.91000003</v>
      </c>
      <c r="J40" s="827">
        <f t="shared" si="3"/>
        <v>60952190.910000004</v>
      </c>
      <c r="K40" s="228" t="b">
        <f>H40='d3'!E42</f>
        <v>1</v>
      </c>
      <c r="L40" s="229" t="b">
        <f>I40='d3'!J42</f>
        <v>1</v>
      </c>
      <c r="M40" s="230" t="b">
        <f>J40='d3'!K41</f>
        <v>1</v>
      </c>
    </row>
    <row r="41" spans="1:17" ht="172.5" customHeight="1" thickTop="1" thickBot="1" x14ac:dyDescent="0.25">
      <c r="A41" s="829" t="s">
        <v>167</v>
      </c>
      <c r="B41" s="829"/>
      <c r="C41" s="829"/>
      <c r="D41" s="830" t="s">
        <v>1</v>
      </c>
      <c r="E41" s="831"/>
      <c r="F41" s="831"/>
      <c r="G41" s="831">
        <f>SUM(G42:G73)</f>
        <v>1822227435.2</v>
      </c>
      <c r="H41" s="831">
        <f>SUM(H42:H73)</f>
        <v>1613809580.29</v>
      </c>
      <c r="I41" s="831">
        <f>SUM(I42:I73)</f>
        <v>208417854.91000003</v>
      </c>
      <c r="J41" s="831">
        <f>SUM(J42:J73)</f>
        <v>60952190.910000004</v>
      </c>
    </row>
    <row r="42" spans="1:17" ht="230.25" thickTop="1" thickBot="1" x14ac:dyDescent="0.25">
      <c r="A42" s="330" t="s">
        <v>216</v>
      </c>
      <c r="B42" s="330" t="s">
        <v>217</v>
      </c>
      <c r="C42" s="330" t="s">
        <v>219</v>
      </c>
      <c r="D42" s="330" t="s">
        <v>220</v>
      </c>
      <c r="E42" s="168" t="s">
        <v>702</v>
      </c>
      <c r="F42" s="329" t="s">
        <v>439</v>
      </c>
      <c r="G42" s="329">
        <f t="shared" ref="G42:G54" si="4">H42+I42</f>
        <v>540772912.37</v>
      </c>
      <c r="H42" s="329">
        <f>'d3'!E44-H43</f>
        <v>467276315</v>
      </c>
      <c r="I42" s="329">
        <f>'d3'!J44-I43</f>
        <v>73496597.370000005</v>
      </c>
      <c r="J42" s="329">
        <f>'d3'!K44-J43</f>
        <v>8950877.370000001</v>
      </c>
      <c r="K42" s="228" t="b">
        <f>H42+H43='d3'!E44</f>
        <v>1</v>
      </c>
      <c r="L42" s="229" t="b">
        <f>I42+I43='d3'!J44</f>
        <v>1</v>
      </c>
      <c r="M42" s="229" t="b">
        <f>J42+J43='d3'!K44</f>
        <v>1</v>
      </c>
    </row>
    <row r="43" spans="1:17" s="226" customFormat="1" ht="230.25" thickTop="1" thickBot="1" x14ac:dyDescent="0.25">
      <c r="A43" s="330" t="s">
        <v>216</v>
      </c>
      <c r="B43" s="330" t="s">
        <v>217</v>
      </c>
      <c r="C43" s="330" t="s">
        <v>219</v>
      </c>
      <c r="D43" s="330" t="s">
        <v>220</v>
      </c>
      <c r="E43" s="168" t="s">
        <v>485</v>
      </c>
      <c r="F43" s="276" t="s">
        <v>486</v>
      </c>
      <c r="G43" s="329">
        <f>H43+I43</f>
        <v>590000</v>
      </c>
      <c r="H43" s="329">
        <f>(37683.94+102316.06+90274+29393+150000+101020+33980)-228977.94+274310.94</f>
        <v>590000</v>
      </c>
      <c r="I43" s="329">
        <f>(30333+15000)-45333</f>
        <v>0</v>
      </c>
      <c r="J43" s="329">
        <f>(30333+15000)-45333</f>
        <v>0</v>
      </c>
      <c r="K43" s="227"/>
      <c r="L43" s="227"/>
      <c r="M43" s="227"/>
      <c r="N43" s="227"/>
      <c r="O43" s="227"/>
      <c r="P43" s="227"/>
      <c r="Q43" s="227"/>
    </row>
    <row r="44" spans="1:17" ht="230.25" thickTop="1" thickBot="1" x14ac:dyDescent="0.25">
      <c r="A44" s="349" t="s">
        <v>796</v>
      </c>
      <c r="B44" s="349" t="s">
        <v>797</v>
      </c>
      <c r="C44" s="349" t="s">
        <v>222</v>
      </c>
      <c r="D44" s="349" t="s">
        <v>798</v>
      </c>
      <c r="E44" s="168" t="s">
        <v>702</v>
      </c>
      <c r="F44" s="350" t="s">
        <v>439</v>
      </c>
      <c r="G44" s="350">
        <f t="shared" si="4"/>
        <v>367258827.69</v>
      </c>
      <c r="H44" s="350">
        <f>'d3'!E46-H45-H46</f>
        <v>288996494.13999999</v>
      </c>
      <c r="I44" s="350">
        <f>'d3'!J46-I45-I46</f>
        <v>78262333.550000012</v>
      </c>
      <c r="J44" s="350">
        <f>'d3'!K46-J45-J46</f>
        <v>25517313.550000004</v>
      </c>
      <c r="K44" s="228" t="b">
        <f>H44+H45+H46='d3'!E46</f>
        <v>1</v>
      </c>
      <c r="L44" s="229" t="b">
        <f>I44+I45+I46='d3'!J46</f>
        <v>1</v>
      </c>
      <c r="M44" s="229" t="b">
        <f>J44+J45+J46='d3'!K46</f>
        <v>1</v>
      </c>
    </row>
    <row r="45" spans="1:17" ht="230.25" thickTop="1" thickBot="1" x14ac:dyDescent="0.25">
      <c r="A45" s="349" t="s">
        <v>796</v>
      </c>
      <c r="B45" s="349" t="s">
        <v>797</v>
      </c>
      <c r="C45" s="349" t="s">
        <v>222</v>
      </c>
      <c r="D45" s="349" t="s">
        <v>798</v>
      </c>
      <c r="E45" s="168" t="s">
        <v>703</v>
      </c>
      <c r="F45" s="350" t="s">
        <v>435</v>
      </c>
      <c r="G45" s="350">
        <f t="shared" si="4"/>
        <v>7730217</v>
      </c>
      <c r="H45" s="350">
        <v>7730217</v>
      </c>
      <c r="I45" s="350">
        <v>0</v>
      </c>
      <c r="J45" s="350">
        <v>0</v>
      </c>
      <c r="K45" s="168" t="s">
        <v>675</v>
      </c>
    </row>
    <row r="46" spans="1:17" ht="230.25" thickTop="1" thickBot="1" x14ac:dyDescent="0.25">
      <c r="A46" s="349" t="s">
        <v>796</v>
      </c>
      <c r="B46" s="349" t="s">
        <v>797</v>
      </c>
      <c r="C46" s="349" t="s">
        <v>222</v>
      </c>
      <c r="D46" s="349" t="s">
        <v>798</v>
      </c>
      <c r="E46" s="168" t="s">
        <v>485</v>
      </c>
      <c r="F46" s="276" t="s">
        <v>486</v>
      </c>
      <c r="G46" s="350">
        <f>H46+I46</f>
        <v>150000</v>
      </c>
      <c r="H46" s="350">
        <f>(45200+12350)</f>
        <v>57550</v>
      </c>
      <c r="I46" s="350">
        <f>92450</f>
        <v>92450</v>
      </c>
      <c r="J46" s="350">
        <v>92450</v>
      </c>
    </row>
    <row r="47" spans="1:17" ht="276" thickTop="1" thickBot="1" x14ac:dyDescent="0.25">
      <c r="A47" s="349" t="s">
        <v>806</v>
      </c>
      <c r="B47" s="349" t="s">
        <v>807</v>
      </c>
      <c r="C47" s="349" t="s">
        <v>225</v>
      </c>
      <c r="D47" s="349" t="s">
        <v>543</v>
      </c>
      <c r="E47" s="168" t="s">
        <v>702</v>
      </c>
      <c r="F47" s="350" t="s">
        <v>439</v>
      </c>
      <c r="G47" s="350">
        <f t="shared" si="4"/>
        <v>20476331</v>
      </c>
      <c r="H47" s="350">
        <f>'d3'!E47-H48</f>
        <v>19558978</v>
      </c>
      <c r="I47" s="350">
        <f>'d3'!J47-I48</f>
        <v>917353</v>
      </c>
      <c r="J47" s="350">
        <f>'d3'!K47-J48</f>
        <v>865453</v>
      </c>
      <c r="K47" s="228" t="b">
        <f>H47+H48='d3'!E47</f>
        <v>1</v>
      </c>
      <c r="L47" s="228" t="b">
        <f>I47+I48='d3'!J47</f>
        <v>1</v>
      </c>
      <c r="M47" s="228" t="b">
        <f>J47+J48='d3'!K47</f>
        <v>1</v>
      </c>
    </row>
    <row r="48" spans="1:17" ht="276" thickTop="1" thickBot="1" x14ac:dyDescent="0.25">
      <c r="A48" s="349" t="s">
        <v>806</v>
      </c>
      <c r="B48" s="349" t="s">
        <v>807</v>
      </c>
      <c r="C48" s="349" t="s">
        <v>225</v>
      </c>
      <c r="D48" s="349" t="s">
        <v>543</v>
      </c>
      <c r="E48" s="168" t="s">
        <v>703</v>
      </c>
      <c r="F48" s="350" t="s">
        <v>435</v>
      </c>
      <c r="G48" s="350">
        <f t="shared" si="4"/>
        <v>2868354</v>
      </c>
      <c r="H48" s="350">
        <f>(2866404)+1950</f>
        <v>2868354</v>
      </c>
      <c r="I48" s="350"/>
      <c r="J48" s="350"/>
      <c r="K48" s="168" t="s">
        <v>676</v>
      </c>
    </row>
    <row r="49" spans="1:17" s="649" customFormat="1" ht="230.25" thickTop="1" thickBot="1" x14ac:dyDescent="0.25">
      <c r="A49" s="651" t="s">
        <v>1306</v>
      </c>
      <c r="B49" s="651" t="s">
        <v>1307</v>
      </c>
      <c r="C49" s="651" t="s">
        <v>225</v>
      </c>
      <c r="D49" s="651" t="s">
        <v>1308</v>
      </c>
      <c r="E49" s="168" t="s">
        <v>702</v>
      </c>
      <c r="F49" s="650" t="s">
        <v>439</v>
      </c>
      <c r="G49" s="650">
        <f t="shared" si="4"/>
        <v>7604732.8200000003</v>
      </c>
      <c r="H49" s="650">
        <f>'d3'!E48</f>
        <v>7604732.8200000003</v>
      </c>
      <c r="I49" s="650">
        <f>'d3'!J48</f>
        <v>0</v>
      </c>
      <c r="J49" s="650">
        <f>'d3'!K48</f>
        <v>0</v>
      </c>
      <c r="K49" s="360"/>
      <c r="L49" s="656"/>
      <c r="M49" s="656"/>
      <c r="N49" s="656"/>
      <c r="O49" s="656"/>
      <c r="P49" s="656"/>
      <c r="Q49" s="656"/>
    </row>
    <row r="50" spans="1:17" s="351" customFormat="1" ht="230.25" thickTop="1" thickBot="1" x14ac:dyDescent="0.25">
      <c r="A50" s="353" t="s">
        <v>815</v>
      </c>
      <c r="B50" s="353" t="s">
        <v>816</v>
      </c>
      <c r="C50" s="353" t="s">
        <v>222</v>
      </c>
      <c r="D50" s="353" t="s">
        <v>798</v>
      </c>
      <c r="E50" s="168" t="s">
        <v>702</v>
      </c>
      <c r="F50" s="352" t="s">
        <v>439</v>
      </c>
      <c r="G50" s="352">
        <f t="shared" si="4"/>
        <v>608795058</v>
      </c>
      <c r="H50" s="352">
        <f>'d3'!E50</f>
        <v>608795058</v>
      </c>
      <c r="I50" s="352">
        <f>'d3'!J50</f>
        <v>0</v>
      </c>
      <c r="J50" s="352">
        <f>'d3'!K50</f>
        <v>0</v>
      </c>
      <c r="K50" s="360"/>
      <c r="L50" s="354"/>
      <c r="M50" s="354"/>
      <c r="N50" s="354"/>
      <c r="O50" s="354"/>
      <c r="P50" s="354"/>
      <c r="Q50" s="354"/>
    </row>
    <row r="51" spans="1:17" s="533" customFormat="1" ht="230.25" thickTop="1" thickBot="1" x14ac:dyDescent="0.25">
      <c r="A51" s="536" t="s">
        <v>1158</v>
      </c>
      <c r="B51" s="536" t="s">
        <v>1159</v>
      </c>
      <c r="C51" s="536" t="s">
        <v>222</v>
      </c>
      <c r="D51" s="536" t="s">
        <v>1162</v>
      </c>
      <c r="E51" s="168" t="s">
        <v>702</v>
      </c>
      <c r="F51" s="534" t="s">
        <v>439</v>
      </c>
      <c r="G51" s="534">
        <f t="shared" si="4"/>
        <v>6197509.9900000002</v>
      </c>
      <c r="H51" s="534">
        <f>'d3'!E53</f>
        <v>0</v>
      </c>
      <c r="I51" s="534">
        <f>'d3'!J53</f>
        <v>6197509.9900000002</v>
      </c>
      <c r="J51" s="534">
        <f>'d3'!K53</f>
        <v>6197509.9900000002</v>
      </c>
      <c r="K51" s="544"/>
      <c r="L51" s="541"/>
      <c r="M51" s="541"/>
      <c r="N51" s="541"/>
      <c r="O51" s="541"/>
      <c r="P51" s="541"/>
      <c r="Q51" s="541"/>
    </row>
    <row r="52" spans="1:17" ht="230.25" thickTop="1" thickBot="1" x14ac:dyDescent="0.25">
      <c r="A52" s="357" t="s">
        <v>817</v>
      </c>
      <c r="B52" s="357" t="s">
        <v>224</v>
      </c>
      <c r="C52" s="357" t="s">
        <v>199</v>
      </c>
      <c r="D52" s="357" t="s">
        <v>545</v>
      </c>
      <c r="E52" s="168" t="s">
        <v>702</v>
      </c>
      <c r="F52" s="358" t="s">
        <v>439</v>
      </c>
      <c r="G52" s="358">
        <f t="shared" si="4"/>
        <v>39453002</v>
      </c>
      <c r="H52" s="358">
        <f>'d3'!E54</f>
        <v>32384358</v>
      </c>
      <c r="I52" s="358">
        <f>'d3'!J54</f>
        <v>7068644</v>
      </c>
      <c r="J52" s="358">
        <f>'d3'!K54</f>
        <v>1469094</v>
      </c>
    </row>
    <row r="53" spans="1:17" s="356" customFormat="1" ht="230.25" thickTop="1" thickBot="1" x14ac:dyDescent="0.25">
      <c r="A53" s="357" t="s">
        <v>818</v>
      </c>
      <c r="B53" s="357" t="s">
        <v>819</v>
      </c>
      <c r="C53" s="357" t="s">
        <v>227</v>
      </c>
      <c r="D53" s="357" t="s">
        <v>820</v>
      </c>
      <c r="E53" s="168" t="s">
        <v>702</v>
      </c>
      <c r="F53" s="358" t="s">
        <v>439</v>
      </c>
      <c r="G53" s="358">
        <f t="shared" si="4"/>
        <v>137855421.32999998</v>
      </c>
      <c r="H53" s="358">
        <f>'d3'!E56</f>
        <v>111639830.33</v>
      </c>
      <c r="I53" s="358">
        <f>'d3'!J56</f>
        <v>26215591</v>
      </c>
      <c r="J53" s="358">
        <f>'d3'!K56</f>
        <v>2106717</v>
      </c>
      <c r="K53" s="359"/>
      <c r="L53" s="359"/>
      <c r="M53" s="359"/>
      <c r="N53" s="359"/>
      <c r="O53" s="359"/>
      <c r="P53" s="359"/>
      <c r="Q53" s="359"/>
    </row>
    <row r="54" spans="1:17" s="356" customFormat="1" ht="230.25" thickTop="1" thickBot="1" x14ac:dyDescent="0.25">
      <c r="A54" s="357" t="s">
        <v>822</v>
      </c>
      <c r="B54" s="357" t="s">
        <v>821</v>
      </c>
      <c r="C54" s="357" t="s">
        <v>227</v>
      </c>
      <c r="D54" s="357" t="s">
        <v>823</v>
      </c>
      <c r="E54" s="168" t="s">
        <v>702</v>
      </c>
      <c r="F54" s="358" t="s">
        <v>439</v>
      </c>
      <c r="G54" s="358">
        <f t="shared" si="4"/>
        <v>17771100</v>
      </c>
      <c r="H54" s="358">
        <f>'d3'!E57</f>
        <v>17771100</v>
      </c>
      <c r="I54" s="358">
        <f>'d3'!J57</f>
        <v>0</v>
      </c>
      <c r="J54" s="358">
        <f>'d3'!K57</f>
        <v>0</v>
      </c>
      <c r="K54" s="359"/>
      <c r="L54" s="359"/>
      <c r="M54" s="359"/>
      <c r="N54" s="359"/>
      <c r="O54" s="359"/>
      <c r="P54" s="359"/>
      <c r="Q54" s="359"/>
    </row>
    <row r="55" spans="1:17" s="356" customFormat="1" ht="230.25" thickTop="1" thickBot="1" x14ac:dyDescent="0.25">
      <c r="A55" s="364" t="s">
        <v>827</v>
      </c>
      <c r="B55" s="364" t="s">
        <v>828</v>
      </c>
      <c r="C55" s="364" t="s">
        <v>228</v>
      </c>
      <c r="D55" s="364" t="s">
        <v>548</v>
      </c>
      <c r="E55" s="168" t="s">
        <v>702</v>
      </c>
      <c r="F55" s="362" t="s">
        <v>439</v>
      </c>
      <c r="G55" s="362">
        <f t="shared" ref="G55" si="5">H55+I55</f>
        <v>27275142</v>
      </c>
      <c r="H55" s="362">
        <f>'d3'!E59</f>
        <v>26860542</v>
      </c>
      <c r="I55" s="362">
        <f>'d3'!J59</f>
        <v>414600</v>
      </c>
      <c r="J55" s="362">
        <f>'d3'!K59</f>
        <v>0</v>
      </c>
      <c r="K55" s="359"/>
      <c r="L55" s="359"/>
      <c r="M55" s="359"/>
      <c r="N55" s="359"/>
      <c r="O55" s="359"/>
      <c r="P55" s="359"/>
      <c r="Q55" s="359"/>
    </row>
    <row r="56" spans="1:17" s="356" customFormat="1" ht="230.25" thickTop="1" thickBot="1" x14ac:dyDescent="0.25">
      <c r="A56" s="364" t="s">
        <v>829</v>
      </c>
      <c r="B56" s="364" t="s">
        <v>830</v>
      </c>
      <c r="C56" s="364" t="s">
        <v>228</v>
      </c>
      <c r="D56" s="364" t="s">
        <v>362</v>
      </c>
      <c r="E56" s="168" t="s">
        <v>702</v>
      </c>
      <c r="F56" s="362" t="s">
        <v>439</v>
      </c>
      <c r="G56" s="362">
        <f>H56+I56</f>
        <v>167420</v>
      </c>
      <c r="H56" s="362">
        <f>'d3'!E60-H57</f>
        <v>167420</v>
      </c>
      <c r="I56" s="362">
        <f>'d3'!J60-I57</f>
        <v>0</v>
      </c>
      <c r="J56" s="362">
        <f>'d3'!K60-J57</f>
        <v>0</v>
      </c>
      <c r="K56" s="369" t="b">
        <f>H56+H57='d3'!E60</f>
        <v>1</v>
      </c>
      <c r="L56" s="370" t="b">
        <f>I56+I57='d3'!J60</f>
        <v>1</v>
      </c>
      <c r="M56" s="370" t="b">
        <f>J56+J57='d3'!K60</f>
        <v>1</v>
      </c>
      <c r="N56" s="359"/>
      <c r="O56" s="359"/>
      <c r="P56" s="359"/>
      <c r="Q56" s="359"/>
    </row>
    <row r="57" spans="1:17" s="356" customFormat="1" ht="230.25" thickTop="1" thickBot="1" x14ac:dyDescent="0.25">
      <c r="A57" s="364" t="s">
        <v>829</v>
      </c>
      <c r="B57" s="364" t="s">
        <v>830</v>
      </c>
      <c r="C57" s="364" t="s">
        <v>228</v>
      </c>
      <c r="D57" s="364" t="s">
        <v>362</v>
      </c>
      <c r="E57" s="168" t="s">
        <v>703</v>
      </c>
      <c r="F57" s="362" t="s">
        <v>435</v>
      </c>
      <c r="G57" s="362">
        <f>H57+I57</f>
        <v>39820</v>
      </c>
      <c r="H57" s="362">
        <f>32580+7240</f>
        <v>39820</v>
      </c>
      <c r="I57" s="362"/>
      <c r="J57" s="362"/>
      <c r="K57" s="168" t="s">
        <v>677</v>
      </c>
      <c r="L57" s="359"/>
      <c r="M57" s="359"/>
      <c r="N57" s="359"/>
      <c r="O57" s="359"/>
      <c r="P57" s="359"/>
      <c r="Q57" s="359"/>
    </row>
    <row r="58" spans="1:17" s="356" customFormat="1" ht="230.25" thickTop="1" thickBot="1" x14ac:dyDescent="0.25">
      <c r="A58" s="364" t="s">
        <v>833</v>
      </c>
      <c r="B58" s="364" t="s">
        <v>834</v>
      </c>
      <c r="C58" s="364" t="s">
        <v>228</v>
      </c>
      <c r="D58" s="364" t="s">
        <v>835</v>
      </c>
      <c r="E58" s="168" t="s">
        <v>702</v>
      </c>
      <c r="F58" s="362" t="s">
        <v>439</v>
      </c>
      <c r="G58" s="362">
        <f t="shared" ref="G58:G59" si="6">H58+I58</f>
        <v>1127985</v>
      </c>
      <c r="H58" s="358">
        <f>'d3'!E62</f>
        <v>1077985</v>
      </c>
      <c r="I58" s="358">
        <f>'d3'!J62</f>
        <v>50000</v>
      </c>
      <c r="J58" s="362">
        <f>'d3'!K62</f>
        <v>50000</v>
      </c>
      <c r="K58" s="359"/>
      <c r="L58" s="359"/>
      <c r="M58" s="359"/>
      <c r="N58" s="359"/>
      <c r="O58" s="359"/>
      <c r="P58" s="359"/>
      <c r="Q58" s="359"/>
    </row>
    <row r="59" spans="1:17" s="356" customFormat="1" ht="230.25" thickTop="1" thickBot="1" x14ac:dyDescent="0.25">
      <c r="A59" s="364" t="s">
        <v>836</v>
      </c>
      <c r="B59" s="364" t="s">
        <v>837</v>
      </c>
      <c r="C59" s="364" t="s">
        <v>228</v>
      </c>
      <c r="D59" s="364" t="s">
        <v>838</v>
      </c>
      <c r="E59" s="168" t="s">
        <v>702</v>
      </c>
      <c r="F59" s="362" t="s">
        <v>439</v>
      </c>
      <c r="G59" s="362">
        <f t="shared" si="6"/>
        <v>3886800</v>
      </c>
      <c r="H59" s="362">
        <f>'d3'!E63</f>
        <v>3886800</v>
      </c>
      <c r="I59" s="362">
        <f>'d3'!J63</f>
        <v>0</v>
      </c>
      <c r="J59" s="362">
        <f>'d3'!K63</f>
        <v>0</v>
      </c>
      <c r="K59" s="359"/>
      <c r="L59" s="359"/>
      <c r="M59" s="359"/>
      <c r="N59" s="359"/>
      <c r="O59" s="359"/>
      <c r="P59" s="359"/>
      <c r="Q59" s="359"/>
    </row>
    <row r="60" spans="1:17" s="324" customFormat="1" ht="230.25" thickTop="1" thickBot="1" x14ac:dyDescent="0.25">
      <c r="A60" s="326" t="s">
        <v>803</v>
      </c>
      <c r="B60" s="326" t="s">
        <v>804</v>
      </c>
      <c r="C60" s="326" t="s">
        <v>228</v>
      </c>
      <c r="D60" s="326" t="s">
        <v>805</v>
      </c>
      <c r="E60" s="168" t="s">
        <v>702</v>
      </c>
      <c r="F60" s="325" t="s">
        <v>439</v>
      </c>
      <c r="G60" s="325">
        <f t="shared" ref="G60:G61" si="7">H60+I60</f>
        <v>1332865</v>
      </c>
      <c r="H60" s="325">
        <f>'d3'!E64</f>
        <v>1282865</v>
      </c>
      <c r="I60" s="325">
        <f>'d3'!J64</f>
        <v>50000</v>
      </c>
      <c r="J60" s="325">
        <f>'d3'!K64</f>
        <v>50000</v>
      </c>
      <c r="K60" s="327"/>
      <c r="L60" s="327"/>
      <c r="M60" s="327"/>
      <c r="N60" s="327"/>
      <c r="O60" s="327"/>
      <c r="P60" s="327"/>
      <c r="Q60" s="327"/>
    </row>
    <row r="61" spans="1:17" s="79" customFormat="1" ht="367.5" thickTop="1" thickBot="1" x14ac:dyDescent="0.25">
      <c r="A61" s="364" t="s">
        <v>811</v>
      </c>
      <c r="B61" s="364" t="s">
        <v>812</v>
      </c>
      <c r="C61" s="364" t="s">
        <v>228</v>
      </c>
      <c r="D61" s="364" t="s">
        <v>813</v>
      </c>
      <c r="E61" s="168" t="s">
        <v>702</v>
      </c>
      <c r="F61" s="362" t="s">
        <v>439</v>
      </c>
      <c r="G61" s="362">
        <f t="shared" si="7"/>
        <v>6479806</v>
      </c>
      <c r="H61" s="362">
        <f>'d3'!E66</f>
        <v>4362735</v>
      </c>
      <c r="I61" s="362">
        <f>'d3'!J66</f>
        <v>2117071</v>
      </c>
      <c r="J61" s="362">
        <f>'d3'!K66</f>
        <v>2117071</v>
      </c>
      <c r="K61" s="366"/>
      <c r="L61" s="366"/>
      <c r="M61" s="366"/>
      <c r="N61" s="366"/>
      <c r="O61" s="366"/>
      <c r="P61" s="366"/>
      <c r="Q61" s="366"/>
    </row>
    <row r="62" spans="1:17" s="79" customFormat="1" ht="367.5" thickTop="1" thickBot="1" x14ac:dyDescent="0.25">
      <c r="A62" s="645" t="s">
        <v>1279</v>
      </c>
      <c r="B62" s="645" t="s">
        <v>1280</v>
      </c>
      <c r="C62" s="645" t="s">
        <v>228</v>
      </c>
      <c r="D62" s="645" t="s">
        <v>1281</v>
      </c>
      <c r="E62" s="168" t="s">
        <v>702</v>
      </c>
      <c r="F62" s="644" t="s">
        <v>439</v>
      </c>
      <c r="G62" s="644">
        <f t="shared" ref="G62" si="8">H62+I62</f>
        <v>6063695</v>
      </c>
      <c r="H62" s="644">
        <f>'d3'!E67</f>
        <v>4680566</v>
      </c>
      <c r="I62" s="644">
        <f>'d3'!J67</f>
        <v>1383129</v>
      </c>
      <c r="J62" s="644">
        <f>'d3'!K67</f>
        <v>1383129</v>
      </c>
      <c r="K62" s="647"/>
      <c r="L62" s="647"/>
      <c r="M62" s="647"/>
      <c r="N62" s="647"/>
      <c r="O62" s="647"/>
      <c r="P62" s="647"/>
      <c r="Q62" s="647"/>
    </row>
    <row r="63" spans="1:17" s="79" customFormat="1" ht="409.6" hidden="1" thickTop="1" thickBot="1" x14ac:dyDescent="0.25">
      <c r="A63" s="651" t="s">
        <v>1310</v>
      </c>
      <c r="B63" s="651" t="s">
        <v>1312</v>
      </c>
      <c r="C63" s="651" t="s">
        <v>228</v>
      </c>
      <c r="D63" s="651" t="s">
        <v>1314</v>
      </c>
      <c r="E63" s="168" t="s">
        <v>702</v>
      </c>
      <c r="F63" s="650" t="s">
        <v>439</v>
      </c>
      <c r="G63" s="650">
        <f>H63+I63</f>
        <v>0</v>
      </c>
      <c r="H63" s="650">
        <f>'d3'!E69</f>
        <v>0</v>
      </c>
      <c r="I63" s="650">
        <f>'d3'!J69</f>
        <v>0</v>
      </c>
      <c r="J63" s="650">
        <f>'d3'!K69</f>
        <v>0</v>
      </c>
      <c r="K63" s="656"/>
      <c r="L63" s="656"/>
      <c r="M63" s="656"/>
      <c r="N63" s="656"/>
      <c r="O63" s="656"/>
      <c r="P63" s="656"/>
      <c r="Q63" s="656"/>
    </row>
    <row r="64" spans="1:17" s="79" customFormat="1" ht="409.6" hidden="1" customHeight="1" thickTop="1" x14ac:dyDescent="0.2">
      <c r="A64" s="974" t="s">
        <v>1337</v>
      </c>
      <c r="B64" s="974" t="s">
        <v>1338</v>
      </c>
      <c r="C64" s="974" t="s">
        <v>228</v>
      </c>
      <c r="D64" s="974" t="s">
        <v>1339</v>
      </c>
      <c r="E64" s="974" t="s">
        <v>702</v>
      </c>
      <c r="F64" s="974" t="s">
        <v>439</v>
      </c>
      <c r="G64" s="1099">
        <f>H64+I64</f>
        <v>0</v>
      </c>
      <c r="H64" s="1099">
        <f>'d3'!E70</f>
        <v>0</v>
      </c>
      <c r="I64" s="1099">
        <f>'d3'!J70</f>
        <v>0</v>
      </c>
      <c r="J64" s="1099">
        <f>'d3'!K70</f>
        <v>0</v>
      </c>
      <c r="K64" s="666"/>
      <c r="L64" s="666"/>
      <c r="M64" s="666"/>
      <c r="N64" s="666"/>
      <c r="O64" s="666"/>
      <c r="P64" s="666"/>
      <c r="Q64" s="666"/>
    </row>
    <row r="65" spans="1:17" s="79" customFormat="1" ht="122.25" hidden="1" customHeight="1" thickBot="1" x14ac:dyDescent="0.25">
      <c r="A65" s="1064"/>
      <c r="B65" s="1064"/>
      <c r="C65" s="1064"/>
      <c r="D65" s="1064"/>
      <c r="E65" s="1064"/>
      <c r="F65" s="1064"/>
      <c r="G65" s="1064"/>
      <c r="H65" s="1064"/>
      <c r="I65" s="1064">
        <f>'d3'!J71</f>
        <v>0</v>
      </c>
      <c r="J65" s="1064">
        <f>'d3'!K71</f>
        <v>0</v>
      </c>
      <c r="K65" s="666"/>
      <c r="L65" s="666"/>
      <c r="M65" s="666"/>
      <c r="N65" s="666"/>
      <c r="O65" s="666"/>
      <c r="P65" s="666"/>
      <c r="Q65" s="666"/>
    </row>
    <row r="66" spans="1:17" s="324" customFormat="1" ht="321.75" thickTop="1" thickBot="1" x14ac:dyDescent="0.25">
      <c r="A66" s="326" t="s">
        <v>800</v>
      </c>
      <c r="B66" s="326" t="s">
        <v>801</v>
      </c>
      <c r="C66" s="326" t="s">
        <v>228</v>
      </c>
      <c r="D66" s="326" t="s">
        <v>802</v>
      </c>
      <c r="E66" s="168" t="s">
        <v>702</v>
      </c>
      <c r="F66" s="325" t="s">
        <v>439</v>
      </c>
      <c r="G66" s="325">
        <f t="shared" ref="G66:G73" si="9">H66+I66</f>
        <v>7118182</v>
      </c>
      <c r="H66" s="325">
        <f>'d3'!E72</f>
        <v>4721984</v>
      </c>
      <c r="I66" s="325">
        <f>'d3'!J72</f>
        <v>2396198</v>
      </c>
      <c r="J66" s="325">
        <f>'d3'!K72</f>
        <v>2396198</v>
      </c>
      <c r="K66" s="327"/>
      <c r="L66" s="327"/>
      <c r="M66" s="327"/>
      <c r="N66" s="327"/>
      <c r="O66" s="327"/>
      <c r="P66" s="327"/>
      <c r="Q66" s="327"/>
    </row>
    <row r="67" spans="1:17" s="577" customFormat="1" ht="321.75" thickTop="1" thickBot="1" x14ac:dyDescent="0.25">
      <c r="A67" s="579" t="s">
        <v>1195</v>
      </c>
      <c r="B67" s="579" t="s">
        <v>1196</v>
      </c>
      <c r="C67" s="579" t="s">
        <v>228</v>
      </c>
      <c r="D67" s="579" t="s">
        <v>1197</v>
      </c>
      <c r="E67" s="168" t="s">
        <v>702</v>
      </c>
      <c r="F67" s="578" t="s">
        <v>439</v>
      </c>
      <c r="G67" s="578">
        <f t="shared" si="9"/>
        <v>2120589</v>
      </c>
      <c r="H67" s="578">
        <f>'d3'!E73</f>
        <v>1371699</v>
      </c>
      <c r="I67" s="578">
        <f>'d3'!J73</f>
        <v>748890</v>
      </c>
      <c r="J67" s="578">
        <f>'d3'!K73</f>
        <v>748890</v>
      </c>
      <c r="K67" s="582"/>
      <c r="L67" s="582"/>
      <c r="M67" s="582"/>
      <c r="N67" s="582"/>
      <c r="O67" s="582"/>
      <c r="P67" s="582"/>
      <c r="Q67" s="582"/>
    </row>
    <row r="68" spans="1:17" s="649" customFormat="1" ht="367.5" thickTop="1" thickBot="1" x14ac:dyDescent="0.25">
      <c r="A68" s="651" t="s">
        <v>1316</v>
      </c>
      <c r="B68" s="651" t="s">
        <v>1318</v>
      </c>
      <c r="C68" s="651" t="s">
        <v>228</v>
      </c>
      <c r="D68" s="651" t="s">
        <v>1320</v>
      </c>
      <c r="E68" s="168" t="s">
        <v>702</v>
      </c>
      <c r="F68" s="650" t="s">
        <v>439</v>
      </c>
      <c r="G68" s="650">
        <f t="shared" si="9"/>
        <v>1584500</v>
      </c>
      <c r="H68" s="650">
        <f>'d3'!E77</f>
        <v>0</v>
      </c>
      <c r="I68" s="650">
        <f>'d3'!J77</f>
        <v>1584500</v>
      </c>
      <c r="J68" s="650">
        <f>'d3'!K77</f>
        <v>1584500</v>
      </c>
      <c r="K68" s="656"/>
      <c r="L68" s="656"/>
      <c r="M68" s="656"/>
      <c r="N68" s="656"/>
      <c r="O68" s="656"/>
      <c r="P68" s="656"/>
      <c r="Q68" s="656"/>
    </row>
    <row r="69" spans="1:17" s="748" customFormat="1" ht="321.75" thickTop="1" thickBot="1" x14ac:dyDescent="0.25">
      <c r="A69" s="749" t="s">
        <v>1388</v>
      </c>
      <c r="B69" s="749" t="s">
        <v>1389</v>
      </c>
      <c r="C69" s="749" t="s">
        <v>228</v>
      </c>
      <c r="D69" s="749" t="s">
        <v>1387</v>
      </c>
      <c r="E69" s="168" t="s">
        <v>702</v>
      </c>
      <c r="F69" s="750" t="s">
        <v>439</v>
      </c>
      <c r="G69" s="750">
        <f t="shared" si="9"/>
        <v>2520000</v>
      </c>
      <c r="H69" s="750">
        <f>'d3'!E78</f>
        <v>0</v>
      </c>
      <c r="I69" s="750">
        <f>'d3'!J78</f>
        <v>2520000</v>
      </c>
      <c r="J69" s="750">
        <f>'d3'!K78</f>
        <v>2520000</v>
      </c>
      <c r="K69" s="751"/>
      <c r="L69" s="751"/>
      <c r="M69" s="751"/>
      <c r="N69" s="751"/>
      <c r="O69" s="751"/>
      <c r="P69" s="751"/>
      <c r="Q69" s="751"/>
    </row>
    <row r="70" spans="1:17" ht="367.5" hidden="1" thickTop="1" thickBot="1" x14ac:dyDescent="0.25">
      <c r="A70" s="363" t="s">
        <v>461</v>
      </c>
      <c r="B70" s="363" t="s">
        <v>462</v>
      </c>
      <c r="C70" s="363" t="s">
        <v>203</v>
      </c>
      <c r="D70" s="363" t="s">
        <v>460</v>
      </c>
      <c r="E70" s="168" t="s">
        <v>703</v>
      </c>
      <c r="F70" s="362" t="s">
        <v>435</v>
      </c>
      <c r="G70" s="362">
        <f t="shared" si="9"/>
        <v>0</v>
      </c>
      <c r="H70" s="362">
        <f>'d3'!E75</f>
        <v>0</v>
      </c>
      <c r="I70" s="362">
        <f>'d3'!J75</f>
        <v>0</v>
      </c>
      <c r="J70" s="362">
        <f>'d3'!K75</f>
        <v>0</v>
      </c>
    </row>
    <row r="71" spans="1:17" s="781" customFormat="1" ht="230.25" thickTop="1" thickBot="1" x14ac:dyDescent="0.25">
      <c r="A71" s="789" t="s">
        <v>1469</v>
      </c>
      <c r="B71" s="345" t="s">
        <v>334</v>
      </c>
      <c r="C71" s="789" t="s">
        <v>323</v>
      </c>
      <c r="D71" s="791" t="s">
        <v>778</v>
      </c>
      <c r="E71" s="168" t="s">
        <v>702</v>
      </c>
      <c r="F71" s="784" t="s">
        <v>439</v>
      </c>
      <c r="G71" s="784">
        <f t="shared" si="9"/>
        <v>200000</v>
      </c>
      <c r="H71" s="784">
        <f>'d3'!E82</f>
        <v>0</v>
      </c>
      <c r="I71" s="784">
        <f>'d3'!J82</f>
        <v>200000</v>
      </c>
      <c r="J71" s="784">
        <f>'d3'!K82</f>
        <v>200000</v>
      </c>
      <c r="K71" s="786"/>
      <c r="L71" s="786"/>
      <c r="M71" s="786"/>
      <c r="N71" s="786"/>
      <c r="O71" s="786"/>
      <c r="P71" s="786"/>
      <c r="Q71" s="786"/>
    </row>
    <row r="72" spans="1:17" s="781" customFormat="1" ht="230.25" thickTop="1" thickBot="1" x14ac:dyDescent="0.25">
      <c r="A72" s="782" t="s">
        <v>1456</v>
      </c>
      <c r="B72" s="345" t="s">
        <v>230</v>
      </c>
      <c r="C72" s="782" t="s">
        <v>231</v>
      </c>
      <c r="D72" s="782" t="s">
        <v>43</v>
      </c>
      <c r="E72" s="168" t="s">
        <v>702</v>
      </c>
      <c r="F72" s="784" t="s">
        <v>439</v>
      </c>
      <c r="G72" s="784">
        <f t="shared" si="9"/>
        <v>84177</v>
      </c>
      <c r="H72" s="784">
        <f>'d3'!E84</f>
        <v>84177</v>
      </c>
      <c r="I72" s="784">
        <f>'d3'!J84</f>
        <v>0</v>
      </c>
      <c r="J72" s="784">
        <f>'d3'!K84</f>
        <v>0</v>
      </c>
      <c r="K72" s="786"/>
      <c r="L72" s="786"/>
      <c r="M72" s="786"/>
      <c r="N72" s="786"/>
      <c r="O72" s="786"/>
      <c r="P72" s="786"/>
      <c r="Q72" s="786"/>
    </row>
    <row r="73" spans="1:17" s="699" customFormat="1" ht="230.25" thickTop="1" thickBot="1" x14ac:dyDescent="0.25">
      <c r="A73" s="701" t="s">
        <v>1361</v>
      </c>
      <c r="B73" s="701" t="s">
        <v>389</v>
      </c>
      <c r="C73" s="701" t="s">
        <v>45</v>
      </c>
      <c r="D73" s="701" t="s">
        <v>390</v>
      </c>
      <c r="E73" s="168" t="s">
        <v>702</v>
      </c>
      <c r="F73" s="702" t="s">
        <v>439</v>
      </c>
      <c r="G73" s="702">
        <f t="shared" si="9"/>
        <v>4702988</v>
      </c>
      <c r="H73" s="702">
        <f>'d3'!E87</f>
        <v>0</v>
      </c>
      <c r="I73" s="702">
        <f>'d3'!J87</f>
        <v>4702988</v>
      </c>
      <c r="J73" s="702">
        <f>'d3'!K87</f>
        <v>4702988</v>
      </c>
      <c r="K73" s="704"/>
      <c r="L73" s="704"/>
      <c r="M73" s="704"/>
      <c r="N73" s="704"/>
      <c r="O73" s="704"/>
      <c r="P73" s="704"/>
      <c r="Q73" s="704"/>
    </row>
    <row r="74" spans="1:17" ht="136.5" thickTop="1" thickBot="1" x14ac:dyDescent="0.25">
      <c r="A74" s="825" t="s">
        <v>168</v>
      </c>
      <c r="B74" s="825"/>
      <c r="C74" s="825"/>
      <c r="D74" s="826" t="s">
        <v>18</v>
      </c>
      <c r="E74" s="827"/>
      <c r="F74" s="828"/>
      <c r="G74" s="828">
        <f>G75</f>
        <v>110992597</v>
      </c>
      <c r="H74" s="828">
        <f t="shared" ref="H74:J74" si="10">H75</f>
        <v>81388577</v>
      </c>
      <c r="I74" s="827">
        <f t="shared" si="10"/>
        <v>29604020</v>
      </c>
      <c r="J74" s="827">
        <f t="shared" si="10"/>
        <v>29582020</v>
      </c>
      <c r="K74" s="228" t="b">
        <f>H74='d3'!E88-'d3'!F91</f>
        <v>1</v>
      </c>
      <c r="L74" s="229" t="b">
        <f>I74='d3'!J88-'d3'!J91</f>
        <v>1</v>
      </c>
      <c r="M74" s="229" t="b">
        <f>J74='d3'!K88-'d3'!K91</f>
        <v>1</v>
      </c>
    </row>
    <row r="75" spans="1:17" ht="172.5" customHeight="1" thickTop="1" thickBot="1" x14ac:dyDescent="0.25">
      <c r="A75" s="829" t="s">
        <v>169</v>
      </c>
      <c r="B75" s="829"/>
      <c r="C75" s="829"/>
      <c r="D75" s="830" t="s">
        <v>38</v>
      </c>
      <c r="E75" s="831"/>
      <c r="F75" s="831"/>
      <c r="G75" s="831">
        <f>SUM(G76:G99)</f>
        <v>110992597</v>
      </c>
      <c r="H75" s="831">
        <f>SUM(H76:H99)</f>
        <v>81388577</v>
      </c>
      <c r="I75" s="831">
        <f>SUM(I76:I99)</f>
        <v>29604020</v>
      </c>
      <c r="J75" s="831">
        <f>SUM(J76:J99)</f>
        <v>29582020</v>
      </c>
    </row>
    <row r="76" spans="1:17" ht="138.75" thickTop="1" thickBot="1" x14ac:dyDescent="0.25">
      <c r="A76" s="275" t="s">
        <v>232</v>
      </c>
      <c r="B76" s="275" t="s">
        <v>229</v>
      </c>
      <c r="C76" s="275" t="s">
        <v>233</v>
      </c>
      <c r="D76" s="275" t="s">
        <v>19</v>
      </c>
      <c r="E76" s="285" t="s">
        <v>467</v>
      </c>
      <c r="F76" s="285" t="s">
        <v>438</v>
      </c>
      <c r="G76" s="1099">
        <f>H76+I76</f>
        <v>18361455</v>
      </c>
      <c r="H76" s="1099">
        <f>'d3'!E93</f>
        <v>18361455</v>
      </c>
      <c r="I76" s="1099">
        <f>'d3'!J93</f>
        <v>0</v>
      </c>
      <c r="J76" s="1099">
        <f>'d3'!K93</f>
        <v>0</v>
      </c>
    </row>
    <row r="77" spans="1:17" ht="405.75" customHeight="1" thickTop="1" thickBot="1" x14ac:dyDescent="0.25">
      <c r="A77" s="275" t="s">
        <v>232</v>
      </c>
      <c r="B77" s="275" t="s">
        <v>229</v>
      </c>
      <c r="C77" s="275" t="s">
        <v>233</v>
      </c>
      <c r="D77" s="275" t="s">
        <v>19</v>
      </c>
      <c r="E77" s="521" t="s">
        <v>1040</v>
      </c>
      <c r="F77" s="454" t="s">
        <v>1041</v>
      </c>
      <c r="G77" s="1100"/>
      <c r="H77" s="1100"/>
      <c r="I77" s="1100"/>
      <c r="J77" s="1100"/>
    </row>
    <row r="78" spans="1:17" ht="138.75" thickTop="1" thickBot="1" x14ac:dyDescent="0.25">
      <c r="A78" s="275" t="s">
        <v>552</v>
      </c>
      <c r="B78" s="275" t="s">
        <v>555</v>
      </c>
      <c r="C78" s="275" t="s">
        <v>554</v>
      </c>
      <c r="D78" s="275" t="s">
        <v>553</v>
      </c>
      <c r="E78" s="285" t="s">
        <v>467</v>
      </c>
      <c r="F78" s="285" t="s">
        <v>438</v>
      </c>
      <c r="G78" s="1099">
        <f>H78+I78</f>
        <v>7867407</v>
      </c>
      <c r="H78" s="1099">
        <f>'d3'!E94</f>
        <v>7867407</v>
      </c>
      <c r="I78" s="1099">
        <f>'d3'!J94</f>
        <v>0</v>
      </c>
      <c r="J78" s="1099">
        <f>'d3'!K94</f>
        <v>0</v>
      </c>
    </row>
    <row r="79" spans="1:17" ht="409.6" thickTop="1" thickBot="1" x14ac:dyDescent="0.25">
      <c r="A79" s="275" t="s">
        <v>552</v>
      </c>
      <c r="B79" s="275" t="s">
        <v>555</v>
      </c>
      <c r="C79" s="275" t="s">
        <v>554</v>
      </c>
      <c r="D79" s="275" t="s">
        <v>553</v>
      </c>
      <c r="E79" s="521" t="s">
        <v>1040</v>
      </c>
      <c r="F79" s="454" t="s">
        <v>1041</v>
      </c>
      <c r="G79" s="1100"/>
      <c r="H79" s="1100"/>
      <c r="I79" s="1100"/>
      <c r="J79" s="1100"/>
    </row>
    <row r="80" spans="1:17" ht="138.75" thickTop="1" thickBot="1" x14ac:dyDescent="0.25">
      <c r="A80" s="275" t="s">
        <v>234</v>
      </c>
      <c r="B80" s="275" t="s">
        <v>235</v>
      </c>
      <c r="C80" s="275" t="s">
        <v>236</v>
      </c>
      <c r="D80" s="275" t="s">
        <v>237</v>
      </c>
      <c r="E80" s="285" t="s">
        <v>467</v>
      </c>
      <c r="F80" s="285" t="s">
        <v>438</v>
      </c>
      <c r="G80" s="1099">
        <f t="shared" ref="G80:G91" si="11">H80+I80</f>
        <v>6699850</v>
      </c>
      <c r="H80" s="1099">
        <f>'d3'!E95</f>
        <v>6699850</v>
      </c>
      <c r="I80" s="1099">
        <f>'d3'!J95</f>
        <v>0</v>
      </c>
      <c r="J80" s="1099">
        <f>'d3'!K95</f>
        <v>0</v>
      </c>
    </row>
    <row r="81" spans="1:17" ht="409.6" thickTop="1" thickBot="1" x14ac:dyDescent="0.25">
      <c r="A81" s="275" t="s">
        <v>234</v>
      </c>
      <c r="B81" s="275" t="s">
        <v>235</v>
      </c>
      <c r="C81" s="275" t="s">
        <v>236</v>
      </c>
      <c r="D81" s="275" t="s">
        <v>237</v>
      </c>
      <c r="E81" s="521" t="s">
        <v>1040</v>
      </c>
      <c r="F81" s="454" t="s">
        <v>1041</v>
      </c>
      <c r="G81" s="1100"/>
      <c r="H81" s="1100"/>
      <c r="I81" s="1100"/>
      <c r="J81" s="1100"/>
    </row>
    <row r="82" spans="1:17" ht="138.75" thickTop="1" thickBot="1" x14ac:dyDescent="0.25">
      <c r="A82" s="275" t="s">
        <v>238</v>
      </c>
      <c r="B82" s="275" t="s">
        <v>239</v>
      </c>
      <c r="C82" s="275" t="s">
        <v>240</v>
      </c>
      <c r="D82" s="275" t="s">
        <v>371</v>
      </c>
      <c r="E82" s="285" t="s">
        <v>467</v>
      </c>
      <c r="F82" s="285" t="s">
        <v>438</v>
      </c>
      <c r="G82" s="1099">
        <f t="shared" si="11"/>
        <v>9602590</v>
      </c>
      <c r="H82" s="1099">
        <f>'d3'!E96</f>
        <v>9602590</v>
      </c>
      <c r="I82" s="1099">
        <f>'d3'!J96</f>
        <v>0</v>
      </c>
      <c r="J82" s="1099">
        <f>'d3'!K96</f>
        <v>0</v>
      </c>
    </row>
    <row r="83" spans="1:17" ht="409.6" thickTop="1" thickBot="1" x14ac:dyDescent="0.25">
      <c r="A83" s="275" t="s">
        <v>238</v>
      </c>
      <c r="B83" s="275" t="s">
        <v>239</v>
      </c>
      <c r="C83" s="275" t="s">
        <v>240</v>
      </c>
      <c r="D83" s="275" t="s">
        <v>371</v>
      </c>
      <c r="E83" s="521" t="s">
        <v>1040</v>
      </c>
      <c r="F83" s="454" t="s">
        <v>1041</v>
      </c>
      <c r="G83" s="1100"/>
      <c r="H83" s="1100"/>
      <c r="I83" s="1100"/>
      <c r="J83" s="1100"/>
    </row>
    <row r="84" spans="1:17" ht="172.5" customHeight="1" thickTop="1" thickBot="1" x14ac:dyDescent="0.25">
      <c r="A84" s="275" t="s">
        <v>241</v>
      </c>
      <c r="B84" s="275" t="s">
        <v>242</v>
      </c>
      <c r="C84" s="275" t="s">
        <v>243</v>
      </c>
      <c r="D84" s="275" t="s">
        <v>244</v>
      </c>
      <c r="E84" s="285" t="s">
        <v>467</v>
      </c>
      <c r="F84" s="285" t="s">
        <v>438</v>
      </c>
      <c r="G84" s="1099">
        <f t="shared" si="11"/>
        <v>5776335</v>
      </c>
      <c r="H84" s="1099">
        <f>'d3'!E97-H86</f>
        <v>5776335</v>
      </c>
      <c r="I84" s="1099">
        <f>'d3'!J97-I86</f>
        <v>0</v>
      </c>
      <c r="J84" s="1099">
        <f>'d3'!K97-J86</f>
        <v>0</v>
      </c>
    </row>
    <row r="85" spans="1:17" ht="409.6" thickTop="1" thickBot="1" x14ac:dyDescent="0.25">
      <c r="A85" s="275" t="s">
        <v>241</v>
      </c>
      <c r="B85" s="275" t="s">
        <v>242</v>
      </c>
      <c r="C85" s="275" t="s">
        <v>243</v>
      </c>
      <c r="D85" s="275" t="s">
        <v>244</v>
      </c>
      <c r="E85" s="521" t="s">
        <v>1040</v>
      </c>
      <c r="F85" s="454" t="s">
        <v>1041</v>
      </c>
      <c r="G85" s="1100"/>
      <c r="H85" s="1100"/>
      <c r="I85" s="1100"/>
      <c r="J85" s="1100"/>
    </row>
    <row r="86" spans="1:17" ht="184.5" thickTop="1" thickBot="1" x14ac:dyDescent="0.25">
      <c r="A86" s="275" t="s">
        <v>241</v>
      </c>
      <c r="B86" s="275" t="s">
        <v>242</v>
      </c>
      <c r="C86" s="275" t="s">
        <v>243</v>
      </c>
      <c r="D86" s="275" t="s">
        <v>244</v>
      </c>
      <c r="E86" s="319" t="s">
        <v>1036</v>
      </c>
      <c r="F86" s="453" t="s">
        <v>1037</v>
      </c>
      <c r="G86" s="285">
        <f t="shared" si="11"/>
        <v>1287600</v>
      </c>
      <c r="H86" s="285">
        <v>1287600</v>
      </c>
      <c r="I86" s="285"/>
      <c r="J86" s="285"/>
    </row>
    <row r="87" spans="1:17" ht="184.5" thickTop="1" thickBot="1" x14ac:dyDescent="0.25">
      <c r="A87" s="275" t="s">
        <v>245</v>
      </c>
      <c r="B87" s="275" t="s">
        <v>246</v>
      </c>
      <c r="C87" s="275" t="s">
        <v>372</v>
      </c>
      <c r="D87" s="275" t="s">
        <v>247</v>
      </c>
      <c r="E87" s="285" t="s">
        <v>467</v>
      </c>
      <c r="F87" s="285" t="s">
        <v>438</v>
      </c>
      <c r="G87" s="1099">
        <f t="shared" si="11"/>
        <v>10853915</v>
      </c>
      <c r="H87" s="1099">
        <f>'d3'!E99</f>
        <v>10853915</v>
      </c>
      <c r="I87" s="1099">
        <f>'d3'!J99</f>
        <v>0</v>
      </c>
      <c r="J87" s="1099">
        <f>'d3'!K99</f>
        <v>0</v>
      </c>
    </row>
    <row r="88" spans="1:17" ht="409.6" thickTop="1" thickBot="1" x14ac:dyDescent="0.25">
      <c r="A88" s="275" t="s">
        <v>245</v>
      </c>
      <c r="B88" s="275" t="s">
        <v>246</v>
      </c>
      <c r="C88" s="275" t="s">
        <v>372</v>
      </c>
      <c r="D88" s="275" t="s">
        <v>247</v>
      </c>
      <c r="E88" s="521" t="s">
        <v>1040</v>
      </c>
      <c r="F88" s="454" t="s">
        <v>1041</v>
      </c>
      <c r="G88" s="1100"/>
      <c r="H88" s="1100"/>
      <c r="I88" s="1100"/>
      <c r="J88" s="1100"/>
    </row>
    <row r="89" spans="1:17" ht="138.75" hidden="1" thickTop="1" thickBot="1" x14ac:dyDescent="0.25">
      <c r="A89" s="275" t="s">
        <v>519</v>
      </c>
      <c r="B89" s="275" t="s">
        <v>520</v>
      </c>
      <c r="C89" s="275" t="s">
        <v>248</v>
      </c>
      <c r="D89" s="275" t="s">
        <v>521</v>
      </c>
      <c r="E89" s="285" t="s">
        <v>467</v>
      </c>
      <c r="F89" s="285" t="s">
        <v>438</v>
      </c>
      <c r="G89" s="1099">
        <f t="shared" si="11"/>
        <v>14254000</v>
      </c>
      <c r="H89" s="1099">
        <f>'d3'!E101</f>
        <v>14254000</v>
      </c>
      <c r="I89" s="1099">
        <f>'d3'!J101</f>
        <v>0</v>
      </c>
      <c r="J89" s="1099">
        <f>'d3'!K101</f>
        <v>0</v>
      </c>
    </row>
    <row r="90" spans="1:17" ht="409.6" thickTop="1" thickBot="1" x14ac:dyDescent="0.25">
      <c r="A90" s="275" t="s">
        <v>519</v>
      </c>
      <c r="B90" s="275" t="s">
        <v>520</v>
      </c>
      <c r="C90" s="275" t="s">
        <v>248</v>
      </c>
      <c r="D90" s="275" t="s">
        <v>521</v>
      </c>
      <c r="E90" s="521" t="s">
        <v>1040</v>
      </c>
      <c r="F90" s="454" t="s">
        <v>1041</v>
      </c>
      <c r="G90" s="1100"/>
      <c r="H90" s="1100"/>
      <c r="I90" s="1100"/>
      <c r="J90" s="1100"/>
    </row>
    <row r="91" spans="1:17" s="39" customFormat="1" ht="160.5" customHeight="1" thickTop="1" thickBot="1" x14ac:dyDescent="0.25">
      <c r="A91" s="363" t="s">
        <v>346</v>
      </c>
      <c r="B91" s="363" t="s">
        <v>348</v>
      </c>
      <c r="C91" s="363" t="s">
        <v>248</v>
      </c>
      <c r="D91" s="321" t="s">
        <v>344</v>
      </c>
      <c r="E91" s="362" t="s">
        <v>467</v>
      </c>
      <c r="F91" s="362" t="s">
        <v>438</v>
      </c>
      <c r="G91" s="1099">
        <f t="shared" si="11"/>
        <v>3269825</v>
      </c>
      <c r="H91" s="1099">
        <f>'d3'!E103</f>
        <v>3229425</v>
      </c>
      <c r="I91" s="1099">
        <f>'d3'!J103</f>
        <v>40400</v>
      </c>
      <c r="J91" s="1099">
        <f>'d3'!K103</f>
        <v>18400</v>
      </c>
      <c r="K91" s="191"/>
      <c r="L91" s="191"/>
      <c r="M91" s="191"/>
      <c r="N91" s="191"/>
      <c r="O91" s="191"/>
      <c r="P91" s="191"/>
      <c r="Q91" s="191"/>
    </row>
    <row r="92" spans="1:17" s="39" customFormat="1" ht="409.6" thickTop="1" thickBot="1" x14ac:dyDescent="0.25">
      <c r="A92" s="363" t="s">
        <v>346</v>
      </c>
      <c r="B92" s="363" t="s">
        <v>348</v>
      </c>
      <c r="C92" s="363" t="s">
        <v>248</v>
      </c>
      <c r="D92" s="321" t="s">
        <v>344</v>
      </c>
      <c r="E92" s="521" t="s">
        <v>1040</v>
      </c>
      <c r="F92" s="454" t="s">
        <v>1041</v>
      </c>
      <c r="G92" s="1100"/>
      <c r="H92" s="1100"/>
      <c r="I92" s="1100"/>
      <c r="J92" s="1100"/>
      <c r="K92" s="191"/>
      <c r="L92" s="191"/>
      <c r="M92" s="191"/>
      <c r="N92" s="191"/>
      <c r="O92" s="191"/>
      <c r="P92" s="191"/>
      <c r="Q92" s="191"/>
    </row>
    <row r="93" spans="1:17" s="39" customFormat="1" ht="166.7" customHeight="1" thickTop="1" thickBot="1" x14ac:dyDescent="0.25">
      <c r="A93" s="363" t="s">
        <v>347</v>
      </c>
      <c r="B93" s="363" t="s">
        <v>349</v>
      </c>
      <c r="C93" s="363" t="s">
        <v>248</v>
      </c>
      <c r="D93" s="321" t="s">
        <v>345</v>
      </c>
      <c r="E93" s="362" t="s">
        <v>467</v>
      </c>
      <c r="F93" s="362" t="s">
        <v>438</v>
      </c>
      <c r="G93" s="1099">
        <f>H93+I93</f>
        <v>3456000</v>
      </c>
      <c r="H93" s="1099">
        <f>'d3'!E104</f>
        <v>3456000</v>
      </c>
      <c r="I93" s="1099">
        <f>'d3'!J104</f>
        <v>0</v>
      </c>
      <c r="J93" s="1099">
        <f>'d3'!K104</f>
        <v>0</v>
      </c>
      <c r="K93" s="191"/>
      <c r="L93" s="191"/>
      <c r="M93" s="191"/>
      <c r="N93" s="191"/>
      <c r="O93" s="191"/>
      <c r="P93" s="191"/>
      <c r="Q93" s="191"/>
    </row>
    <row r="94" spans="1:17" s="39" customFormat="1" ht="409.5" customHeight="1" thickTop="1" thickBot="1" x14ac:dyDescent="0.25">
      <c r="A94" s="363" t="s">
        <v>347</v>
      </c>
      <c r="B94" s="363" t="s">
        <v>349</v>
      </c>
      <c r="C94" s="363" t="s">
        <v>248</v>
      </c>
      <c r="D94" s="321" t="s">
        <v>345</v>
      </c>
      <c r="E94" s="521" t="s">
        <v>1040</v>
      </c>
      <c r="F94" s="454" t="s">
        <v>1041</v>
      </c>
      <c r="G94" s="1100"/>
      <c r="H94" s="1100"/>
      <c r="I94" s="1100"/>
      <c r="J94" s="1100"/>
      <c r="K94" s="191"/>
      <c r="L94" s="191"/>
      <c r="M94" s="191"/>
      <c r="N94" s="191"/>
      <c r="O94" s="191"/>
      <c r="P94" s="191"/>
      <c r="Q94" s="191"/>
    </row>
    <row r="95" spans="1:17" s="39" customFormat="1" ht="409.5" customHeight="1" thickTop="1" thickBot="1" x14ac:dyDescent="0.25">
      <c r="A95" s="753" t="s">
        <v>1394</v>
      </c>
      <c r="B95" s="753" t="s">
        <v>1395</v>
      </c>
      <c r="C95" s="753" t="s">
        <v>184</v>
      </c>
      <c r="D95" s="753" t="s">
        <v>1396</v>
      </c>
      <c r="E95" s="521" t="s">
        <v>1040</v>
      </c>
      <c r="F95" s="754" t="s">
        <v>1041</v>
      </c>
      <c r="G95" s="770">
        <f>H95+I95</f>
        <v>4190000</v>
      </c>
      <c r="H95" s="770">
        <f>'d3'!E108</f>
        <v>0</v>
      </c>
      <c r="I95" s="770">
        <f>'d3'!J108</f>
        <v>4190000</v>
      </c>
      <c r="J95" s="770">
        <f>'d3'!K108</f>
        <v>4190000</v>
      </c>
      <c r="K95" s="191"/>
      <c r="L95" s="191"/>
      <c r="M95" s="191"/>
      <c r="N95" s="191"/>
      <c r="O95" s="191"/>
      <c r="P95" s="191"/>
      <c r="Q95" s="191"/>
    </row>
    <row r="96" spans="1:17" s="39" customFormat="1" ht="138.75" thickTop="1" thickBot="1" x14ac:dyDescent="0.25">
      <c r="A96" s="363" t="s">
        <v>466</v>
      </c>
      <c r="B96" s="363" t="s">
        <v>215</v>
      </c>
      <c r="C96" s="363" t="s">
        <v>184</v>
      </c>
      <c r="D96" s="363" t="s">
        <v>36</v>
      </c>
      <c r="E96" s="362" t="s">
        <v>467</v>
      </c>
      <c r="F96" s="362" t="s">
        <v>438</v>
      </c>
      <c r="G96" s="1099">
        <f>H96+I96</f>
        <v>25000956</v>
      </c>
      <c r="H96" s="1099">
        <v>0</v>
      </c>
      <c r="I96" s="1099">
        <f>'d3'!J110-I98</f>
        <v>25000956</v>
      </c>
      <c r="J96" s="1099">
        <f>'d3'!K110-J98</f>
        <v>25000956</v>
      </c>
      <c r="K96" s="191"/>
      <c r="L96" s="191"/>
      <c r="M96" s="191"/>
      <c r="N96" s="191"/>
      <c r="O96" s="191"/>
      <c r="P96" s="191"/>
      <c r="Q96" s="191"/>
    </row>
    <row r="97" spans="1:17" s="39" customFormat="1" ht="409.5" customHeight="1" thickTop="1" thickBot="1" x14ac:dyDescent="0.25">
      <c r="A97" s="363" t="s">
        <v>466</v>
      </c>
      <c r="B97" s="363" t="s">
        <v>215</v>
      </c>
      <c r="C97" s="363" t="s">
        <v>184</v>
      </c>
      <c r="D97" s="363" t="s">
        <v>36</v>
      </c>
      <c r="E97" s="521" t="s">
        <v>1040</v>
      </c>
      <c r="F97" s="454" t="s">
        <v>1041</v>
      </c>
      <c r="G97" s="1106"/>
      <c r="H97" s="1106"/>
      <c r="I97" s="1106"/>
      <c r="J97" s="1106"/>
      <c r="K97" s="191"/>
      <c r="L97" s="191"/>
      <c r="M97" s="191"/>
      <c r="N97" s="191"/>
      <c r="O97" s="191"/>
      <c r="P97" s="191"/>
      <c r="Q97" s="191"/>
    </row>
    <row r="98" spans="1:17" s="39" customFormat="1" ht="230.25" thickTop="1" thickBot="1" x14ac:dyDescent="0.25">
      <c r="A98" s="363" t="s">
        <v>466</v>
      </c>
      <c r="B98" s="363" t="s">
        <v>215</v>
      </c>
      <c r="C98" s="363" t="s">
        <v>184</v>
      </c>
      <c r="D98" s="363" t="s">
        <v>36</v>
      </c>
      <c r="E98" s="168" t="s">
        <v>485</v>
      </c>
      <c r="F98" s="276" t="s">
        <v>486</v>
      </c>
      <c r="G98" s="362">
        <f>H98+I98</f>
        <v>372664</v>
      </c>
      <c r="H98" s="362">
        <v>0</v>
      </c>
      <c r="I98" s="362">
        <f>(136258+107000+129406)</f>
        <v>372664</v>
      </c>
      <c r="J98" s="362">
        <f>(136258+107000+129406)</f>
        <v>372664</v>
      </c>
      <c r="K98" s="191"/>
      <c r="L98" s="191"/>
      <c r="M98" s="191"/>
      <c r="N98" s="191"/>
      <c r="O98" s="191"/>
      <c r="P98" s="191"/>
      <c r="Q98" s="191"/>
    </row>
    <row r="99" spans="1:17" s="39" customFormat="1" ht="138.75" hidden="1" thickTop="1" thickBot="1" x14ac:dyDescent="0.25">
      <c r="A99" s="183" t="s">
        <v>556</v>
      </c>
      <c r="B99" s="183" t="s">
        <v>389</v>
      </c>
      <c r="C99" s="183" t="s">
        <v>45</v>
      </c>
      <c r="D99" s="183" t="s">
        <v>390</v>
      </c>
      <c r="E99" s="165" t="s">
        <v>467</v>
      </c>
      <c r="F99" s="165" t="s">
        <v>438</v>
      </c>
      <c r="G99" s="165">
        <f>H99+I99</f>
        <v>0</v>
      </c>
      <c r="H99" s="165">
        <f>'d3'!F111</f>
        <v>0</v>
      </c>
      <c r="I99" s="165">
        <f>'d3'!J111</f>
        <v>0</v>
      </c>
      <c r="J99" s="165">
        <f>'d3'!K111</f>
        <v>0</v>
      </c>
      <c r="K99" s="191"/>
      <c r="L99" s="191"/>
      <c r="M99" s="191"/>
      <c r="N99" s="191"/>
      <c r="O99" s="191"/>
      <c r="P99" s="191"/>
      <c r="Q99" s="191"/>
    </row>
    <row r="100" spans="1:17" ht="241.5" customHeight="1" thickTop="1" thickBot="1" x14ac:dyDescent="0.25">
      <c r="A100" s="825" t="s">
        <v>170</v>
      </c>
      <c r="B100" s="825"/>
      <c r="C100" s="825"/>
      <c r="D100" s="826" t="s">
        <v>39</v>
      </c>
      <c r="E100" s="827"/>
      <c r="F100" s="828"/>
      <c r="G100" s="828">
        <f>G101</f>
        <v>171508422</v>
      </c>
      <c r="H100" s="828">
        <f t="shared" ref="H100:J100" si="12">H101</f>
        <v>159621349</v>
      </c>
      <c r="I100" s="827">
        <f t="shared" si="12"/>
        <v>11887073</v>
      </c>
      <c r="J100" s="827">
        <f t="shared" si="12"/>
        <v>11270073</v>
      </c>
      <c r="K100" s="228" t="b">
        <f>H100='d3'!E113-'d3'!E115+H102+H103</f>
        <v>1</v>
      </c>
      <c r="L100" s="229" t="b">
        <f>I100='d3'!J113-'d3'!J115-'d3'!J140+'d7'!I102+I103</f>
        <v>1</v>
      </c>
      <c r="M100" s="229" t="b">
        <f>J100='d3'!K113-'d3'!K115-'d3'!K140+'d7'!J102+J103</f>
        <v>1</v>
      </c>
    </row>
    <row r="101" spans="1:17" ht="226.5" thickTop="1" thickBot="1" x14ac:dyDescent="0.25">
      <c r="A101" s="829" t="s">
        <v>171</v>
      </c>
      <c r="B101" s="829"/>
      <c r="C101" s="829"/>
      <c r="D101" s="830" t="s">
        <v>40</v>
      </c>
      <c r="E101" s="831"/>
      <c r="F101" s="831"/>
      <c r="G101" s="831">
        <f>SUM(G102:G132)</f>
        <v>171508422</v>
      </c>
      <c r="H101" s="831">
        <f>SUM(H102:H132)</f>
        <v>159621349</v>
      </c>
      <c r="I101" s="831">
        <f>SUM(I102:I132)</f>
        <v>11887073</v>
      </c>
      <c r="J101" s="831">
        <f>SUM(J102:J132)</f>
        <v>11270073</v>
      </c>
      <c r="L101" s="222"/>
    </row>
    <row r="102" spans="1:17" ht="230.25" thickTop="1" thickBot="1" x14ac:dyDescent="0.25">
      <c r="A102" s="275" t="s">
        <v>443</v>
      </c>
      <c r="B102" s="275" t="s">
        <v>254</v>
      </c>
      <c r="C102" s="275" t="s">
        <v>252</v>
      </c>
      <c r="D102" s="275" t="s">
        <v>253</v>
      </c>
      <c r="E102" s="298" t="s">
        <v>1371</v>
      </c>
      <c r="F102" s="450" t="s">
        <v>1021</v>
      </c>
      <c r="G102" s="285">
        <f t="shared" ref="G102:G130" si="13">H102+I102</f>
        <v>319000</v>
      </c>
      <c r="H102" s="841">
        <v>0</v>
      </c>
      <c r="I102" s="841">
        <f>49000+(270000)</f>
        <v>319000</v>
      </c>
      <c r="J102" s="841">
        <f>49000+(270000)</f>
        <v>319000</v>
      </c>
      <c r="L102" s="222"/>
    </row>
    <row r="103" spans="1:17" s="533" customFormat="1" ht="230.25" thickTop="1" thickBot="1" x14ac:dyDescent="0.25">
      <c r="A103" s="535" t="s">
        <v>443</v>
      </c>
      <c r="B103" s="535" t="s">
        <v>254</v>
      </c>
      <c r="C103" s="535" t="s">
        <v>252</v>
      </c>
      <c r="D103" s="535" t="s">
        <v>253</v>
      </c>
      <c r="E103" s="168" t="s">
        <v>703</v>
      </c>
      <c r="F103" s="534" t="s">
        <v>435</v>
      </c>
      <c r="G103" s="534">
        <f t="shared" si="13"/>
        <v>220000</v>
      </c>
      <c r="H103" s="534">
        <v>0</v>
      </c>
      <c r="I103" s="534">
        <f>(250000)-30000</f>
        <v>220000</v>
      </c>
      <c r="J103" s="534">
        <f>(250000)-30000</f>
        <v>220000</v>
      </c>
      <c r="K103" s="541"/>
      <c r="L103" s="222"/>
      <c r="M103" s="541"/>
      <c r="N103" s="541"/>
      <c r="O103" s="541"/>
      <c r="P103" s="541"/>
      <c r="Q103" s="541"/>
    </row>
    <row r="104" spans="1:17" s="310" customFormat="1" ht="409.6" thickTop="1" thickBot="1" x14ac:dyDescent="0.25">
      <c r="A104" s="314" t="s">
        <v>783</v>
      </c>
      <c r="B104" s="314" t="s">
        <v>388</v>
      </c>
      <c r="C104" s="314" t="s">
        <v>775</v>
      </c>
      <c r="D104" s="314" t="s">
        <v>776</v>
      </c>
      <c r="E104" s="298" t="s">
        <v>1055</v>
      </c>
      <c r="F104" s="469" t="s">
        <v>1056</v>
      </c>
      <c r="G104" s="285">
        <f t="shared" si="13"/>
        <v>10000</v>
      </c>
      <c r="H104" s="285">
        <f>'d3'!E116</f>
        <v>10000</v>
      </c>
      <c r="I104" s="523">
        <f>'d3'!J116</f>
        <v>0</v>
      </c>
      <c r="J104" s="523">
        <f>'d3'!K116</f>
        <v>0</v>
      </c>
      <c r="K104" s="312"/>
      <c r="L104" s="222"/>
      <c r="M104" s="312"/>
      <c r="N104" s="312"/>
      <c r="O104" s="312"/>
      <c r="P104" s="312"/>
      <c r="Q104" s="312"/>
    </row>
    <row r="105" spans="1:17" s="522" customFormat="1" ht="138.75" thickTop="1" thickBot="1" x14ac:dyDescent="0.25">
      <c r="A105" s="525" t="s">
        <v>1133</v>
      </c>
      <c r="B105" s="525" t="s">
        <v>45</v>
      </c>
      <c r="C105" s="525" t="s">
        <v>44</v>
      </c>
      <c r="D105" s="525" t="s">
        <v>266</v>
      </c>
      <c r="E105" s="458" t="s">
        <v>1223</v>
      </c>
      <c r="F105" s="584" t="s">
        <v>1215</v>
      </c>
      <c r="G105" s="523">
        <f t="shared" si="13"/>
        <v>30000</v>
      </c>
      <c r="H105" s="523">
        <f>'d3'!E117</f>
        <v>30000</v>
      </c>
      <c r="I105" s="523">
        <f>'d3'!J117</f>
        <v>0</v>
      </c>
      <c r="J105" s="523">
        <f>'d3'!K117</f>
        <v>0</v>
      </c>
      <c r="K105" s="526"/>
      <c r="L105" s="222"/>
      <c r="M105" s="526"/>
      <c r="N105" s="526"/>
      <c r="O105" s="526"/>
      <c r="P105" s="526"/>
      <c r="Q105" s="526"/>
    </row>
    <row r="106" spans="1:17" s="39" customFormat="1" ht="230.25" thickTop="1" thickBot="1" x14ac:dyDescent="0.25">
      <c r="A106" s="275" t="s">
        <v>287</v>
      </c>
      <c r="B106" s="275" t="s">
        <v>288</v>
      </c>
      <c r="C106" s="275" t="s">
        <v>223</v>
      </c>
      <c r="D106" s="276" t="s">
        <v>289</v>
      </c>
      <c r="E106" s="168" t="s">
        <v>703</v>
      </c>
      <c r="F106" s="285" t="s">
        <v>435</v>
      </c>
      <c r="G106" s="285">
        <f t="shared" si="13"/>
        <v>385090</v>
      </c>
      <c r="H106" s="285">
        <f>'d3'!E120</f>
        <v>270000</v>
      </c>
      <c r="I106" s="285">
        <f>'d3'!J120</f>
        <v>115090</v>
      </c>
      <c r="J106" s="285">
        <f>'d3'!K120</f>
        <v>115090</v>
      </c>
      <c r="K106" s="191"/>
      <c r="L106" s="191"/>
      <c r="M106" s="191"/>
      <c r="N106" s="191"/>
      <c r="O106" s="191"/>
      <c r="P106" s="191"/>
      <c r="Q106" s="191"/>
    </row>
    <row r="107" spans="1:17" s="39" customFormat="1" ht="230.25" thickTop="1" thickBot="1" x14ac:dyDescent="0.25">
      <c r="A107" s="275" t="s">
        <v>290</v>
      </c>
      <c r="B107" s="275" t="s">
        <v>291</v>
      </c>
      <c r="C107" s="275" t="s">
        <v>224</v>
      </c>
      <c r="D107" s="275" t="s">
        <v>6</v>
      </c>
      <c r="E107" s="168" t="s">
        <v>703</v>
      </c>
      <c r="F107" s="285" t="s">
        <v>435</v>
      </c>
      <c r="G107" s="285">
        <f t="shared" si="13"/>
        <v>950000</v>
      </c>
      <c r="H107" s="285">
        <f>'d3'!E121</f>
        <v>950000</v>
      </c>
      <c r="I107" s="285">
        <f>'d3'!J121</f>
        <v>0</v>
      </c>
      <c r="J107" s="285">
        <f>'d3'!K121</f>
        <v>0</v>
      </c>
      <c r="K107" s="191"/>
      <c r="L107" s="191"/>
      <c r="M107" s="191"/>
      <c r="N107" s="191"/>
      <c r="O107" s="191"/>
      <c r="P107" s="191"/>
      <c r="Q107" s="191"/>
    </row>
    <row r="108" spans="1:17" s="39" customFormat="1" ht="230.25" thickTop="1" thickBot="1" x14ac:dyDescent="0.25">
      <c r="A108" s="275" t="s">
        <v>293</v>
      </c>
      <c r="B108" s="275" t="s">
        <v>294</v>
      </c>
      <c r="C108" s="275" t="s">
        <v>224</v>
      </c>
      <c r="D108" s="275" t="s">
        <v>7</v>
      </c>
      <c r="E108" s="168" t="s">
        <v>703</v>
      </c>
      <c r="F108" s="285" t="s">
        <v>435</v>
      </c>
      <c r="G108" s="285">
        <f t="shared" si="13"/>
        <v>14700000</v>
      </c>
      <c r="H108" s="285">
        <f>'d3'!E122</f>
        <v>14700000</v>
      </c>
      <c r="I108" s="285">
        <f>'d3'!J122</f>
        <v>0</v>
      </c>
      <c r="J108" s="285">
        <f>'d3'!K122</f>
        <v>0</v>
      </c>
      <c r="K108" s="191"/>
      <c r="L108" s="191"/>
      <c r="M108" s="191"/>
      <c r="N108" s="191"/>
      <c r="O108" s="191"/>
      <c r="P108" s="191"/>
      <c r="Q108" s="191"/>
    </row>
    <row r="109" spans="1:17" s="39" customFormat="1" ht="230.25" thickTop="1" thickBot="1" x14ac:dyDescent="0.25">
      <c r="A109" s="275" t="s">
        <v>295</v>
      </c>
      <c r="B109" s="275" t="s">
        <v>292</v>
      </c>
      <c r="C109" s="275" t="s">
        <v>224</v>
      </c>
      <c r="D109" s="275" t="s">
        <v>8</v>
      </c>
      <c r="E109" s="168" t="s">
        <v>703</v>
      </c>
      <c r="F109" s="285" t="s">
        <v>435</v>
      </c>
      <c r="G109" s="285">
        <f t="shared" si="13"/>
        <v>610000</v>
      </c>
      <c r="H109" s="285">
        <f>'d3'!E123</f>
        <v>610000</v>
      </c>
      <c r="I109" s="285">
        <f>'d3'!J123</f>
        <v>0</v>
      </c>
      <c r="J109" s="285">
        <f>'d3'!K123</f>
        <v>0</v>
      </c>
      <c r="K109" s="191"/>
      <c r="L109" s="191"/>
      <c r="M109" s="191"/>
      <c r="N109" s="191"/>
      <c r="O109" s="191"/>
      <c r="P109" s="191"/>
      <c r="Q109" s="191"/>
    </row>
    <row r="110" spans="1:17" s="39" customFormat="1" ht="230.25" thickTop="1" thickBot="1" x14ac:dyDescent="0.25">
      <c r="A110" s="275" t="s">
        <v>296</v>
      </c>
      <c r="B110" s="275" t="s">
        <v>297</v>
      </c>
      <c r="C110" s="275" t="s">
        <v>224</v>
      </c>
      <c r="D110" s="275" t="s">
        <v>9</v>
      </c>
      <c r="E110" s="168" t="s">
        <v>703</v>
      </c>
      <c r="F110" s="285" t="s">
        <v>435</v>
      </c>
      <c r="G110" s="285">
        <f t="shared" si="13"/>
        <v>60804700</v>
      </c>
      <c r="H110" s="285">
        <f>'d3'!E124</f>
        <v>60804700</v>
      </c>
      <c r="I110" s="285">
        <f>'d3'!J124</f>
        <v>0</v>
      </c>
      <c r="J110" s="285">
        <f>'d3'!K124</f>
        <v>0</v>
      </c>
      <c r="K110" s="191"/>
      <c r="L110" s="191"/>
      <c r="M110" s="191"/>
      <c r="N110" s="191"/>
      <c r="O110" s="191"/>
      <c r="P110" s="191"/>
      <c r="Q110" s="191"/>
    </row>
    <row r="111" spans="1:17" s="39" customFormat="1" ht="230.25" thickTop="1" thickBot="1" x14ac:dyDescent="0.25">
      <c r="A111" s="470" t="s">
        <v>522</v>
      </c>
      <c r="B111" s="470" t="s">
        <v>523</v>
      </c>
      <c r="C111" s="470" t="s">
        <v>224</v>
      </c>
      <c r="D111" s="470" t="s">
        <v>524</v>
      </c>
      <c r="E111" s="168" t="s">
        <v>703</v>
      </c>
      <c r="F111" s="469" t="s">
        <v>435</v>
      </c>
      <c r="G111" s="469">
        <f t="shared" si="13"/>
        <v>206796</v>
      </c>
      <c r="H111" s="469">
        <f>'d3'!E125</f>
        <v>206796</v>
      </c>
      <c r="I111" s="469">
        <f>'d3'!J125</f>
        <v>0</v>
      </c>
      <c r="J111" s="469">
        <f>'d3'!K125</f>
        <v>0</v>
      </c>
      <c r="K111" s="191"/>
      <c r="L111" s="191"/>
      <c r="M111" s="191"/>
      <c r="N111" s="191"/>
      <c r="O111" s="191"/>
      <c r="P111" s="191"/>
      <c r="Q111" s="191"/>
    </row>
    <row r="112" spans="1:17" s="39" customFormat="1" ht="230.25" thickTop="1" thickBot="1" x14ac:dyDescent="0.25">
      <c r="A112" s="524" t="s">
        <v>1134</v>
      </c>
      <c r="B112" s="524" t="s">
        <v>1135</v>
      </c>
      <c r="C112" s="524" t="s">
        <v>224</v>
      </c>
      <c r="D112" s="524" t="s">
        <v>1136</v>
      </c>
      <c r="E112" s="168" t="s">
        <v>703</v>
      </c>
      <c r="F112" s="523" t="s">
        <v>435</v>
      </c>
      <c r="G112" s="523">
        <f t="shared" ref="G112" si="14">H112+I112</f>
        <v>180000</v>
      </c>
      <c r="H112" s="523">
        <f>'d3'!E126</f>
        <v>180000</v>
      </c>
      <c r="I112" s="523">
        <f>'d3'!J126</f>
        <v>0</v>
      </c>
      <c r="J112" s="523">
        <f>'d3'!K126</f>
        <v>0</v>
      </c>
      <c r="K112" s="191"/>
      <c r="L112" s="191"/>
      <c r="M112" s="191"/>
      <c r="N112" s="191"/>
      <c r="O112" s="191"/>
      <c r="P112" s="191"/>
      <c r="Q112" s="191"/>
    </row>
    <row r="113" spans="1:17" s="39" customFormat="1" ht="230.25" thickTop="1" thickBot="1" x14ac:dyDescent="0.25">
      <c r="A113" s="470" t="s">
        <v>525</v>
      </c>
      <c r="B113" s="470" t="s">
        <v>526</v>
      </c>
      <c r="C113" s="470" t="s">
        <v>223</v>
      </c>
      <c r="D113" s="470" t="s">
        <v>527</v>
      </c>
      <c r="E113" s="168" t="s">
        <v>703</v>
      </c>
      <c r="F113" s="469" t="s">
        <v>435</v>
      </c>
      <c r="G113" s="469">
        <f t="shared" si="13"/>
        <v>353047</v>
      </c>
      <c r="H113" s="469">
        <f>'d3'!E127</f>
        <v>353047</v>
      </c>
      <c r="I113" s="469">
        <f>'d3'!J127</f>
        <v>0</v>
      </c>
      <c r="J113" s="469">
        <f>'d3'!K127</f>
        <v>0</v>
      </c>
      <c r="K113" s="191"/>
      <c r="L113" s="191"/>
      <c r="M113" s="191"/>
      <c r="N113" s="191"/>
      <c r="O113" s="191"/>
      <c r="P113" s="191"/>
      <c r="Q113" s="191"/>
    </row>
    <row r="114" spans="1:17" ht="276" thickTop="1" thickBot="1" x14ac:dyDescent="0.25">
      <c r="A114" s="363" t="s">
        <v>285</v>
      </c>
      <c r="B114" s="363" t="s">
        <v>283</v>
      </c>
      <c r="C114" s="363" t="s">
        <v>218</v>
      </c>
      <c r="D114" s="363" t="s">
        <v>17</v>
      </c>
      <c r="E114" s="168" t="s">
        <v>703</v>
      </c>
      <c r="F114" s="362" t="s">
        <v>435</v>
      </c>
      <c r="G114" s="362">
        <f t="shared" si="13"/>
        <v>28745620</v>
      </c>
      <c r="H114" s="362">
        <f>'d3'!E129</f>
        <v>28467620</v>
      </c>
      <c r="I114" s="362">
        <f>'d3'!J129</f>
        <v>278000</v>
      </c>
      <c r="J114" s="362">
        <f>'d3'!K129</f>
        <v>128000</v>
      </c>
    </row>
    <row r="115" spans="1:17" ht="230.25" thickTop="1" thickBot="1" x14ac:dyDescent="0.25">
      <c r="A115" s="363" t="s">
        <v>286</v>
      </c>
      <c r="B115" s="363" t="s">
        <v>284</v>
      </c>
      <c r="C115" s="363" t="s">
        <v>217</v>
      </c>
      <c r="D115" s="363" t="s">
        <v>491</v>
      </c>
      <c r="E115" s="168" t="s">
        <v>703</v>
      </c>
      <c r="F115" s="362" t="s">
        <v>435</v>
      </c>
      <c r="G115" s="362">
        <f t="shared" si="13"/>
        <v>7713420</v>
      </c>
      <c r="H115" s="362">
        <f>'d3'!E130</f>
        <v>7669980</v>
      </c>
      <c r="I115" s="365">
        <f>'d3'!J130</f>
        <v>43440</v>
      </c>
      <c r="J115" s="365">
        <f>'d3'!K130</f>
        <v>43440</v>
      </c>
    </row>
    <row r="116" spans="1:17" s="658" customFormat="1" ht="276" thickTop="1" thickBot="1" x14ac:dyDescent="0.25">
      <c r="A116" s="663" t="s">
        <v>1342</v>
      </c>
      <c r="B116" s="663" t="s">
        <v>1343</v>
      </c>
      <c r="C116" s="663" t="s">
        <v>203</v>
      </c>
      <c r="D116" s="663" t="s">
        <v>1344</v>
      </c>
      <c r="E116" s="168" t="s">
        <v>703</v>
      </c>
      <c r="F116" s="662" t="s">
        <v>435</v>
      </c>
      <c r="G116" s="662">
        <f t="shared" si="13"/>
        <v>2571595</v>
      </c>
      <c r="H116" s="662">
        <f>'d3'!E132</f>
        <v>267380</v>
      </c>
      <c r="I116" s="662">
        <f>'d3'!J132</f>
        <v>2304215</v>
      </c>
      <c r="J116" s="662">
        <f>'d3'!K132</f>
        <v>2304215</v>
      </c>
      <c r="K116" s="666"/>
      <c r="L116" s="666"/>
      <c r="M116" s="666"/>
      <c r="N116" s="666"/>
      <c r="O116" s="666"/>
      <c r="P116" s="666"/>
      <c r="Q116" s="666"/>
    </row>
    <row r="117" spans="1:17" ht="409.6" thickTop="1" thickBot="1" x14ac:dyDescent="0.25">
      <c r="A117" s="747" t="s">
        <v>281</v>
      </c>
      <c r="B117" s="747" t="s">
        <v>282</v>
      </c>
      <c r="C117" s="747" t="s">
        <v>217</v>
      </c>
      <c r="D117" s="747" t="s">
        <v>489</v>
      </c>
      <c r="E117" s="319" t="s">
        <v>703</v>
      </c>
      <c r="F117" s="746" t="s">
        <v>435</v>
      </c>
      <c r="G117" s="746">
        <f t="shared" si="13"/>
        <v>2246695</v>
      </c>
      <c r="H117" s="746">
        <f>'d3'!E133</f>
        <v>2246695</v>
      </c>
      <c r="I117" s="746">
        <f>'d3'!J133</f>
        <v>0</v>
      </c>
      <c r="J117" s="746">
        <f>'d3'!K133</f>
        <v>0</v>
      </c>
    </row>
    <row r="118" spans="1:17" ht="276" thickTop="1" thickBot="1" x14ac:dyDescent="0.25">
      <c r="A118" s="363" t="s">
        <v>528</v>
      </c>
      <c r="B118" s="363" t="s">
        <v>529</v>
      </c>
      <c r="C118" s="363" t="s">
        <v>217</v>
      </c>
      <c r="D118" s="363" t="s">
        <v>530</v>
      </c>
      <c r="E118" s="168" t="s">
        <v>703</v>
      </c>
      <c r="F118" s="469" t="s">
        <v>435</v>
      </c>
      <c r="G118" s="362">
        <f t="shared" si="13"/>
        <v>147491</v>
      </c>
      <c r="H118" s="362">
        <f>'d3'!E135</f>
        <v>147491</v>
      </c>
      <c r="I118" s="362">
        <f>'d3'!J135</f>
        <v>0</v>
      </c>
      <c r="J118" s="469">
        <f>'d3'!K135</f>
        <v>0</v>
      </c>
    </row>
    <row r="119" spans="1:17" ht="367.5" thickTop="1" thickBot="1" x14ac:dyDescent="0.25">
      <c r="A119" s="363" t="s">
        <v>374</v>
      </c>
      <c r="B119" s="363" t="s">
        <v>373</v>
      </c>
      <c r="C119" s="363" t="s">
        <v>52</v>
      </c>
      <c r="D119" s="363" t="s">
        <v>490</v>
      </c>
      <c r="E119" s="168" t="s">
        <v>703</v>
      </c>
      <c r="F119" s="362" t="s">
        <v>435</v>
      </c>
      <c r="G119" s="362">
        <f t="shared" si="13"/>
        <v>1046775</v>
      </c>
      <c r="H119" s="362">
        <f>'d3'!E136-H120</f>
        <v>1046775</v>
      </c>
      <c r="I119" s="362">
        <f>'d3'!J136-I120</f>
        <v>0</v>
      </c>
      <c r="J119" s="362">
        <f>'d3'!K136-J120</f>
        <v>0</v>
      </c>
    </row>
    <row r="120" spans="1:17" ht="367.5" thickTop="1" thickBot="1" x14ac:dyDescent="0.25">
      <c r="A120" s="363" t="s">
        <v>374</v>
      </c>
      <c r="B120" s="363" t="s">
        <v>373</v>
      </c>
      <c r="C120" s="363" t="s">
        <v>52</v>
      </c>
      <c r="D120" s="363" t="s">
        <v>490</v>
      </c>
      <c r="E120" s="319" t="s">
        <v>1036</v>
      </c>
      <c r="F120" s="453" t="s">
        <v>1037</v>
      </c>
      <c r="G120" s="362">
        <f t="shared" si="13"/>
        <v>1578650</v>
      </c>
      <c r="H120" s="362">
        <f>(1284230+294420)</f>
        <v>1578650</v>
      </c>
      <c r="I120" s="362">
        <v>0</v>
      </c>
      <c r="J120" s="362">
        <v>0</v>
      </c>
    </row>
    <row r="121" spans="1:17" ht="230.25" thickTop="1" thickBot="1" x14ac:dyDescent="0.25">
      <c r="A121" s="363" t="s">
        <v>350</v>
      </c>
      <c r="B121" s="363" t="s">
        <v>351</v>
      </c>
      <c r="C121" s="363" t="s">
        <v>223</v>
      </c>
      <c r="D121" s="363" t="s">
        <v>790</v>
      </c>
      <c r="E121" s="168" t="s">
        <v>703</v>
      </c>
      <c r="F121" s="362" t="s">
        <v>435</v>
      </c>
      <c r="G121" s="362">
        <f t="shared" si="13"/>
        <v>530000</v>
      </c>
      <c r="H121" s="362">
        <f>'d3'!E138</f>
        <v>530000</v>
      </c>
      <c r="I121" s="362">
        <f>'d3'!J138</f>
        <v>0</v>
      </c>
      <c r="J121" s="362">
        <f>'d3'!K138</f>
        <v>0</v>
      </c>
    </row>
    <row r="122" spans="1:17" ht="184.5" thickTop="1" thickBot="1" x14ac:dyDescent="0.25">
      <c r="A122" s="363" t="s">
        <v>456</v>
      </c>
      <c r="B122" s="363" t="s">
        <v>398</v>
      </c>
      <c r="C122" s="363" t="s">
        <v>399</v>
      </c>
      <c r="D122" s="363" t="s">
        <v>397</v>
      </c>
      <c r="E122" s="319" t="s">
        <v>1216</v>
      </c>
      <c r="F122" s="584" t="s">
        <v>1217</v>
      </c>
      <c r="G122" s="362">
        <f t="shared" si="13"/>
        <v>100040</v>
      </c>
      <c r="H122" s="362">
        <f>'d3'!E139</f>
        <v>100040</v>
      </c>
      <c r="I122" s="362">
        <f>'d3'!J139</f>
        <v>0</v>
      </c>
      <c r="J122" s="362">
        <f>'d3'!K139</f>
        <v>0</v>
      </c>
    </row>
    <row r="123" spans="1:17" ht="230.25" thickTop="1" thickBot="1" x14ac:dyDescent="0.25">
      <c r="A123" s="363" t="s">
        <v>352</v>
      </c>
      <c r="B123" s="363" t="s">
        <v>354</v>
      </c>
      <c r="C123" s="363" t="s">
        <v>209</v>
      </c>
      <c r="D123" s="321" t="s">
        <v>356</v>
      </c>
      <c r="E123" s="168" t="s">
        <v>703</v>
      </c>
      <c r="F123" s="362" t="s">
        <v>435</v>
      </c>
      <c r="G123" s="362">
        <f t="shared" si="13"/>
        <v>7501869</v>
      </c>
      <c r="H123" s="306">
        <f>'d3'!E155-H124</f>
        <v>7258869</v>
      </c>
      <c r="I123" s="362">
        <f>'d3'!J155-I124</f>
        <v>243000</v>
      </c>
      <c r="J123" s="362">
        <f>'d3'!K155-J124</f>
        <v>98000</v>
      </c>
    </row>
    <row r="124" spans="1:17" ht="230.25" thickTop="1" thickBot="1" x14ac:dyDescent="0.25">
      <c r="A124" s="363" t="s">
        <v>352</v>
      </c>
      <c r="B124" s="363" t="s">
        <v>354</v>
      </c>
      <c r="C124" s="363" t="s">
        <v>209</v>
      </c>
      <c r="D124" s="321" t="s">
        <v>356</v>
      </c>
      <c r="E124" s="168" t="s">
        <v>485</v>
      </c>
      <c r="F124" s="276" t="s">
        <v>486</v>
      </c>
      <c r="G124" s="362">
        <f>H124+I124</f>
        <v>463983</v>
      </c>
      <c r="H124" s="306">
        <f>(34018+31058+10567)</f>
        <v>75643</v>
      </c>
      <c r="I124" s="362">
        <f>(136399+40788+138259+72894)</f>
        <v>388340</v>
      </c>
      <c r="J124" s="362">
        <f>(136399+40788+138259+72894)</f>
        <v>388340</v>
      </c>
    </row>
    <row r="125" spans="1:17" ht="230.25" thickTop="1" thickBot="1" x14ac:dyDescent="0.25">
      <c r="A125" s="363" t="s">
        <v>353</v>
      </c>
      <c r="B125" s="363" t="s">
        <v>355</v>
      </c>
      <c r="C125" s="363" t="s">
        <v>209</v>
      </c>
      <c r="D125" s="321" t="s">
        <v>357</v>
      </c>
      <c r="E125" s="168" t="s">
        <v>703</v>
      </c>
      <c r="F125" s="362" t="s">
        <v>435</v>
      </c>
      <c r="G125" s="362">
        <f t="shared" si="13"/>
        <v>27626173</v>
      </c>
      <c r="H125" s="362">
        <f>'d3'!E156-H126-H127</f>
        <v>27481173</v>
      </c>
      <c r="I125" s="805">
        <f>'d3'!J156-I126-I127</f>
        <v>145000</v>
      </c>
      <c r="J125" s="805">
        <f>'d3'!K156-J126-J127</f>
        <v>145000</v>
      </c>
      <c r="K125" s="801">
        <v>145000</v>
      </c>
    </row>
    <row r="126" spans="1:17" ht="138.75" thickTop="1" thickBot="1" x14ac:dyDescent="0.25">
      <c r="A126" s="363" t="s">
        <v>353</v>
      </c>
      <c r="B126" s="363" t="s">
        <v>355</v>
      </c>
      <c r="C126" s="363" t="s">
        <v>209</v>
      </c>
      <c r="D126" s="321" t="s">
        <v>357</v>
      </c>
      <c r="E126" s="362" t="s">
        <v>1034</v>
      </c>
      <c r="F126" s="362" t="s">
        <v>1035</v>
      </c>
      <c r="G126" s="362">
        <f t="shared" si="13"/>
        <v>700000</v>
      </c>
      <c r="H126" s="362">
        <f>200000+500000</f>
        <v>700000</v>
      </c>
      <c r="I126" s="362">
        <v>0</v>
      </c>
      <c r="J126" s="362">
        <v>0</v>
      </c>
    </row>
    <row r="127" spans="1:17" ht="184.5" thickTop="1" thickBot="1" x14ac:dyDescent="0.25">
      <c r="A127" s="363" t="s">
        <v>353</v>
      </c>
      <c r="B127" s="363" t="s">
        <v>355</v>
      </c>
      <c r="C127" s="363" t="s">
        <v>209</v>
      </c>
      <c r="D127" s="321" t="s">
        <v>357</v>
      </c>
      <c r="E127" s="319" t="s">
        <v>1036</v>
      </c>
      <c r="F127" s="453" t="s">
        <v>1037</v>
      </c>
      <c r="G127" s="362">
        <f t="shared" si="13"/>
        <v>4025400</v>
      </c>
      <c r="H127" s="362">
        <f>3000000+476490+400000+60000</f>
        <v>3936490</v>
      </c>
      <c r="I127" s="362">
        <v>88910</v>
      </c>
      <c r="J127" s="362">
        <v>88910</v>
      </c>
      <c r="K127" s="223"/>
    </row>
    <row r="128" spans="1:17" ht="184.5" thickTop="1" thickBot="1" x14ac:dyDescent="0.25">
      <c r="A128" s="363" t="s">
        <v>393</v>
      </c>
      <c r="B128" s="363" t="s">
        <v>391</v>
      </c>
      <c r="C128" s="363" t="s">
        <v>365</v>
      </c>
      <c r="D128" s="321" t="s">
        <v>392</v>
      </c>
      <c r="E128" s="319" t="s">
        <v>1036</v>
      </c>
      <c r="F128" s="453" t="s">
        <v>1037</v>
      </c>
      <c r="G128" s="362">
        <f t="shared" si="13"/>
        <v>4000000</v>
      </c>
      <c r="H128" s="362">
        <f>'d3'!E159</f>
        <v>0</v>
      </c>
      <c r="I128" s="362">
        <f>'d3'!J159</f>
        <v>4000000</v>
      </c>
      <c r="J128" s="362">
        <f>'d3'!K159</f>
        <v>4000000</v>
      </c>
    </row>
    <row r="129" spans="1:17" s="752" customFormat="1" ht="409.6" thickTop="1" thickBot="1" x14ac:dyDescent="0.25">
      <c r="A129" s="756" t="s">
        <v>1424</v>
      </c>
      <c r="B129" s="756" t="s">
        <v>1425</v>
      </c>
      <c r="C129" s="756" t="s">
        <v>365</v>
      </c>
      <c r="D129" s="321" t="s">
        <v>1426</v>
      </c>
      <c r="E129" s="755" t="s">
        <v>1034</v>
      </c>
      <c r="F129" s="755" t="s">
        <v>1035</v>
      </c>
      <c r="G129" s="755">
        <f t="shared" si="13"/>
        <v>3200078</v>
      </c>
      <c r="H129" s="757">
        <f>'d3'!E160</f>
        <v>0</v>
      </c>
      <c r="I129" s="757">
        <f>'d3'!J160</f>
        <v>3200078</v>
      </c>
      <c r="J129" s="757">
        <f>'d3'!K160</f>
        <v>3200078</v>
      </c>
      <c r="K129" s="758"/>
      <c r="L129" s="758"/>
      <c r="M129" s="758"/>
      <c r="N129" s="758"/>
      <c r="O129" s="758"/>
      <c r="P129" s="758"/>
      <c r="Q129" s="758"/>
    </row>
    <row r="130" spans="1:17" s="533" customFormat="1" ht="230.25" thickTop="1" thickBot="1" x14ac:dyDescent="0.25">
      <c r="A130" s="536" t="s">
        <v>1140</v>
      </c>
      <c r="B130" s="536" t="s">
        <v>1141</v>
      </c>
      <c r="C130" s="536" t="s">
        <v>323</v>
      </c>
      <c r="D130" s="536" t="s">
        <v>1142</v>
      </c>
      <c r="E130" s="168" t="s">
        <v>703</v>
      </c>
      <c r="F130" s="534" t="s">
        <v>435</v>
      </c>
      <c r="G130" s="534">
        <f t="shared" si="13"/>
        <v>220000</v>
      </c>
      <c r="H130" s="540">
        <f>'d3'!E164</f>
        <v>0</v>
      </c>
      <c r="I130" s="540">
        <f>'d3'!J164</f>
        <v>220000</v>
      </c>
      <c r="J130" s="540">
        <f>'d3'!K164</f>
        <v>220000</v>
      </c>
      <c r="K130" s="541"/>
      <c r="L130" s="541"/>
      <c r="M130" s="541"/>
      <c r="N130" s="541"/>
      <c r="O130" s="541"/>
      <c r="P130" s="541"/>
      <c r="Q130" s="541"/>
    </row>
    <row r="131" spans="1:17" ht="409.6" thickTop="1" thickBot="1" x14ac:dyDescent="0.7">
      <c r="A131" s="1093" t="s">
        <v>451</v>
      </c>
      <c r="B131" s="1093" t="s">
        <v>363</v>
      </c>
      <c r="C131" s="1093" t="s">
        <v>184</v>
      </c>
      <c r="D131" s="315" t="s">
        <v>473</v>
      </c>
      <c r="E131" s="1093" t="s">
        <v>1026</v>
      </c>
      <c r="F131" s="1093" t="s">
        <v>1027</v>
      </c>
      <c r="G131" s="1099">
        <f>H131+I131</f>
        <v>322000</v>
      </c>
      <c r="H131" s="1099">
        <f>'d3'!E167</f>
        <v>0</v>
      </c>
      <c r="I131" s="1099">
        <f>'d3'!J167</f>
        <v>322000</v>
      </c>
      <c r="J131" s="1099">
        <f>'d3'!K167</f>
        <v>0</v>
      </c>
    </row>
    <row r="132" spans="1:17" ht="184.5" thickTop="1" thickBot="1" x14ac:dyDescent="0.25">
      <c r="A132" s="1090"/>
      <c r="B132" s="1090"/>
      <c r="C132" s="1090"/>
      <c r="D132" s="317" t="s">
        <v>474</v>
      </c>
      <c r="E132" s="1090"/>
      <c r="F132" s="1090"/>
      <c r="G132" s="1100"/>
      <c r="H132" s="1100"/>
      <c r="I132" s="1107"/>
      <c r="J132" s="1107"/>
      <c r="K132" s="217"/>
      <c r="L132" s="220"/>
      <c r="M132" s="220"/>
    </row>
    <row r="133" spans="1:17" ht="181.5" thickTop="1" thickBot="1" x14ac:dyDescent="0.25">
      <c r="A133" s="825">
        <v>1000000</v>
      </c>
      <c r="B133" s="825"/>
      <c r="C133" s="825"/>
      <c r="D133" s="826" t="s">
        <v>24</v>
      </c>
      <c r="E133" s="827"/>
      <c r="F133" s="828"/>
      <c r="G133" s="828">
        <f>G134</f>
        <v>144385683</v>
      </c>
      <c r="H133" s="828">
        <f t="shared" ref="H133:J133" si="15">H134</f>
        <v>127138658</v>
      </c>
      <c r="I133" s="827">
        <f t="shared" si="15"/>
        <v>17247025</v>
      </c>
      <c r="J133" s="827">
        <f t="shared" si="15"/>
        <v>7416625</v>
      </c>
      <c r="K133" s="228" t="b">
        <f>H133='d3'!E170</f>
        <v>1</v>
      </c>
      <c r="L133" s="229" t="b">
        <f>I133='d3'!J170</f>
        <v>1</v>
      </c>
      <c r="M133" s="229" t="b">
        <f>J133='d3'!K170</f>
        <v>1</v>
      </c>
    </row>
    <row r="134" spans="1:17" ht="181.5" thickTop="1" thickBot="1" x14ac:dyDescent="0.25">
      <c r="A134" s="829">
        <v>1010000</v>
      </c>
      <c r="B134" s="829"/>
      <c r="C134" s="829"/>
      <c r="D134" s="830" t="s">
        <v>41</v>
      </c>
      <c r="E134" s="831"/>
      <c r="F134" s="831"/>
      <c r="G134" s="831">
        <f>SUM(G135:G150)</f>
        <v>144385683</v>
      </c>
      <c r="H134" s="831">
        <f>SUM(H135:H150)</f>
        <v>127138658</v>
      </c>
      <c r="I134" s="831">
        <f>SUM(I135:I150)</f>
        <v>17247025</v>
      </c>
      <c r="J134" s="831">
        <f>SUM(J135:J150)</f>
        <v>7416625</v>
      </c>
    </row>
    <row r="135" spans="1:17" ht="230.25" thickTop="1" thickBot="1" x14ac:dyDescent="0.25">
      <c r="A135" s="363" t="s">
        <v>791</v>
      </c>
      <c r="B135" s="363" t="s">
        <v>792</v>
      </c>
      <c r="C135" s="363" t="s">
        <v>199</v>
      </c>
      <c r="D135" s="363" t="s">
        <v>546</v>
      </c>
      <c r="E135" s="362" t="s">
        <v>1032</v>
      </c>
      <c r="F135" s="453" t="s">
        <v>1033</v>
      </c>
      <c r="G135" s="362">
        <f>H135+I135</f>
        <v>80198786</v>
      </c>
      <c r="H135" s="362">
        <f>'d3'!E172</f>
        <v>70087686</v>
      </c>
      <c r="I135" s="362">
        <f>'d3'!J172</f>
        <v>10111100</v>
      </c>
      <c r="J135" s="362">
        <f>'d3'!K172</f>
        <v>1049000</v>
      </c>
    </row>
    <row r="136" spans="1:17" ht="243" customHeight="1" thickTop="1" thickBot="1" x14ac:dyDescent="0.25">
      <c r="A136" s="363" t="s">
        <v>185</v>
      </c>
      <c r="B136" s="363" t="s">
        <v>186</v>
      </c>
      <c r="C136" s="363" t="s">
        <v>188</v>
      </c>
      <c r="D136" s="363" t="s">
        <v>189</v>
      </c>
      <c r="E136" s="453" t="s">
        <v>1032</v>
      </c>
      <c r="F136" s="453" t="s">
        <v>1033</v>
      </c>
      <c r="G136" s="362">
        <f t="shared" ref="G136:G150" si="16">H136+I136</f>
        <v>1030790</v>
      </c>
      <c r="H136" s="362">
        <f>'d3'!E174</f>
        <v>1030790</v>
      </c>
      <c r="I136" s="362">
        <f>'d3'!J174</f>
        <v>0</v>
      </c>
      <c r="J136" s="362">
        <f>'d3'!K174</f>
        <v>0</v>
      </c>
    </row>
    <row r="137" spans="1:17" ht="230.25" thickTop="1" thickBot="1" x14ac:dyDescent="0.25">
      <c r="A137" s="363" t="s">
        <v>190</v>
      </c>
      <c r="B137" s="363" t="s">
        <v>191</v>
      </c>
      <c r="C137" s="363" t="s">
        <v>192</v>
      </c>
      <c r="D137" s="363" t="s">
        <v>193</v>
      </c>
      <c r="E137" s="453" t="s">
        <v>1032</v>
      </c>
      <c r="F137" s="453" t="s">
        <v>1033</v>
      </c>
      <c r="G137" s="362">
        <f t="shared" si="16"/>
        <v>13966025</v>
      </c>
      <c r="H137" s="362">
        <f>'d3'!E175-H138-H139</f>
        <v>13871025</v>
      </c>
      <c r="I137" s="362">
        <f>'d3'!J175-I138-I139</f>
        <v>95000</v>
      </c>
      <c r="J137" s="362">
        <f>'d3'!K175-J138-J139</f>
        <v>0</v>
      </c>
    </row>
    <row r="138" spans="1:17" ht="230.25" thickTop="1" thickBot="1" x14ac:dyDescent="0.25">
      <c r="A138" s="363" t="s">
        <v>190</v>
      </c>
      <c r="B138" s="363" t="s">
        <v>191</v>
      </c>
      <c r="C138" s="363" t="s">
        <v>192</v>
      </c>
      <c r="D138" s="363" t="s">
        <v>193</v>
      </c>
      <c r="E138" s="168" t="s">
        <v>485</v>
      </c>
      <c r="F138" s="276" t="s">
        <v>486</v>
      </c>
      <c r="G138" s="362">
        <f>H138+I138</f>
        <v>300000</v>
      </c>
      <c r="H138" s="306">
        <f>(56000+55000)</f>
        <v>111000</v>
      </c>
      <c r="I138" s="362">
        <f>(10000+84000+28000+67000)</f>
        <v>189000</v>
      </c>
      <c r="J138" s="362">
        <f>(10000+84000+28000+67000)</f>
        <v>189000</v>
      </c>
    </row>
    <row r="139" spans="1:17" s="504" customFormat="1" ht="276" thickTop="1" thickBot="1" x14ac:dyDescent="0.25">
      <c r="A139" s="508" t="s">
        <v>190</v>
      </c>
      <c r="B139" s="508" t="s">
        <v>191</v>
      </c>
      <c r="C139" s="508" t="s">
        <v>192</v>
      </c>
      <c r="D139" s="508" t="s">
        <v>193</v>
      </c>
      <c r="E139" s="505" t="s">
        <v>1030</v>
      </c>
      <c r="F139" s="507" t="s">
        <v>1031</v>
      </c>
      <c r="G139" s="507">
        <f>H139+I139</f>
        <v>766000</v>
      </c>
      <c r="H139" s="509">
        <v>0</v>
      </c>
      <c r="I139" s="507">
        <v>766000</v>
      </c>
      <c r="J139" s="507">
        <v>766000</v>
      </c>
      <c r="K139" s="511"/>
      <c r="L139" s="511"/>
      <c r="M139" s="511"/>
      <c r="N139" s="511"/>
      <c r="O139" s="511"/>
      <c r="P139" s="511"/>
      <c r="Q139" s="511"/>
    </row>
    <row r="140" spans="1:17" ht="230.25" thickTop="1" thickBot="1" x14ac:dyDescent="0.25">
      <c r="A140" s="363" t="s">
        <v>194</v>
      </c>
      <c r="B140" s="363" t="s">
        <v>195</v>
      </c>
      <c r="C140" s="363" t="s">
        <v>192</v>
      </c>
      <c r="D140" s="363" t="s">
        <v>500</v>
      </c>
      <c r="E140" s="453" t="s">
        <v>1032</v>
      </c>
      <c r="F140" s="453" t="s">
        <v>1033</v>
      </c>
      <c r="G140" s="362">
        <f t="shared" si="16"/>
        <v>7193535</v>
      </c>
      <c r="H140" s="362">
        <f>'d3'!E176</f>
        <v>1948435</v>
      </c>
      <c r="I140" s="362">
        <f>'d3'!J176</f>
        <v>5245100</v>
      </c>
      <c r="J140" s="362">
        <f>'d3'!K176</f>
        <v>5164900</v>
      </c>
    </row>
    <row r="141" spans="1:17" ht="230.25" thickTop="1" thickBot="1" x14ac:dyDescent="0.25">
      <c r="A141" s="363" t="s">
        <v>196</v>
      </c>
      <c r="B141" s="363" t="s">
        <v>187</v>
      </c>
      <c r="C141" s="363" t="s">
        <v>197</v>
      </c>
      <c r="D141" s="363" t="s">
        <v>198</v>
      </c>
      <c r="E141" s="453" t="s">
        <v>1032</v>
      </c>
      <c r="F141" s="453" t="s">
        <v>1033</v>
      </c>
      <c r="G141" s="362">
        <f t="shared" si="16"/>
        <v>14182015</v>
      </c>
      <c r="H141" s="362">
        <f>'d3'!E177-H142</f>
        <v>13704315</v>
      </c>
      <c r="I141" s="362">
        <f>'d3'!J177-I142</f>
        <v>477700</v>
      </c>
      <c r="J141" s="362">
        <f>'d3'!K177-J142</f>
        <v>21600</v>
      </c>
    </row>
    <row r="142" spans="1:17" ht="230.25" thickTop="1" thickBot="1" x14ac:dyDescent="0.25">
      <c r="A142" s="363" t="s">
        <v>196</v>
      </c>
      <c r="B142" s="363" t="s">
        <v>187</v>
      </c>
      <c r="C142" s="363" t="s">
        <v>197</v>
      </c>
      <c r="D142" s="363" t="s">
        <v>198</v>
      </c>
      <c r="E142" s="168" t="s">
        <v>485</v>
      </c>
      <c r="F142" s="276" t="s">
        <v>486</v>
      </c>
      <c r="G142" s="362">
        <f>H142+I142</f>
        <v>149300</v>
      </c>
      <c r="H142" s="306">
        <v>24800</v>
      </c>
      <c r="I142" s="362">
        <v>124500</v>
      </c>
      <c r="J142" s="362">
        <v>124500</v>
      </c>
    </row>
    <row r="143" spans="1:17" ht="230.25" thickTop="1" thickBot="1" x14ac:dyDescent="0.25">
      <c r="A143" s="363" t="s">
        <v>358</v>
      </c>
      <c r="B143" s="363" t="s">
        <v>359</v>
      </c>
      <c r="C143" s="363" t="s">
        <v>200</v>
      </c>
      <c r="D143" s="363" t="s">
        <v>501</v>
      </c>
      <c r="E143" s="453" t="s">
        <v>1032</v>
      </c>
      <c r="F143" s="453" t="s">
        <v>1033</v>
      </c>
      <c r="G143" s="362">
        <f t="shared" si="16"/>
        <v>18556795</v>
      </c>
      <c r="H143" s="362">
        <f>'d3'!E179-H144</f>
        <v>18388170</v>
      </c>
      <c r="I143" s="362">
        <f>'d3'!J179-I144</f>
        <v>168625</v>
      </c>
      <c r="J143" s="362">
        <f>'d3'!K179-J144</f>
        <v>31625</v>
      </c>
    </row>
    <row r="144" spans="1:17" ht="199.5" customHeight="1" thickTop="1" thickBot="1" x14ac:dyDescent="0.25">
      <c r="A144" s="363" t="s">
        <v>358</v>
      </c>
      <c r="B144" s="363" t="s">
        <v>359</v>
      </c>
      <c r="C144" s="363" t="s">
        <v>200</v>
      </c>
      <c r="D144" s="363" t="s">
        <v>501</v>
      </c>
      <c r="E144" s="362" t="s">
        <v>714</v>
      </c>
      <c r="F144" s="362" t="s">
        <v>434</v>
      </c>
      <c r="G144" s="362">
        <f t="shared" si="16"/>
        <v>804000</v>
      </c>
      <c r="H144" s="362">
        <v>804000</v>
      </c>
      <c r="I144" s="362">
        <v>0</v>
      </c>
      <c r="J144" s="362">
        <v>0</v>
      </c>
    </row>
    <row r="145" spans="1:17" ht="246" customHeight="1" thickTop="1" thickBot="1" x14ac:dyDescent="0.25">
      <c r="A145" s="363" t="s">
        <v>360</v>
      </c>
      <c r="B145" s="363" t="s">
        <v>361</v>
      </c>
      <c r="C145" s="363" t="s">
        <v>200</v>
      </c>
      <c r="D145" s="363" t="s">
        <v>502</v>
      </c>
      <c r="E145" s="453" t="s">
        <v>1032</v>
      </c>
      <c r="F145" s="453" t="s">
        <v>1033</v>
      </c>
      <c r="G145" s="362">
        <f t="shared" si="16"/>
        <v>5887160</v>
      </c>
      <c r="H145" s="362">
        <f>'d3'!E180-H146-H147</f>
        <v>5887160</v>
      </c>
      <c r="I145" s="362">
        <f>'d3'!J180-I146-I147</f>
        <v>0</v>
      </c>
      <c r="J145" s="362">
        <f>'d3'!K180-J146-J147</f>
        <v>0</v>
      </c>
    </row>
    <row r="146" spans="1:17" ht="178.5" customHeight="1" thickTop="1" thickBot="1" x14ac:dyDescent="0.25">
      <c r="A146" s="363" t="s">
        <v>360</v>
      </c>
      <c r="B146" s="363" t="s">
        <v>361</v>
      </c>
      <c r="C146" s="363" t="s">
        <v>200</v>
      </c>
      <c r="D146" s="363" t="s">
        <v>502</v>
      </c>
      <c r="E146" s="362" t="s">
        <v>714</v>
      </c>
      <c r="F146" s="362" t="s">
        <v>434</v>
      </c>
      <c r="G146" s="362">
        <f t="shared" si="16"/>
        <v>315000</v>
      </c>
      <c r="H146" s="362">
        <v>315000</v>
      </c>
      <c r="I146" s="362">
        <v>0</v>
      </c>
      <c r="J146" s="362">
        <v>0</v>
      </c>
    </row>
    <row r="147" spans="1:17" ht="310.7" customHeight="1" thickTop="1" thickBot="1" x14ac:dyDescent="0.25">
      <c r="A147" s="363" t="s">
        <v>360</v>
      </c>
      <c r="B147" s="363" t="s">
        <v>361</v>
      </c>
      <c r="C147" s="363" t="s">
        <v>200</v>
      </c>
      <c r="D147" s="363" t="s">
        <v>502</v>
      </c>
      <c r="E147" s="454" t="s">
        <v>1030</v>
      </c>
      <c r="F147" s="453" t="s">
        <v>1031</v>
      </c>
      <c r="G147" s="362">
        <f t="shared" si="16"/>
        <v>164000</v>
      </c>
      <c r="H147" s="362">
        <v>164000</v>
      </c>
      <c r="I147" s="362">
        <v>0</v>
      </c>
      <c r="J147" s="362">
        <v>0</v>
      </c>
      <c r="K147" s="154"/>
      <c r="L147" s="154"/>
    </row>
    <row r="148" spans="1:17" s="699" customFormat="1" ht="184.5" thickTop="1" thickBot="1" x14ac:dyDescent="0.25">
      <c r="A148" s="701" t="s">
        <v>1366</v>
      </c>
      <c r="B148" s="701" t="s">
        <v>1367</v>
      </c>
      <c r="C148" s="701" t="s">
        <v>231</v>
      </c>
      <c r="D148" s="701" t="s">
        <v>1365</v>
      </c>
      <c r="E148" s="700" t="s">
        <v>1369</v>
      </c>
      <c r="F148" s="700" t="s">
        <v>1368</v>
      </c>
      <c r="G148" s="702">
        <f t="shared" si="16"/>
        <v>244140</v>
      </c>
      <c r="H148" s="702">
        <f>'d3'!E184</f>
        <v>244140</v>
      </c>
      <c r="I148" s="702">
        <f>'d3'!J184</f>
        <v>0</v>
      </c>
      <c r="J148" s="702">
        <f>'d3'!K184</f>
        <v>0</v>
      </c>
      <c r="K148" s="240"/>
      <c r="L148" s="240"/>
      <c r="M148" s="704"/>
      <c r="N148" s="704"/>
      <c r="O148" s="704"/>
      <c r="P148" s="704"/>
      <c r="Q148" s="704"/>
    </row>
    <row r="149" spans="1:17" s="504" customFormat="1" ht="310.7" customHeight="1" thickTop="1" thickBot="1" x14ac:dyDescent="0.25">
      <c r="A149" s="506" t="s">
        <v>1123</v>
      </c>
      <c r="B149" s="506" t="s">
        <v>215</v>
      </c>
      <c r="C149" s="506" t="s">
        <v>184</v>
      </c>
      <c r="D149" s="506" t="s">
        <v>36</v>
      </c>
      <c r="E149" s="298" t="s">
        <v>1026</v>
      </c>
      <c r="F149" s="507" t="s">
        <v>1027</v>
      </c>
      <c r="G149" s="507">
        <f t="shared" si="16"/>
        <v>70000</v>
      </c>
      <c r="H149" s="507">
        <f>'d3'!E185</f>
        <v>0</v>
      </c>
      <c r="I149" s="507">
        <f>'d3'!J185</f>
        <v>70000</v>
      </c>
      <c r="J149" s="512">
        <f>'d3'!K185</f>
        <v>70000</v>
      </c>
      <c r="K149" s="240"/>
      <c r="L149" s="240"/>
      <c r="M149" s="511"/>
      <c r="N149" s="511"/>
      <c r="O149" s="511"/>
      <c r="P149" s="511"/>
      <c r="Q149" s="511"/>
    </row>
    <row r="150" spans="1:17" s="235" customFormat="1" ht="230.25" thickTop="1" thickBot="1" x14ac:dyDescent="0.25">
      <c r="A150" s="364" t="s">
        <v>713</v>
      </c>
      <c r="B150" s="364" t="s">
        <v>389</v>
      </c>
      <c r="C150" s="364" t="s">
        <v>45</v>
      </c>
      <c r="D150" s="364" t="s">
        <v>390</v>
      </c>
      <c r="E150" s="298" t="s">
        <v>1026</v>
      </c>
      <c r="F150" s="450" t="s">
        <v>1027</v>
      </c>
      <c r="G150" s="362">
        <f t="shared" si="16"/>
        <v>558137</v>
      </c>
      <c r="H150" s="362">
        <f>'d3'!E188</f>
        <v>558137</v>
      </c>
      <c r="I150" s="362">
        <f>'d3'!J188</f>
        <v>0</v>
      </c>
      <c r="J150" s="362">
        <f>'d3'!K188</f>
        <v>0</v>
      </c>
      <c r="K150" s="240"/>
      <c r="L150" s="240"/>
      <c r="M150" s="236"/>
      <c r="N150" s="236"/>
      <c r="O150" s="236"/>
      <c r="P150" s="236"/>
      <c r="Q150" s="236"/>
    </row>
    <row r="151" spans="1:17" ht="163.5" customHeight="1" thickTop="1" thickBot="1" x14ac:dyDescent="0.25">
      <c r="A151" s="825" t="s">
        <v>22</v>
      </c>
      <c r="B151" s="825"/>
      <c r="C151" s="825"/>
      <c r="D151" s="826" t="s">
        <v>23</v>
      </c>
      <c r="E151" s="827"/>
      <c r="F151" s="828"/>
      <c r="G151" s="828">
        <f>G152</f>
        <v>112664006.73</v>
      </c>
      <c r="H151" s="828">
        <f t="shared" ref="H151:J151" si="17">H152</f>
        <v>98584324.530000001</v>
      </c>
      <c r="I151" s="827">
        <f t="shared" si="17"/>
        <v>14079682.199999999</v>
      </c>
      <c r="J151" s="827">
        <f t="shared" si="17"/>
        <v>11951695</v>
      </c>
      <c r="K151" s="228" t="b">
        <f>H151='d3'!E190+'d4'!F12</f>
        <v>1</v>
      </c>
      <c r="L151" s="229" t="b">
        <f>I151='d3'!J189+'d4'!G12</f>
        <v>1</v>
      </c>
      <c r="M151" s="229" t="b">
        <f>J151='d3'!K189+'d4'!H12</f>
        <v>1</v>
      </c>
    </row>
    <row r="152" spans="1:17" ht="175.7" customHeight="1" thickTop="1" thickBot="1" x14ac:dyDescent="0.25">
      <c r="A152" s="829" t="s">
        <v>21</v>
      </c>
      <c r="B152" s="829"/>
      <c r="C152" s="829"/>
      <c r="D152" s="830" t="s">
        <v>37</v>
      </c>
      <c r="E152" s="831"/>
      <c r="F152" s="831"/>
      <c r="G152" s="831">
        <f>SUM(G153:G169)</f>
        <v>112664006.73</v>
      </c>
      <c r="H152" s="831">
        <f t="shared" ref="H152:J152" si="18">SUM(H153:H169)</f>
        <v>98584324.530000001</v>
      </c>
      <c r="I152" s="831">
        <f t="shared" si="18"/>
        <v>14079682.199999999</v>
      </c>
      <c r="J152" s="831">
        <f t="shared" si="18"/>
        <v>11951695</v>
      </c>
    </row>
    <row r="153" spans="1:17" ht="321.75" thickTop="1" thickBot="1" x14ac:dyDescent="0.25">
      <c r="A153" s="363" t="s">
        <v>201</v>
      </c>
      <c r="B153" s="363" t="s">
        <v>202</v>
      </c>
      <c r="C153" s="363" t="s">
        <v>203</v>
      </c>
      <c r="D153" s="364" t="s">
        <v>793</v>
      </c>
      <c r="E153" s="168" t="s">
        <v>716</v>
      </c>
      <c r="F153" s="362" t="s">
        <v>436</v>
      </c>
      <c r="G153" s="362">
        <f t="shared" ref="G153:G154" si="19">H153+I153</f>
        <v>5351111</v>
      </c>
      <c r="H153" s="306">
        <f>'d3'!E193</f>
        <v>5351111</v>
      </c>
      <c r="I153" s="318">
        <f>'d3'!J193</f>
        <v>0</v>
      </c>
      <c r="J153" s="362">
        <f>'d3'!K193</f>
        <v>0</v>
      </c>
    </row>
    <row r="154" spans="1:17" ht="321.75" thickTop="1" thickBot="1" x14ac:dyDescent="0.25">
      <c r="A154" s="363" t="s">
        <v>207</v>
      </c>
      <c r="B154" s="363" t="s">
        <v>208</v>
      </c>
      <c r="C154" s="363" t="s">
        <v>203</v>
      </c>
      <c r="D154" s="363" t="s">
        <v>10</v>
      </c>
      <c r="E154" s="168" t="s">
        <v>716</v>
      </c>
      <c r="F154" s="362" t="s">
        <v>436</v>
      </c>
      <c r="G154" s="362">
        <f t="shared" si="19"/>
        <v>5546390</v>
      </c>
      <c r="H154" s="306">
        <f>'d3'!E195</f>
        <v>4469233</v>
      </c>
      <c r="I154" s="318">
        <f>'d3'!J195</f>
        <v>1077157</v>
      </c>
      <c r="J154" s="362">
        <f>'d3'!K195</f>
        <v>752157</v>
      </c>
    </row>
    <row r="155" spans="1:17" ht="321.75" thickTop="1" thickBot="1" x14ac:dyDescent="0.25">
      <c r="A155" s="363" t="s">
        <v>377</v>
      </c>
      <c r="B155" s="363" t="s">
        <v>378</v>
      </c>
      <c r="C155" s="363" t="s">
        <v>203</v>
      </c>
      <c r="D155" s="363" t="s">
        <v>379</v>
      </c>
      <c r="E155" s="168" t="s">
        <v>716</v>
      </c>
      <c r="F155" s="362" t="s">
        <v>436</v>
      </c>
      <c r="G155" s="362">
        <f t="shared" ref="G155:G159" si="20">H155+I155</f>
        <v>7194871</v>
      </c>
      <c r="H155" s="306">
        <f>'d3'!E196</f>
        <v>7191871</v>
      </c>
      <c r="I155" s="318">
        <f>'d3'!J196</f>
        <v>3000</v>
      </c>
      <c r="J155" s="362">
        <f>'d3'!K196</f>
        <v>0</v>
      </c>
    </row>
    <row r="156" spans="1:17" ht="321.75" thickTop="1" thickBot="1" x14ac:dyDescent="0.25">
      <c r="A156" s="743" t="s">
        <v>46</v>
      </c>
      <c r="B156" s="743" t="s">
        <v>204</v>
      </c>
      <c r="C156" s="743" t="s">
        <v>213</v>
      </c>
      <c r="D156" s="743" t="s">
        <v>47</v>
      </c>
      <c r="E156" s="319" t="s">
        <v>716</v>
      </c>
      <c r="F156" s="744" t="s">
        <v>436</v>
      </c>
      <c r="G156" s="744">
        <f t="shared" si="20"/>
        <v>17930902</v>
      </c>
      <c r="H156" s="744">
        <f>'d3'!E199</f>
        <v>17930902</v>
      </c>
      <c r="I156" s="745">
        <f>'d3'!J199</f>
        <v>0</v>
      </c>
      <c r="J156" s="744">
        <f>'d3'!K199</f>
        <v>0</v>
      </c>
    </row>
    <row r="157" spans="1:17" ht="321.75" thickTop="1" thickBot="1" x14ac:dyDescent="0.25">
      <c r="A157" s="363" t="s">
        <v>48</v>
      </c>
      <c r="B157" s="363" t="s">
        <v>205</v>
      </c>
      <c r="C157" s="363" t="s">
        <v>213</v>
      </c>
      <c r="D157" s="363" t="s">
        <v>4</v>
      </c>
      <c r="E157" s="168" t="s">
        <v>716</v>
      </c>
      <c r="F157" s="362" t="s">
        <v>436</v>
      </c>
      <c r="G157" s="362">
        <f t="shared" si="20"/>
        <v>2387585</v>
      </c>
      <c r="H157" s="362">
        <f>'d3'!E200</f>
        <v>2387585</v>
      </c>
      <c r="I157" s="318">
        <f>'d3'!J200</f>
        <v>0</v>
      </c>
      <c r="J157" s="362">
        <f>'d3'!K200</f>
        <v>0</v>
      </c>
    </row>
    <row r="158" spans="1:17" ht="321.75" thickTop="1" thickBot="1" x14ac:dyDescent="0.25">
      <c r="A158" s="363" t="s">
        <v>49</v>
      </c>
      <c r="B158" s="363" t="s">
        <v>206</v>
      </c>
      <c r="C158" s="363" t="s">
        <v>213</v>
      </c>
      <c r="D158" s="363" t="s">
        <v>375</v>
      </c>
      <c r="E158" s="168" t="s">
        <v>716</v>
      </c>
      <c r="F158" s="362" t="s">
        <v>436</v>
      </c>
      <c r="G158" s="362">
        <f t="shared" si="20"/>
        <v>14300</v>
      </c>
      <c r="H158" s="362">
        <f>'d3'!E202</f>
        <v>14300</v>
      </c>
      <c r="I158" s="318">
        <f>'d3'!J202</f>
        <v>0</v>
      </c>
      <c r="J158" s="362">
        <f>'d3'!K202</f>
        <v>0</v>
      </c>
    </row>
    <row r="159" spans="1:17" ht="321.75" thickTop="1" thickBot="1" x14ac:dyDescent="0.25">
      <c r="A159" s="363" t="s">
        <v>28</v>
      </c>
      <c r="B159" s="363" t="s">
        <v>210</v>
      </c>
      <c r="C159" s="363" t="s">
        <v>213</v>
      </c>
      <c r="D159" s="363" t="s">
        <v>50</v>
      </c>
      <c r="E159" s="168" t="s">
        <v>716</v>
      </c>
      <c r="F159" s="362" t="s">
        <v>436</v>
      </c>
      <c r="G159" s="362">
        <f t="shared" si="20"/>
        <v>58129069</v>
      </c>
      <c r="H159" s="362">
        <f>'d3'!E204-H160</f>
        <v>47096912</v>
      </c>
      <c r="I159" s="318">
        <f>'d3'!J204-I160</f>
        <v>11032157</v>
      </c>
      <c r="J159" s="362">
        <f>'d3'!K204-J160</f>
        <v>9455912</v>
      </c>
    </row>
    <row r="160" spans="1:17" ht="230.25" thickTop="1" thickBot="1" x14ac:dyDescent="0.25">
      <c r="A160" s="363" t="s">
        <v>28</v>
      </c>
      <c r="B160" s="363" t="s">
        <v>210</v>
      </c>
      <c r="C160" s="363" t="s">
        <v>213</v>
      </c>
      <c r="D160" s="363" t="s">
        <v>50</v>
      </c>
      <c r="E160" s="168" t="s">
        <v>485</v>
      </c>
      <c r="F160" s="276" t="s">
        <v>486</v>
      </c>
      <c r="G160" s="362">
        <f>H160+I160</f>
        <v>414145</v>
      </c>
      <c r="H160" s="306">
        <f>(27100+117565+67500)</f>
        <v>212165</v>
      </c>
      <c r="I160" s="362">
        <f>(91670+32400+77910)</f>
        <v>201980</v>
      </c>
      <c r="J160" s="362">
        <f>(91670+32400+77910)</f>
        <v>201980</v>
      </c>
    </row>
    <row r="161" spans="1:17" ht="321.75" thickTop="1" thickBot="1" x14ac:dyDescent="0.25">
      <c r="A161" s="363" t="s">
        <v>29</v>
      </c>
      <c r="B161" s="363" t="s">
        <v>211</v>
      </c>
      <c r="C161" s="363" t="s">
        <v>213</v>
      </c>
      <c r="D161" s="363" t="s">
        <v>51</v>
      </c>
      <c r="E161" s="168" t="s">
        <v>716</v>
      </c>
      <c r="F161" s="362" t="s">
        <v>436</v>
      </c>
      <c r="G161" s="362">
        <f t="shared" ref="G161:G169" si="21">H161+I161</f>
        <v>9817350</v>
      </c>
      <c r="H161" s="362">
        <f>'d3'!E205</f>
        <v>9553150</v>
      </c>
      <c r="I161" s="318">
        <f>'d3'!J205</f>
        <v>264200</v>
      </c>
      <c r="J161" s="362">
        <f>'d3'!K205</f>
        <v>264200</v>
      </c>
    </row>
    <row r="162" spans="1:17" ht="321.75" thickTop="1" thickBot="1" x14ac:dyDescent="0.25">
      <c r="A162" s="371" t="s">
        <v>30</v>
      </c>
      <c r="B162" s="371" t="s">
        <v>212</v>
      </c>
      <c r="C162" s="371" t="s">
        <v>213</v>
      </c>
      <c r="D162" s="363" t="s">
        <v>31</v>
      </c>
      <c r="E162" s="168" t="s">
        <v>716</v>
      </c>
      <c r="F162" s="362" t="s">
        <v>436</v>
      </c>
      <c r="G162" s="362">
        <f t="shared" si="21"/>
        <v>480820</v>
      </c>
      <c r="H162" s="362">
        <f>'d3'!E207</f>
        <v>480820</v>
      </c>
      <c r="I162" s="318">
        <f>'d3'!J207</f>
        <v>0</v>
      </c>
      <c r="J162" s="362">
        <f>'d3'!K207</f>
        <v>0</v>
      </c>
    </row>
    <row r="163" spans="1:17" ht="321.75" thickTop="1" thickBot="1" x14ac:dyDescent="0.25">
      <c r="A163" s="371" t="s">
        <v>559</v>
      </c>
      <c r="B163" s="371" t="s">
        <v>557</v>
      </c>
      <c r="C163" s="371" t="s">
        <v>213</v>
      </c>
      <c r="D163" s="363" t="s">
        <v>558</v>
      </c>
      <c r="E163" s="168" t="s">
        <v>716</v>
      </c>
      <c r="F163" s="362" t="s">
        <v>436</v>
      </c>
      <c r="G163" s="362">
        <f t="shared" si="21"/>
        <v>1894086</v>
      </c>
      <c r="H163" s="362">
        <f>'d3'!E208</f>
        <v>1894086</v>
      </c>
      <c r="I163" s="318">
        <f>'d3'!J208</f>
        <v>0</v>
      </c>
      <c r="J163" s="318">
        <f>'d3'!K208</f>
        <v>0</v>
      </c>
    </row>
    <row r="164" spans="1:17" ht="321.75" thickTop="1" thickBot="1" x14ac:dyDescent="0.25">
      <c r="A164" s="371" t="s">
        <v>32</v>
      </c>
      <c r="B164" s="371" t="s">
        <v>214</v>
      </c>
      <c r="C164" s="371" t="s">
        <v>213</v>
      </c>
      <c r="D164" s="363" t="s">
        <v>33</v>
      </c>
      <c r="E164" s="168" t="s">
        <v>716</v>
      </c>
      <c r="F164" s="362" t="s">
        <v>436</v>
      </c>
      <c r="G164" s="362">
        <f t="shared" si="21"/>
        <v>1806765</v>
      </c>
      <c r="H164" s="362">
        <f>'d3'!E209</f>
        <v>1776765</v>
      </c>
      <c r="I164" s="318">
        <f>'d3'!J209</f>
        <v>30000</v>
      </c>
      <c r="J164" s="362">
        <f>'d3'!K209</f>
        <v>30000</v>
      </c>
    </row>
    <row r="165" spans="1:17" ht="321.75" thickTop="1" thickBot="1" x14ac:dyDescent="0.25">
      <c r="A165" s="371" t="s">
        <v>367</v>
      </c>
      <c r="B165" s="371" t="s">
        <v>366</v>
      </c>
      <c r="C165" s="371" t="s">
        <v>365</v>
      </c>
      <c r="D165" s="363" t="s">
        <v>794</v>
      </c>
      <c r="E165" s="168" t="s">
        <v>716</v>
      </c>
      <c r="F165" s="362" t="s">
        <v>436</v>
      </c>
      <c r="G165" s="362">
        <f t="shared" si="21"/>
        <v>25424.53</v>
      </c>
      <c r="H165" s="362">
        <f>'d3'!E212</f>
        <v>25424.53</v>
      </c>
      <c r="I165" s="318">
        <f>'d3'!J212</f>
        <v>0</v>
      </c>
      <c r="J165" s="318">
        <f>'d3'!K212</f>
        <v>0</v>
      </c>
    </row>
    <row r="166" spans="1:17" s="787" customFormat="1" ht="321.75" thickTop="1" thickBot="1" x14ac:dyDescent="0.25">
      <c r="A166" s="789" t="s">
        <v>1467</v>
      </c>
      <c r="B166" s="789" t="s">
        <v>336</v>
      </c>
      <c r="C166" s="789" t="s">
        <v>323</v>
      </c>
      <c r="D166" s="789" t="s">
        <v>780</v>
      </c>
      <c r="E166" s="168" t="s">
        <v>716</v>
      </c>
      <c r="F166" s="790" t="s">
        <v>436</v>
      </c>
      <c r="G166" s="790">
        <f t="shared" si="21"/>
        <v>200000</v>
      </c>
      <c r="H166" s="790">
        <f>'d3'!E216</f>
        <v>0</v>
      </c>
      <c r="I166" s="793">
        <f>'d3'!J216</f>
        <v>200000</v>
      </c>
      <c r="J166" s="793">
        <f>'d3'!K216</f>
        <v>200000</v>
      </c>
      <c r="K166" s="794"/>
      <c r="L166" s="794"/>
      <c r="M166" s="794"/>
      <c r="N166" s="794"/>
      <c r="O166" s="794"/>
      <c r="P166" s="794"/>
      <c r="Q166" s="794"/>
    </row>
    <row r="167" spans="1:17" s="286" customFormat="1" ht="321.75" thickTop="1" thickBot="1" x14ac:dyDescent="0.25">
      <c r="A167" s="364" t="s">
        <v>742</v>
      </c>
      <c r="B167" s="364" t="s">
        <v>215</v>
      </c>
      <c r="C167" s="364" t="s">
        <v>184</v>
      </c>
      <c r="D167" s="364" t="s">
        <v>36</v>
      </c>
      <c r="E167" s="168" t="s">
        <v>716</v>
      </c>
      <c r="F167" s="362" t="s">
        <v>436</v>
      </c>
      <c r="G167" s="362">
        <f t="shared" ref="G167" si="22">H167+I167</f>
        <v>997546</v>
      </c>
      <c r="H167" s="362">
        <f>'d3'!E218</f>
        <v>0</v>
      </c>
      <c r="I167" s="318">
        <f>'d3'!J218</f>
        <v>997546</v>
      </c>
      <c r="J167" s="318">
        <f>'d3'!K218</f>
        <v>997546</v>
      </c>
      <c r="K167" s="287"/>
      <c r="L167" s="287"/>
      <c r="M167" s="287"/>
      <c r="N167" s="287"/>
      <c r="O167" s="287"/>
      <c r="P167" s="287"/>
      <c r="Q167" s="287"/>
    </row>
    <row r="168" spans="1:17" ht="321.75" thickTop="1" thickBot="1" x14ac:dyDescent="0.25">
      <c r="A168" s="371" t="s">
        <v>493</v>
      </c>
      <c r="B168" s="371" t="s">
        <v>495</v>
      </c>
      <c r="C168" s="371" t="s">
        <v>52</v>
      </c>
      <c r="D168" s="363" t="s">
        <v>492</v>
      </c>
      <c r="E168" s="168" t="s">
        <v>716</v>
      </c>
      <c r="F168" s="362" t="s">
        <v>436</v>
      </c>
      <c r="G168" s="362">
        <f t="shared" si="21"/>
        <v>423742.2</v>
      </c>
      <c r="H168" s="362">
        <f>'d4'!F17</f>
        <v>200000</v>
      </c>
      <c r="I168" s="318">
        <f>'d4'!G17</f>
        <v>223742.2</v>
      </c>
      <c r="J168" s="318">
        <f>'d4'!H17</f>
        <v>0</v>
      </c>
    </row>
    <row r="169" spans="1:17" s="836" customFormat="1" ht="321.75" thickTop="1" thickBot="1" x14ac:dyDescent="0.25">
      <c r="A169" s="843" t="s">
        <v>1523</v>
      </c>
      <c r="B169" s="843" t="s">
        <v>389</v>
      </c>
      <c r="C169" s="843" t="s">
        <v>45</v>
      </c>
      <c r="D169" s="843" t="s">
        <v>390</v>
      </c>
      <c r="E169" s="168" t="s">
        <v>716</v>
      </c>
      <c r="F169" s="853" t="s">
        <v>436</v>
      </c>
      <c r="G169" s="853">
        <f t="shared" si="21"/>
        <v>49900</v>
      </c>
      <c r="H169" s="853">
        <f>'d3'!E221</f>
        <v>0</v>
      </c>
      <c r="I169" s="854">
        <f>'d3'!J221</f>
        <v>49900</v>
      </c>
      <c r="J169" s="854">
        <f>'d3'!K221</f>
        <v>49900</v>
      </c>
      <c r="K169" s="855"/>
      <c r="L169" s="855"/>
      <c r="M169" s="855"/>
      <c r="N169" s="855"/>
      <c r="O169" s="855"/>
      <c r="P169" s="855"/>
      <c r="Q169" s="855"/>
    </row>
    <row r="170" spans="1:17" s="155" customFormat="1" ht="181.5" thickTop="1" thickBot="1" x14ac:dyDescent="0.25">
      <c r="A170" s="825" t="s">
        <v>172</v>
      </c>
      <c r="B170" s="825"/>
      <c r="C170" s="825"/>
      <c r="D170" s="826" t="s">
        <v>672</v>
      </c>
      <c r="E170" s="827"/>
      <c r="F170" s="828"/>
      <c r="G170" s="828">
        <f>G171</f>
        <v>49127132</v>
      </c>
      <c r="H170" s="828">
        <f t="shared" ref="H170:J170" si="23">H171</f>
        <v>17970795</v>
      </c>
      <c r="I170" s="827">
        <f t="shared" si="23"/>
        <v>31156337</v>
      </c>
      <c r="J170" s="827">
        <f t="shared" si="23"/>
        <v>30166337</v>
      </c>
      <c r="K170" s="228" t="b">
        <f>H170='d3'!E222-'d3'!E225+'d7'!H172</f>
        <v>1</v>
      </c>
      <c r="L170" s="228" t="b">
        <f>I170='d3'!J222-'d3'!J225+I172</f>
        <v>1</v>
      </c>
      <c r="M170" s="228" t="b">
        <f>J170='d3'!K222-'d3'!K225+J172</f>
        <v>1</v>
      </c>
      <c r="N170" s="184"/>
      <c r="O170" s="184"/>
      <c r="P170" s="184"/>
      <c r="Q170" s="184"/>
    </row>
    <row r="171" spans="1:17" s="155" customFormat="1" ht="181.5" thickTop="1" thickBot="1" x14ac:dyDescent="0.25">
      <c r="A171" s="829" t="s">
        <v>173</v>
      </c>
      <c r="B171" s="829"/>
      <c r="C171" s="829"/>
      <c r="D171" s="830" t="s">
        <v>673</v>
      </c>
      <c r="E171" s="831"/>
      <c r="F171" s="831"/>
      <c r="G171" s="831">
        <f>SUM(G172:G185)</f>
        <v>49127132</v>
      </c>
      <c r="H171" s="831">
        <f>SUM(H172:H185)</f>
        <v>17970795</v>
      </c>
      <c r="I171" s="831">
        <f>SUM(I172:I185)</f>
        <v>31156337</v>
      </c>
      <c r="J171" s="831">
        <f>SUM(J172:J185)</f>
        <v>30166337</v>
      </c>
      <c r="K171" s="184"/>
      <c r="L171" s="184"/>
      <c r="M171" s="184"/>
      <c r="N171" s="184"/>
      <c r="O171" s="184"/>
      <c r="P171" s="184"/>
      <c r="Q171" s="184"/>
    </row>
    <row r="172" spans="1:17" s="155" customFormat="1" ht="230.25" thickTop="1" thickBot="1" x14ac:dyDescent="0.25">
      <c r="A172" s="275" t="s">
        <v>449</v>
      </c>
      <c r="B172" s="275" t="s">
        <v>254</v>
      </c>
      <c r="C172" s="275" t="s">
        <v>252</v>
      </c>
      <c r="D172" s="275" t="s">
        <v>253</v>
      </c>
      <c r="E172" s="298" t="s">
        <v>1371</v>
      </c>
      <c r="F172" s="450" t="s">
        <v>1021</v>
      </c>
      <c r="G172" s="285">
        <f t="shared" ref="G172:G209" si="24">H172+I172</f>
        <v>163248</v>
      </c>
      <c r="H172" s="306"/>
      <c r="I172" s="318">
        <f>(36000)+31812+95436</f>
        <v>163248</v>
      </c>
      <c r="J172" s="510">
        <f>(36000)+31812+95436</f>
        <v>163248</v>
      </c>
      <c r="K172" s="184"/>
      <c r="L172" s="184"/>
      <c r="M172" s="184"/>
      <c r="N172" s="184"/>
      <c r="O172" s="184"/>
      <c r="P172" s="184"/>
      <c r="Q172" s="184"/>
    </row>
    <row r="173" spans="1:17" s="307" customFormat="1" ht="409.6" thickTop="1" thickBot="1" x14ac:dyDescent="0.25">
      <c r="A173" s="308" t="s">
        <v>782</v>
      </c>
      <c r="B173" s="308" t="s">
        <v>388</v>
      </c>
      <c r="C173" s="308" t="s">
        <v>775</v>
      </c>
      <c r="D173" s="308" t="s">
        <v>776</v>
      </c>
      <c r="E173" s="298" t="s">
        <v>1055</v>
      </c>
      <c r="F173" s="469" t="s">
        <v>1056</v>
      </c>
      <c r="G173" s="285">
        <f t="shared" si="24"/>
        <v>7000</v>
      </c>
      <c r="H173" s="306">
        <f>'d3'!E226</f>
        <v>7000</v>
      </c>
      <c r="I173" s="318"/>
      <c r="J173" s="318"/>
      <c r="K173" s="309"/>
      <c r="L173" s="309"/>
      <c r="M173" s="309"/>
      <c r="N173" s="309"/>
      <c r="O173" s="309"/>
      <c r="P173" s="309"/>
      <c r="Q173" s="309"/>
    </row>
    <row r="174" spans="1:17" s="155" customFormat="1" ht="276" thickTop="1" thickBot="1" x14ac:dyDescent="0.25">
      <c r="A174" s="1095" t="s">
        <v>298</v>
      </c>
      <c r="B174" s="1095" t="s">
        <v>299</v>
      </c>
      <c r="C174" s="1095" t="s">
        <v>365</v>
      </c>
      <c r="D174" s="1095" t="s">
        <v>300</v>
      </c>
      <c r="E174" s="306" t="s">
        <v>707</v>
      </c>
      <c r="F174" s="306" t="s">
        <v>708</v>
      </c>
      <c r="G174" s="362">
        <f t="shared" si="24"/>
        <v>7328440</v>
      </c>
      <c r="H174" s="306">
        <v>350000</v>
      </c>
      <c r="I174" s="318">
        <v>6978440</v>
      </c>
      <c r="J174" s="318">
        <v>6978440</v>
      </c>
      <c r="K174" s="184"/>
      <c r="L174" s="184"/>
      <c r="M174" s="184"/>
      <c r="N174" s="184"/>
      <c r="O174" s="184"/>
      <c r="P174" s="184"/>
      <c r="Q174" s="184"/>
    </row>
    <row r="175" spans="1:17" s="155" customFormat="1" ht="276" thickTop="1" thickBot="1" x14ac:dyDescent="0.25">
      <c r="A175" s="1096"/>
      <c r="B175" s="1096"/>
      <c r="C175" s="1096"/>
      <c r="D175" s="1096"/>
      <c r="E175" s="276" t="s">
        <v>1229</v>
      </c>
      <c r="F175" s="276" t="s">
        <v>709</v>
      </c>
      <c r="G175" s="362">
        <f t="shared" si="24"/>
        <v>2889983</v>
      </c>
      <c r="H175" s="306">
        <f>'d3'!E229-'d7'!H174</f>
        <v>1583795</v>
      </c>
      <c r="I175" s="318">
        <f>'d3'!J229-'d7'!I174</f>
        <v>1306188</v>
      </c>
      <c r="J175" s="318">
        <f>'d3'!K229-'d7'!J174</f>
        <v>1306188</v>
      </c>
      <c r="K175" s="184"/>
      <c r="L175" s="184"/>
      <c r="M175" s="184"/>
      <c r="N175" s="184"/>
      <c r="O175" s="184"/>
      <c r="P175" s="184"/>
      <c r="Q175" s="184"/>
    </row>
    <row r="176" spans="1:17" s="155" customFormat="1" ht="276" thickTop="1" thickBot="1" x14ac:dyDescent="0.25">
      <c r="A176" s="363" t="s">
        <v>320</v>
      </c>
      <c r="B176" s="363" t="s">
        <v>321</v>
      </c>
      <c r="C176" s="363" t="s">
        <v>301</v>
      </c>
      <c r="D176" s="363" t="s">
        <v>322</v>
      </c>
      <c r="E176" s="306" t="s">
        <v>707</v>
      </c>
      <c r="F176" s="306" t="s">
        <v>708</v>
      </c>
      <c r="G176" s="362">
        <f t="shared" si="24"/>
        <v>8000000</v>
      </c>
      <c r="H176" s="306">
        <f>'d3'!E230</f>
        <v>0</v>
      </c>
      <c r="I176" s="318">
        <f>'d3'!J230</f>
        <v>8000000</v>
      </c>
      <c r="J176" s="318">
        <f>'d3'!K230</f>
        <v>8000000</v>
      </c>
      <c r="K176" s="184"/>
      <c r="L176" s="184"/>
      <c r="M176" s="184"/>
      <c r="N176" s="184"/>
      <c r="O176" s="184"/>
      <c r="P176" s="184"/>
      <c r="Q176" s="184"/>
    </row>
    <row r="177" spans="1:17" s="155" customFormat="1" ht="276" thickTop="1" thickBot="1" x14ac:dyDescent="0.25">
      <c r="A177" s="1095" t="s">
        <v>302</v>
      </c>
      <c r="B177" s="1095" t="s">
        <v>303</v>
      </c>
      <c r="C177" s="1095" t="s">
        <v>301</v>
      </c>
      <c r="D177" s="1095" t="s">
        <v>503</v>
      </c>
      <c r="E177" s="306" t="s">
        <v>707</v>
      </c>
      <c r="F177" s="372" t="s">
        <v>708</v>
      </c>
      <c r="G177" s="362">
        <f t="shared" si="24"/>
        <v>13156900</v>
      </c>
      <c r="H177" s="373">
        <f>'d3'!E231-H178</f>
        <v>550000</v>
      </c>
      <c r="I177" s="318">
        <f>'d3'!J231-'d7'!I178</f>
        <v>12606900</v>
      </c>
      <c r="J177" s="318">
        <f>'d3'!K231-'d7'!J178</f>
        <v>12606900</v>
      </c>
      <c r="K177" s="184"/>
      <c r="L177" s="184"/>
      <c r="M177" s="184"/>
      <c r="N177" s="184"/>
      <c r="O177" s="184"/>
      <c r="P177" s="184"/>
      <c r="Q177" s="184"/>
    </row>
    <row r="178" spans="1:17" s="155" customFormat="1" ht="230.25" thickTop="1" thickBot="1" x14ac:dyDescent="0.25">
      <c r="A178" s="1097"/>
      <c r="B178" s="1097"/>
      <c r="C178" s="1097"/>
      <c r="D178" s="1097"/>
      <c r="E178" s="319" t="s">
        <v>485</v>
      </c>
      <c r="F178" s="374" t="s">
        <v>486</v>
      </c>
      <c r="G178" s="362">
        <f t="shared" si="24"/>
        <v>461561</v>
      </c>
      <c r="H178" s="373">
        <v>0</v>
      </c>
      <c r="I178" s="318">
        <v>461561</v>
      </c>
      <c r="J178" s="318">
        <v>461561</v>
      </c>
      <c r="K178" s="184"/>
      <c r="L178" s="184"/>
      <c r="M178" s="184"/>
      <c r="N178" s="184"/>
      <c r="O178" s="184"/>
      <c r="P178" s="184"/>
      <c r="Q178" s="184"/>
    </row>
    <row r="179" spans="1:17" s="533" customFormat="1" ht="267" thickTop="1" thickBot="1" x14ac:dyDescent="0.25">
      <c r="A179" s="535" t="s">
        <v>1153</v>
      </c>
      <c r="B179" s="535" t="s">
        <v>316</v>
      </c>
      <c r="C179" s="535" t="s">
        <v>301</v>
      </c>
      <c r="D179" s="535" t="s">
        <v>317</v>
      </c>
      <c r="E179" s="513" t="s">
        <v>707</v>
      </c>
      <c r="F179" s="538" t="s">
        <v>708</v>
      </c>
      <c r="G179" s="534">
        <f t="shared" ref="G179" si="25">H179+I179</f>
        <v>530000</v>
      </c>
      <c r="H179" s="538">
        <f>'d3'!E232</f>
        <v>530000</v>
      </c>
      <c r="I179" s="539">
        <f>'d3'!J232</f>
        <v>0</v>
      </c>
      <c r="J179" s="539">
        <f>'d3'!K232</f>
        <v>0</v>
      </c>
      <c r="K179" s="541"/>
      <c r="L179" s="541"/>
      <c r="M179" s="541"/>
      <c r="N179" s="541"/>
      <c r="O179" s="541"/>
      <c r="P179" s="541"/>
      <c r="Q179" s="541"/>
    </row>
    <row r="180" spans="1:17" s="155" customFormat="1" ht="267" thickTop="1" thickBot="1" x14ac:dyDescent="0.25">
      <c r="A180" s="363" t="s">
        <v>306</v>
      </c>
      <c r="B180" s="363" t="s">
        <v>307</v>
      </c>
      <c r="C180" s="363" t="s">
        <v>301</v>
      </c>
      <c r="D180" s="363" t="s">
        <v>308</v>
      </c>
      <c r="E180" s="513" t="s">
        <v>707</v>
      </c>
      <c r="F180" s="306" t="s">
        <v>708</v>
      </c>
      <c r="G180" s="362">
        <f t="shared" si="24"/>
        <v>14100000</v>
      </c>
      <c r="H180" s="306">
        <f>'d3'!E233</f>
        <v>14100000</v>
      </c>
      <c r="I180" s="318">
        <f>'d3'!J233</f>
        <v>0</v>
      </c>
      <c r="J180" s="318">
        <f>'d3'!K233</f>
        <v>0</v>
      </c>
      <c r="K180" s="184"/>
      <c r="L180" s="184"/>
      <c r="M180" s="184"/>
      <c r="N180" s="184"/>
      <c r="O180" s="184"/>
      <c r="P180" s="184"/>
      <c r="Q180" s="184"/>
    </row>
    <row r="181" spans="1:17" s="155" customFormat="1" ht="409.6" customHeight="1" thickTop="1" thickBot="1" x14ac:dyDescent="0.25">
      <c r="A181" s="1095" t="s">
        <v>315</v>
      </c>
      <c r="B181" s="1095" t="s">
        <v>230</v>
      </c>
      <c r="C181" s="1095" t="s">
        <v>231</v>
      </c>
      <c r="D181" s="1095" t="s">
        <v>43</v>
      </c>
      <c r="E181" s="688" t="s">
        <v>1351</v>
      </c>
      <c r="F181" s="362" t="s">
        <v>717</v>
      </c>
      <c r="G181" s="1099">
        <f>H181+I181</f>
        <v>1200000</v>
      </c>
      <c r="H181" s="1099">
        <f>'d3'!E236</f>
        <v>850000</v>
      </c>
      <c r="I181" s="1099">
        <f>'d3'!J236</f>
        <v>350000</v>
      </c>
      <c r="J181" s="1099">
        <f>'d3'!K236</f>
        <v>350000</v>
      </c>
      <c r="K181" s="184"/>
      <c r="L181" s="184"/>
      <c r="M181" s="184"/>
      <c r="N181" s="184"/>
      <c r="O181" s="184"/>
      <c r="P181" s="184"/>
      <c r="Q181" s="184"/>
    </row>
    <row r="182" spans="1:17" s="155" customFormat="1" ht="184.5" thickTop="1" thickBot="1" x14ac:dyDescent="0.25">
      <c r="A182" s="1097"/>
      <c r="B182" s="1097"/>
      <c r="C182" s="1097"/>
      <c r="D182" s="1097"/>
      <c r="E182" s="168" t="s">
        <v>1350</v>
      </c>
      <c r="F182" s="362" t="s">
        <v>718</v>
      </c>
      <c r="G182" s="1105"/>
      <c r="H182" s="1105"/>
      <c r="I182" s="1105"/>
      <c r="J182" s="1105"/>
      <c r="K182" s="184"/>
      <c r="L182" s="184"/>
      <c r="M182" s="184"/>
      <c r="N182" s="184"/>
      <c r="O182" s="184"/>
      <c r="P182" s="184"/>
      <c r="Q182" s="184"/>
    </row>
    <row r="183" spans="1:17" s="515" customFormat="1" ht="267" thickTop="1" thickBot="1" x14ac:dyDescent="0.25">
      <c r="A183" s="517" t="s">
        <v>1126</v>
      </c>
      <c r="B183" s="517" t="s">
        <v>215</v>
      </c>
      <c r="C183" s="517" t="s">
        <v>184</v>
      </c>
      <c r="D183" s="517" t="s">
        <v>36</v>
      </c>
      <c r="E183" s="513" t="s">
        <v>707</v>
      </c>
      <c r="F183" s="518" t="s">
        <v>708</v>
      </c>
      <c r="G183" s="516">
        <f t="shared" si="24"/>
        <v>300000</v>
      </c>
      <c r="H183" s="518">
        <f>'d3'!E237</f>
        <v>0</v>
      </c>
      <c r="I183" s="519">
        <f>'d3'!J237</f>
        <v>300000</v>
      </c>
      <c r="J183" s="519">
        <f>'d3'!K237</f>
        <v>300000</v>
      </c>
      <c r="K183" s="520"/>
      <c r="L183" s="520"/>
      <c r="M183" s="520"/>
      <c r="N183" s="520"/>
      <c r="O183" s="520"/>
      <c r="P183" s="520"/>
      <c r="Q183" s="520"/>
    </row>
    <row r="184" spans="1:17" s="237" customFormat="1" ht="409.6" customHeight="1" thickTop="1" thickBot="1" x14ac:dyDescent="0.7">
      <c r="A184" s="1093" t="s">
        <v>452</v>
      </c>
      <c r="B184" s="1093" t="s">
        <v>363</v>
      </c>
      <c r="C184" s="1093" t="s">
        <v>184</v>
      </c>
      <c r="D184" s="375" t="s">
        <v>473</v>
      </c>
      <c r="E184" s="1093" t="s">
        <v>1026</v>
      </c>
      <c r="F184" s="1093" t="s">
        <v>1027</v>
      </c>
      <c r="G184" s="1099">
        <f t="shared" si="24"/>
        <v>990000</v>
      </c>
      <c r="H184" s="1099">
        <f>'d3'!E239</f>
        <v>0</v>
      </c>
      <c r="I184" s="1099">
        <f>'d3'!J239</f>
        <v>990000</v>
      </c>
      <c r="J184" s="1099">
        <f>'d3'!K239</f>
        <v>0</v>
      </c>
      <c r="K184" s="238"/>
      <c r="L184" s="238"/>
      <c r="M184" s="238"/>
      <c r="N184" s="238"/>
      <c r="O184" s="238"/>
      <c r="P184" s="238"/>
      <c r="Q184" s="238"/>
    </row>
    <row r="185" spans="1:17" s="237" customFormat="1" ht="184.5" thickTop="1" thickBot="1" x14ac:dyDescent="0.25">
      <c r="A185" s="1090"/>
      <c r="B185" s="1090"/>
      <c r="C185" s="1090"/>
      <c r="D185" s="376" t="s">
        <v>474</v>
      </c>
      <c r="E185" s="1090"/>
      <c r="F185" s="1090"/>
      <c r="G185" s="1100"/>
      <c r="H185" s="1100"/>
      <c r="I185" s="1100"/>
      <c r="J185" s="1100"/>
      <c r="K185" s="238"/>
      <c r="L185" s="238"/>
      <c r="M185" s="238"/>
      <c r="N185" s="238"/>
      <c r="O185" s="238"/>
      <c r="P185" s="238"/>
      <c r="Q185" s="238"/>
    </row>
    <row r="186" spans="1:17" s="155" customFormat="1" ht="181.5" thickTop="1" thickBot="1" x14ac:dyDescent="0.25">
      <c r="A186" s="825" t="s">
        <v>640</v>
      </c>
      <c r="B186" s="825"/>
      <c r="C186" s="825"/>
      <c r="D186" s="826" t="s">
        <v>670</v>
      </c>
      <c r="E186" s="827"/>
      <c r="F186" s="828"/>
      <c r="G186" s="828">
        <f>H186+I186</f>
        <v>414804331.61000001</v>
      </c>
      <c r="H186" s="828">
        <f>H187</f>
        <v>267897255</v>
      </c>
      <c r="I186" s="827">
        <f>I187</f>
        <v>146907076.61000001</v>
      </c>
      <c r="J186" s="827">
        <f>J187</f>
        <v>145109539.57999998</v>
      </c>
      <c r="K186" s="228" t="b">
        <f>H186='d3'!E242-'d3'!E244+'d7'!H188</f>
        <v>1</v>
      </c>
      <c r="L186" s="228" t="b">
        <f>I186='d3'!J242-'d3'!J244+'d7'!I188</f>
        <v>1</v>
      </c>
      <c r="M186" s="228" t="b">
        <f>J186='d3'!K242-'d3'!K244+'d7'!J188</f>
        <v>1</v>
      </c>
      <c r="N186" s="184"/>
      <c r="O186" s="184"/>
      <c r="P186" s="184"/>
      <c r="Q186" s="184"/>
    </row>
    <row r="187" spans="1:17" s="155" customFormat="1" ht="207.75" customHeight="1" thickTop="1" thickBot="1" x14ac:dyDescent="0.25">
      <c r="A187" s="829" t="s">
        <v>641</v>
      </c>
      <c r="B187" s="829"/>
      <c r="C187" s="829"/>
      <c r="D187" s="830" t="s">
        <v>671</v>
      </c>
      <c r="E187" s="831"/>
      <c r="F187" s="831"/>
      <c r="G187" s="831">
        <f>SUM(G188:G209)</f>
        <v>414804331.60999995</v>
      </c>
      <c r="H187" s="831">
        <f>SUM(H188:H209)</f>
        <v>267897255</v>
      </c>
      <c r="I187" s="831">
        <f>SUM(I188:I209)</f>
        <v>146907076.61000001</v>
      </c>
      <c r="J187" s="831">
        <f>SUM(J188:J209)</f>
        <v>145109539.57999998</v>
      </c>
      <c r="K187" s="184"/>
      <c r="L187" s="184"/>
      <c r="M187" s="184"/>
      <c r="N187" s="184"/>
      <c r="O187" s="184"/>
      <c r="P187" s="184"/>
      <c r="Q187" s="184"/>
    </row>
    <row r="188" spans="1:17" s="155" customFormat="1" ht="340.5" customHeight="1" thickTop="1" thickBot="1" x14ac:dyDescent="0.25">
      <c r="A188" s="314" t="s">
        <v>642</v>
      </c>
      <c r="B188" s="314" t="s">
        <v>254</v>
      </c>
      <c r="C188" s="314" t="s">
        <v>252</v>
      </c>
      <c r="D188" s="314" t="s">
        <v>249</v>
      </c>
      <c r="E188" s="298" t="s">
        <v>1371</v>
      </c>
      <c r="F188" s="450" t="s">
        <v>1021</v>
      </c>
      <c r="G188" s="316">
        <f t="shared" si="24"/>
        <v>144000</v>
      </c>
      <c r="H188" s="316">
        <v>0</v>
      </c>
      <c r="I188" s="316">
        <v>144000</v>
      </c>
      <c r="J188" s="316">
        <v>144000</v>
      </c>
      <c r="K188" s="184"/>
      <c r="L188" s="184"/>
      <c r="M188" s="184"/>
      <c r="N188" s="184"/>
      <c r="O188" s="184"/>
      <c r="P188" s="184"/>
      <c r="Q188" s="184"/>
    </row>
    <row r="189" spans="1:17" s="310" customFormat="1" ht="409.5" customHeight="1" thickTop="1" thickBot="1" x14ac:dyDescent="0.25">
      <c r="A189" s="311" t="s">
        <v>784</v>
      </c>
      <c r="B189" s="311" t="s">
        <v>388</v>
      </c>
      <c r="C189" s="311" t="s">
        <v>775</v>
      </c>
      <c r="D189" s="311" t="s">
        <v>776</v>
      </c>
      <c r="E189" s="298" t="s">
        <v>1055</v>
      </c>
      <c r="F189" s="469" t="s">
        <v>1056</v>
      </c>
      <c r="G189" s="285">
        <f t="shared" ref="G189" si="26">H189+I189</f>
        <v>5070</v>
      </c>
      <c r="H189" s="306">
        <f>'d3'!E245</f>
        <v>5070</v>
      </c>
      <c r="I189" s="318"/>
      <c r="J189" s="318"/>
      <c r="K189" s="312"/>
      <c r="L189" s="312"/>
      <c r="M189" s="312"/>
      <c r="N189" s="312"/>
      <c r="O189" s="312"/>
      <c r="P189" s="312"/>
      <c r="Q189" s="312"/>
    </row>
    <row r="190" spans="1:17" s="155" customFormat="1" ht="276" thickTop="1" thickBot="1" x14ac:dyDescent="0.25">
      <c r="A190" s="363" t="s">
        <v>643</v>
      </c>
      <c r="B190" s="363" t="s">
        <v>45</v>
      </c>
      <c r="C190" s="363" t="s">
        <v>44</v>
      </c>
      <c r="D190" s="363" t="s">
        <v>266</v>
      </c>
      <c r="E190" s="306" t="s">
        <v>707</v>
      </c>
      <c r="F190" s="306" t="s">
        <v>708</v>
      </c>
      <c r="G190" s="362">
        <f t="shared" si="24"/>
        <v>100000</v>
      </c>
      <c r="H190" s="362">
        <f>'d3'!E246</f>
        <v>100000</v>
      </c>
      <c r="I190" s="362">
        <f>'d3'!J246</f>
        <v>0</v>
      </c>
      <c r="J190" s="362">
        <f>'d3'!K246</f>
        <v>0</v>
      </c>
      <c r="K190" s="184"/>
      <c r="L190" s="184"/>
      <c r="M190" s="184"/>
      <c r="N190" s="184"/>
      <c r="O190" s="184"/>
      <c r="P190" s="184"/>
      <c r="Q190" s="184"/>
    </row>
    <row r="191" spans="1:17" s="155" customFormat="1" ht="276" thickTop="1" thickBot="1" x14ac:dyDescent="0.25">
      <c r="A191" s="363" t="s">
        <v>644</v>
      </c>
      <c r="B191" s="363" t="s">
        <v>403</v>
      </c>
      <c r="C191" s="363" t="s">
        <v>301</v>
      </c>
      <c r="D191" s="363" t="s">
        <v>404</v>
      </c>
      <c r="E191" s="306" t="s">
        <v>707</v>
      </c>
      <c r="F191" s="306" t="s">
        <v>708</v>
      </c>
      <c r="G191" s="362">
        <f t="shared" si="24"/>
        <v>41000000</v>
      </c>
      <c r="H191" s="306">
        <f>'d3'!E249</f>
        <v>41000000</v>
      </c>
      <c r="I191" s="318">
        <f>'d3'!J249</f>
        <v>0</v>
      </c>
      <c r="J191" s="318">
        <f>'d3'!K249</f>
        <v>0</v>
      </c>
      <c r="K191" s="184"/>
      <c r="L191" s="184"/>
      <c r="M191" s="184"/>
      <c r="N191" s="184"/>
      <c r="O191" s="184"/>
      <c r="P191" s="184"/>
      <c r="Q191" s="184"/>
    </row>
    <row r="192" spans="1:17" s="155" customFormat="1" ht="276" thickTop="1" thickBot="1" x14ac:dyDescent="0.25">
      <c r="A192" s="363" t="s">
        <v>645</v>
      </c>
      <c r="B192" s="363" t="s">
        <v>304</v>
      </c>
      <c r="C192" s="363" t="s">
        <v>301</v>
      </c>
      <c r="D192" s="363" t="s">
        <v>305</v>
      </c>
      <c r="E192" s="306" t="s">
        <v>707</v>
      </c>
      <c r="F192" s="306" t="s">
        <v>708</v>
      </c>
      <c r="G192" s="362">
        <f t="shared" si="24"/>
        <v>3511000</v>
      </c>
      <c r="H192" s="306">
        <f>'d3'!E250</f>
        <v>3511000</v>
      </c>
      <c r="I192" s="318">
        <f>'d3'!J250</f>
        <v>0</v>
      </c>
      <c r="J192" s="318">
        <f>'d3'!K250</f>
        <v>0</v>
      </c>
      <c r="K192" s="184"/>
      <c r="L192" s="184"/>
      <c r="M192" s="184"/>
      <c r="N192" s="184"/>
      <c r="O192" s="184"/>
      <c r="P192" s="184"/>
      <c r="Q192" s="184"/>
    </row>
    <row r="193" spans="1:17" s="155" customFormat="1" ht="276" customHeight="1" thickTop="1" thickBot="1" x14ac:dyDescent="0.25">
      <c r="A193" s="1093" t="s">
        <v>646</v>
      </c>
      <c r="B193" s="1093" t="s">
        <v>316</v>
      </c>
      <c r="C193" s="1093" t="s">
        <v>301</v>
      </c>
      <c r="D193" s="1093" t="s">
        <v>317</v>
      </c>
      <c r="E193" s="306" t="s">
        <v>707</v>
      </c>
      <c r="F193" s="306" t="s">
        <v>708</v>
      </c>
      <c r="G193" s="1089">
        <f t="shared" si="24"/>
        <v>3430000</v>
      </c>
      <c r="H193" s="1089">
        <f>'d3'!E251</f>
        <v>3430000</v>
      </c>
      <c r="I193" s="1089">
        <f>'d3'!J251</f>
        <v>0</v>
      </c>
      <c r="J193" s="1089">
        <f>'d3'!K251</f>
        <v>0</v>
      </c>
      <c r="K193" s="184"/>
      <c r="L193" s="184"/>
      <c r="M193" s="184"/>
      <c r="N193" s="184"/>
      <c r="O193" s="184"/>
      <c r="P193" s="184"/>
      <c r="Q193" s="184"/>
    </row>
    <row r="194" spans="1:17" s="155" customFormat="1" ht="184.5" hidden="1" thickTop="1" thickBot="1" x14ac:dyDescent="0.25">
      <c r="A194" s="1093"/>
      <c r="B194" s="1093"/>
      <c r="C194" s="1093"/>
      <c r="D194" s="1093"/>
      <c r="E194" s="455" t="s">
        <v>1047</v>
      </c>
      <c r="F194" s="453" t="s">
        <v>1045</v>
      </c>
      <c r="G194" s="1094"/>
      <c r="H194" s="1094"/>
      <c r="I194" s="1094"/>
      <c r="J194" s="1094"/>
      <c r="K194" s="184"/>
      <c r="L194" s="184"/>
      <c r="M194" s="184"/>
      <c r="N194" s="184"/>
      <c r="O194" s="184"/>
      <c r="P194" s="184"/>
      <c r="Q194" s="184"/>
    </row>
    <row r="195" spans="1:17" s="155" customFormat="1" ht="230.25" thickTop="1" thickBot="1" x14ac:dyDescent="0.25">
      <c r="A195" s="1095" t="s">
        <v>647</v>
      </c>
      <c r="B195" s="1095">
        <v>6030</v>
      </c>
      <c r="C195" s="1095" t="s">
        <v>301</v>
      </c>
      <c r="D195" s="1095" t="s">
        <v>308</v>
      </c>
      <c r="E195" s="306" t="s">
        <v>710</v>
      </c>
      <c r="F195" s="276" t="s">
        <v>1044</v>
      </c>
      <c r="G195" s="1089">
        <f t="shared" si="24"/>
        <v>181050647</v>
      </c>
      <c r="H195" s="1089">
        <f>'d3'!E252-H197</f>
        <v>164780447</v>
      </c>
      <c r="I195" s="1089">
        <f>'d3'!J252-I197</f>
        <v>16270200</v>
      </c>
      <c r="J195" s="1089">
        <f>'d3'!K252-J197</f>
        <v>16270200</v>
      </c>
      <c r="K195" s="184"/>
      <c r="L195" s="184"/>
      <c r="M195" s="184"/>
      <c r="N195" s="184"/>
      <c r="O195" s="184"/>
      <c r="P195" s="184"/>
      <c r="Q195" s="184"/>
    </row>
    <row r="196" spans="1:17" s="155" customFormat="1" ht="276" thickTop="1" thickBot="1" x14ac:dyDescent="0.25">
      <c r="A196" s="1096"/>
      <c r="B196" s="1096"/>
      <c r="C196" s="1096"/>
      <c r="D196" s="1096"/>
      <c r="E196" s="306" t="s">
        <v>707</v>
      </c>
      <c r="F196" s="276" t="s">
        <v>708</v>
      </c>
      <c r="G196" s="1094">
        <f t="shared" si="24"/>
        <v>0</v>
      </c>
      <c r="H196" s="1094"/>
      <c r="I196" s="1094"/>
      <c r="J196" s="1094"/>
      <c r="K196" s="184"/>
      <c r="L196" s="184"/>
      <c r="M196" s="184"/>
      <c r="N196" s="184"/>
      <c r="O196" s="184"/>
      <c r="P196" s="184"/>
      <c r="Q196" s="184"/>
    </row>
    <row r="197" spans="1:17" s="452" customFormat="1" ht="230.25" thickTop="1" thickBot="1" x14ac:dyDescent="0.25">
      <c r="A197" s="1064"/>
      <c r="B197" s="1064"/>
      <c r="C197" s="1064"/>
      <c r="D197" s="1064"/>
      <c r="E197" s="455" t="s">
        <v>1039</v>
      </c>
      <c r="F197" s="453" t="s">
        <v>1038</v>
      </c>
      <c r="G197" s="453">
        <f>H197+I197</f>
        <v>5973255</v>
      </c>
      <c r="H197" s="456">
        <v>5973255</v>
      </c>
      <c r="I197" s="456"/>
      <c r="J197" s="456"/>
      <c r="K197" s="457"/>
      <c r="L197" s="457"/>
      <c r="M197" s="457"/>
      <c r="N197" s="457"/>
      <c r="O197" s="457"/>
      <c r="P197" s="457"/>
      <c r="Q197" s="457"/>
    </row>
    <row r="198" spans="1:17" s="155" customFormat="1" ht="276" thickTop="1" thickBot="1" x14ac:dyDescent="0.25">
      <c r="A198" s="363" t="s">
        <v>648</v>
      </c>
      <c r="B198" s="363" t="s">
        <v>324</v>
      </c>
      <c r="C198" s="363" t="s">
        <v>323</v>
      </c>
      <c r="D198" s="363" t="s">
        <v>506</v>
      </c>
      <c r="E198" s="306" t="s">
        <v>707</v>
      </c>
      <c r="F198" s="306" t="s">
        <v>708</v>
      </c>
      <c r="G198" s="362">
        <f t="shared" si="24"/>
        <v>5950000</v>
      </c>
      <c r="H198" s="306">
        <f>'d3'!E255</f>
        <v>0</v>
      </c>
      <c r="I198" s="318">
        <f>'d3'!J255</f>
        <v>5950000</v>
      </c>
      <c r="J198" s="318">
        <f>'d3'!K255</f>
        <v>5950000</v>
      </c>
      <c r="K198" s="184"/>
      <c r="L198" s="184"/>
      <c r="M198" s="184"/>
      <c r="N198" s="184"/>
      <c r="O198" s="184"/>
      <c r="P198" s="184"/>
      <c r="Q198" s="184"/>
    </row>
    <row r="199" spans="1:17" s="155" customFormat="1" ht="184.5" thickTop="1" thickBot="1" x14ac:dyDescent="0.25">
      <c r="A199" s="1093" t="s">
        <v>649</v>
      </c>
      <c r="B199" s="1093" t="s">
        <v>312</v>
      </c>
      <c r="C199" s="1093" t="s">
        <v>314</v>
      </c>
      <c r="D199" s="1093" t="s">
        <v>313</v>
      </c>
      <c r="E199" s="306" t="s">
        <v>1046</v>
      </c>
      <c r="F199" s="306" t="s">
        <v>1063</v>
      </c>
      <c r="G199" s="1091">
        <f>H199+I199</f>
        <v>110444440.03</v>
      </c>
      <c r="H199" s="1091">
        <f>'d3'!E258</f>
        <v>47076212</v>
      </c>
      <c r="I199" s="1092">
        <f>'d3'!J258</f>
        <v>63368228.030000001</v>
      </c>
      <c r="J199" s="1092">
        <f>'d3'!K258</f>
        <v>63241213</v>
      </c>
      <c r="K199" s="184"/>
      <c r="L199" s="184"/>
      <c r="M199" s="184"/>
      <c r="N199" s="184"/>
      <c r="O199" s="184"/>
      <c r="P199" s="184"/>
      <c r="Q199" s="184"/>
    </row>
    <row r="200" spans="1:17" s="155" customFormat="1" ht="276" thickTop="1" thickBot="1" x14ac:dyDescent="0.25">
      <c r="A200" s="1093"/>
      <c r="B200" s="1093"/>
      <c r="C200" s="1093"/>
      <c r="D200" s="1093"/>
      <c r="E200" s="306" t="s">
        <v>707</v>
      </c>
      <c r="F200" s="306" t="s">
        <v>708</v>
      </c>
      <c r="G200" s="1091">
        <f t="shared" si="24"/>
        <v>0</v>
      </c>
      <c r="H200" s="1091"/>
      <c r="I200" s="1092"/>
      <c r="J200" s="1092"/>
      <c r="K200" s="184"/>
      <c r="L200" s="184"/>
      <c r="M200" s="184"/>
      <c r="N200" s="184"/>
      <c r="O200" s="184"/>
      <c r="P200" s="184"/>
      <c r="Q200" s="184"/>
    </row>
    <row r="201" spans="1:17" s="155" customFormat="1" ht="230.25" thickTop="1" thickBot="1" x14ac:dyDescent="0.25">
      <c r="A201" s="1093" t="s">
        <v>650</v>
      </c>
      <c r="B201" s="1093" t="s">
        <v>230</v>
      </c>
      <c r="C201" s="1093" t="s">
        <v>231</v>
      </c>
      <c r="D201" s="1093" t="s">
        <v>43</v>
      </c>
      <c r="E201" s="298" t="s">
        <v>1026</v>
      </c>
      <c r="F201" s="450" t="s">
        <v>1027</v>
      </c>
      <c r="G201" s="1091">
        <f t="shared" si="24"/>
        <v>18676588.579999998</v>
      </c>
      <c r="H201" s="1091">
        <f>'d3'!E260</f>
        <v>0</v>
      </c>
      <c r="I201" s="1091">
        <f>'d3'!J260</f>
        <v>18676588.579999998</v>
      </c>
      <c r="J201" s="1091">
        <f>'d3'!K260</f>
        <v>18676588.579999998</v>
      </c>
      <c r="K201" s="184"/>
      <c r="L201" s="184"/>
      <c r="M201" s="184"/>
      <c r="N201" s="184"/>
      <c r="O201" s="184"/>
      <c r="P201" s="184"/>
      <c r="Q201" s="184"/>
    </row>
    <row r="202" spans="1:17" s="155" customFormat="1" ht="276" thickTop="1" thickBot="1" x14ac:dyDescent="0.25">
      <c r="A202" s="1093"/>
      <c r="B202" s="1093"/>
      <c r="C202" s="1093"/>
      <c r="D202" s="1093"/>
      <c r="E202" s="306" t="s">
        <v>707</v>
      </c>
      <c r="F202" s="306" t="s">
        <v>708</v>
      </c>
      <c r="G202" s="1091">
        <f t="shared" si="24"/>
        <v>0</v>
      </c>
      <c r="H202" s="1091"/>
      <c r="I202" s="1091"/>
      <c r="J202" s="1091"/>
      <c r="K202" s="184"/>
      <c r="L202" s="184"/>
      <c r="M202" s="184"/>
      <c r="N202" s="184"/>
      <c r="O202" s="184"/>
      <c r="P202" s="184"/>
      <c r="Q202" s="184"/>
    </row>
    <row r="203" spans="1:17" s="155" customFormat="1" ht="276" customHeight="1" thickTop="1" thickBot="1" x14ac:dyDescent="0.25">
      <c r="A203" s="1093" t="s">
        <v>651</v>
      </c>
      <c r="B203" s="1093" t="s">
        <v>215</v>
      </c>
      <c r="C203" s="1093" t="s">
        <v>184</v>
      </c>
      <c r="D203" s="1093" t="s">
        <v>36</v>
      </c>
      <c r="E203" s="306" t="s">
        <v>707</v>
      </c>
      <c r="F203" s="306" t="s">
        <v>708</v>
      </c>
      <c r="G203" s="1092">
        <f t="shared" si="24"/>
        <v>40759538</v>
      </c>
      <c r="H203" s="1091">
        <f>'d3'!E261</f>
        <v>0</v>
      </c>
      <c r="I203" s="1092">
        <f>'d3'!J261</f>
        <v>40759538</v>
      </c>
      <c r="J203" s="1092">
        <f>'d3'!K261</f>
        <v>40759538</v>
      </c>
      <c r="K203" s="184"/>
      <c r="L203" s="184"/>
      <c r="M203" s="184"/>
      <c r="N203" s="184"/>
      <c r="O203" s="184"/>
      <c r="P203" s="184"/>
      <c r="Q203" s="184"/>
    </row>
    <row r="204" spans="1:17" s="155" customFormat="1" ht="184.5" thickTop="1" thickBot="1" x14ac:dyDescent="0.25">
      <c r="A204" s="1093"/>
      <c r="B204" s="1093"/>
      <c r="C204" s="1093"/>
      <c r="D204" s="1093"/>
      <c r="E204" s="460" t="s">
        <v>1047</v>
      </c>
      <c r="F204" s="459" t="s">
        <v>1045</v>
      </c>
      <c r="G204" s="1092">
        <f t="shared" si="24"/>
        <v>0</v>
      </c>
      <c r="H204" s="1091"/>
      <c r="I204" s="1092"/>
      <c r="J204" s="1092"/>
      <c r="K204" s="184"/>
      <c r="L204" s="184"/>
      <c r="M204" s="184"/>
      <c r="N204" s="184"/>
      <c r="O204" s="184"/>
      <c r="P204" s="184"/>
      <c r="Q204" s="184"/>
    </row>
    <row r="205" spans="1:17" s="155" customFormat="1" ht="409.6" customHeight="1" thickTop="1" thickBot="1" x14ac:dyDescent="0.7">
      <c r="A205" s="1093" t="s">
        <v>652</v>
      </c>
      <c r="B205" s="1093" t="s">
        <v>363</v>
      </c>
      <c r="C205" s="1093" t="s">
        <v>184</v>
      </c>
      <c r="D205" s="375" t="s">
        <v>473</v>
      </c>
      <c r="E205" s="1093" t="s">
        <v>1026</v>
      </c>
      <c r="F205" s="1093" t="s">
        <v>1027</v>
      </c>
      <c r="G205" s="1089">
        <f t="shared" si="24"/>
        <v>1670522</v>
      </c>
      <c r="H205" s="1089">
        <f>'d3'!E263</f>
        <v>0</v>
      </c>
      <c r="I205" s="1089">
        <f>'d3'!J263</f>
        <v>1670522</v>
      </c>
      <c r="J205" s="1089">
        <f>'d3'!K263</f>
        <v>0</v>
      </c>
      <c r="K205" s="184"/>
      <c r="L205" s="184"/>
      <c r="M205" s="184"/>
      <c r="N205" s="184"/>
      <c r="O205" s="184"/>
      <c r="P205" s="184"/>
      <c r="Q205" s="184"/>
    </row>
    <row r="206" spans="1:17" s="155" customFormat="1" ht="184.5" thickTop="1" thickBot="1" x14ac:dyDescent="0.25">
      <c r="A206" s="1090"/>
      <c r="B206" s="1090"/>
      <c r="C206" s="1090"/>
      <c r="D206" s="376" t="s">
        <v>474</v>
      </c>
      <c r="E206" s="1090"/>
      <c r="F206" s="1090"/>
      <c r="G206" s="1090">
        <f t="shared" si="24"/>
        <v>0</v>
      </c>
      <c r="H206" s="1090"/>
      <c r="I206" s="1090"/>
      <c r="J206" s="1090"/>
      <c r="K206" s="184"/>
      <c r="L206" s="184"/>
      <c r="M206" s="184"/>
      <c r="N206" s="184"/>
      <c r="O206" s="184"/>
      <c r="P206" s="184"/>
      <c r="Q206" s="184"/>
    </row>
    <row r="207" spans="1:17" s="155" customFormat="1" ht="409.6" thickTop="1" thickBot="1" x14ac:dyDescent="0.25">
      <c r="A207" s="363" t="s">
        <v>653</v>
      </c>
      <c r="B207" s="363" t="s">
        <v>565</v>
      </c>
      <c r="C207" s="363" t="s">
        <v>269</v>
      </c>
      <c r="D207" s="321" t="s">
        <v>566</v>
      </c>
      <c r="E207" s="451" t="s">
        <v>1024</v>
      </c>
      <c r="F207" s="450" t="s">
        <v>1025</v>
      </c>
      <c r="G207" s="362">
        <f t="shared" si="24"/>
        <v>108400</v>
      </c>
      <c r="H207" s="306">
        <f>'d3'!E267</f>
        <v>108400</v>
      </c>
      <c r="I207" s="318">
        <f>'d3'!J267</f>
        <v>0</v>
      </c>
      <c r="J207" s="318">
        <f>'d3'!K267</f>
        <v>0</v>
      </c>
      <c r="K207" s="184"/>
      <c r="L207" s="184"/>
      <c r="M207" s="184"/>
      <c r="N207" s="184"/>
      <c r="O207" s="184"/>
      <c r="P207" s="184"/>
      <c r="Q207" s="184"/>
    </row>
    <row r="208" spans="1:17" s="155" customFormat="1" ht="409.6" thickTop="1" thickBot="1" x14ac:dyDescent="0.25">
      <c r="A208" s="363" t="s">
        <v>654</v>
      </c>
      <c r="B208" s="363" t="s">
        <v>268</v>
      </c>
      <c r="C208" s="363" t="s">
        <v>269</v>
      </c>
      <c r="D208" s="363" t="s">
        <v>267</v>
      </c>
      <c r="E208" s="455" t="s">
        <v>1024</v>
      </c>
      <c r="F208" s="453" t="s">
        <v>1025</v>
      </c>
      <c r="G208" s="362">
        <f t="shared" si="24"/>
        <v>1980871</v>
      </c>
      <c r="H208" s="306">
        <f>'d3'!E268</f>
        <v>1912871</v>
      </c>
      <c r="I208" s="318">
        <f>'d3'!J268</f>
        <v>68000</v>
      </c>
      <c r="J208" s="318">
        <f>'d3'!K268</f>
        <v>68000</v>
      </c>
      <c r="K208" s="184"/>
      <c r="L208" s="184"/>
      <c r="M208" s="184"/>
      <c r="N208" s="184"/>
      <c r="O208" s="184"/>
      <c r="P208" s="184"/>
      <c r="Q208" s="184"/>
    </row>
    <row r="209" spans="1:17" s="155" customFormat="1" ht="409.6" hidden="1" thickTop="1" thickBot="1" x14ac:dyDescent="0.25">
      <c r="A209" s="363" t="s">
        <v>655</v>
      </c>
      <c r="B209" s="363" t="s">
        <v>656</v>
      </c>
      <c r="C209" s="363" t="s">
        <v>269</v>
      </c>
      <c r="D209" s="363" t="s">
        <v>657</v>
      </c>
      <c r="E209" s="455" t="s">
        <v>1024</v>
      </c>
      <c r="F209" s="453" t="s">
        <v>1025</v>
      </c>
      <c r="G209" s="362">
        <f t="shared" si="24"/>
        <v>0</v>
      </c>
      <c r="H209" s="306">
        <f>'d3'!E269</f>
        <v>0</v>
      </c>
      <c r="I209" s="318">
        <f>'d3'!J269</f>
        <v>0</v>
      </c>
      <c r="J209" s="318">
        <f>'d3'!K269</f>
        <v>0</v>
      </c>
      <c r="K209" s="184"/>
      <c r="L209" s="184"/>
      <c r="M209" s="184"/>
      <c r="N209" s="184"/>
      <c r="O209" s="184"/>
      <c r="P209" s="184"/>
      <c r="Q209" s="184"/>
    </row>
    <row r="210" spans="1:17" ht="181.5" thickTop="1" thickBot="1" x14ac:dyDescent="0.25">
      <c r="A210" s="825" t="s">
        <v>25</v>
      </c>
      <c r="B210" s="825"/>
      <c r="C210" s="825"/>
      <c r="D210" s="826" t="s">
        <v>1064</v>
      </c>
      <c r="E210" s="827"/>
      <c r="F210" s="828"/>
      <c r="G210" s="828">
        <f>G211</f>
        <v>323820245.50999999</v>
      </c>
      <c r="H210" s="828">
        <f>H211</f>
        <v>150000</v>
      </c>
      <c r="I210" s="827">
        <f>I211</f>
        <v>323670245.50999999</v>
      </c>
      <c r="J210" s="827">
        <f>J211</f>
        <v>322170245.50999999</v>
      </c>
    </row>
    <row r="211" spans="1:17" ht="316.5" customHeight="1" thickTop="1" thickBot="1" x14ac:dyDescent="0.25">
      <c r="A211" s="829" t="s">
        <v>26</v>
      </c>
      <c r="B211" s="829"/>
      <c r="C211" s="829"/>
      <c r="D211" s="830" t="s">
        <v>1065</v>
      </c>
      <c r="E211" s="831"/>
      <c r="F211" s="831"/>
      <c r="G211" s="831">
        <f>SUM(G212:G223)</f>
        <v>323820245.50999999</v>
      </c>
      <c r="H211" s="831">
        <f>SUM(H212:H223)</f>
        <v>150000</v>
      </c>
      <c r="I211" s="831">
        <f>SUM(I212:I223)</f>
        <v>323670245.50999999</v>
      </c>
      <c r="J211" s="831">
        <f>SUM(J212:J223)</f>
        <v>322170245.50999999</v>
      </c>
      <c r="K211" s="228" t="b">
        <f>H211='d3'!E271-'d3'!E273</f>
        <v>1</v>
      </c>
      <c r="L211" s="229" t="b">
        <f>I211='d3'!J271</f>
        <v>1</v>
      </c>
      <c r="M211" s="229" t="b">
        <f>J211='d3'!K271</f>
        <v>1</v>
      </c>
    </row>
    <row r="212" spans="1:17" s="310" customFormat="1" ht="409.5" hidden="1" customHeight="1" thickTop="1" thickBot="1" x14ac:dyDescent="0.25">
      <c r="A212" s="311" t="s">
        <v>785</v>
      </c>
      <c r="B212" s="311" t="s">
        <v>388</v>
      </c>
      <c r="C212" s="311" t="s">
        <v>775</v>
      </c>
      <c r="D212" s="311" t="s">
        <v>776</v>
      </c>
      <c r="E212" s="298" t="s">
        <v>1055</v>
      </c>
      <c r="F212" s="469" t="s">
        <v>1056</v>
      </c>
      <c r="G212" s="285">
        <f t="shared" ref="G212:G213" si="27">H212+I212</f>
        <v>0</v>
      </c>
      <c r="H212" s="306">
        <f>'d3'!E274</f>
        <v>0</v>
      </c>
      <c r="I212" s="318"/>
      <c r="J212" s="318"/>
      <c r="K212" s="320"/>
      <c r="L212" s="320"/>
      <c r="M212" s="320"/>
      <c r="N212" s="312"/>
      <c r="O212" s="312"/>
      <c r="P212" s="312"/>
      <c r="Q212" s="312"/>
    </row>
    <row r="213" spans="1:17" s="533" customFormat="1" ht="230.25" thickTop="1" thickBot="1" x14ac:dyDescent="0.25">
      <c r="A213" s="537" t="s">
        <v>1151</v>
      </c>
      <c r="B213" s="537" t="s">
        <v>45</v>
      </c>
      <c r="C213" s="537" t="s">
        <v>44</v>
      </c>
      <c r="D213" s="537" t="s">
        <v>266</v>
      </c>
      <c r="E213" s="298" t="s">
        <v>1026</v>
      </c>
      <c r="F213" s="534" t="s">
        <v>1027</v>
      </c>
      <c r="G213" s="534">
        <f t="shared" si="27"/>
        <v>150000</v>
      </c>
      <c r="H213" s="538">
        <f>'d3'!E275</f>
        <v>150000</v>
      </c>
      <c r="I213" s="539">
        <f>'d3'!J275</f>
        <v>0</v>
      </c>
      <c r="J213" s="539">
        <f>'d3'!K275</f>
        <v>0</v>
      </c>
      <c r="K213" s="320"/>
      <c r="L213" s="320"/>
      <c r="M213" s="320"/>
      <c r="N213" s="541"/>
      <c r="O213" s="541"/>
      <c r="P213" s="541"/>
      <c r="Q213" s="541"/>
    </row>
    <row r="214" spans="1:17" s="79" customFormat="1" ht="321.75" thickTop="1" thickBot="1" x14ac:dyDescent="0.25">
      <c r="A214" s="363" t="s">
        <v>463</v>
      </c>
      <c r="B214" s="363" t="s">
        <v>465</v>
      </c>
      <c r="C214" s="363" t="s">
        <v>213</v>
      </c>
      <c r="D214" s="363" t="s">
        <v>464</v>
      </c>
      <c r="E214" s="298" t="s">
        <v>1026</v>
      </c>
      <c r="F214" s="450" t="s">
        <v>1027</v>
      </c>
      <c r="G214" s="362">
        <f>H214+I214</f>
        <v>164955840</v>
      </c>
      <c r="H214" s="362">
        <f>'d3'!E278</f>
        <v>0</v>
      </c>
      <c r="I214" s="362">
        <f>'d3'!J278</f>
        <v>164955840</v>
      </c>
      <c r="J214" s="362">
        <f>'d3'!K278</f>
        <v>164955840</v>
      </c>
      <c r="K214" s="184"/>
      <c r="L214" s="184"/>
      <c r="M214" s="184"/>
      <c r="N214" s="184"/>
      <c r="O214" s="184"/>
      <c r="P214" s="184"/>
      <c r="Q214" s="184"/>
    </row>
    <row r="215" spans="1:17" s="79" customFormat="1" ht="230.25" thickTop="1" thickBot="1" x14ac:dyDescent="0.25">
      <c r="A215" s="536" t="s">
        <v>1150</v>
      </c>
      <c r="B215" s="536" t="s">
        <v>324</v>
      </c>
      <c r="C215" s="536" t="s">
        <v>323</v>
      </c>
      <c r="D215" s="536" t="s">
        <v>777</v>
      </c>
      <c r="E215" s="458" t="s">
        <v>1026</v>
      </c>
      <c r="F215" s="550" t="s">
        <v>1027</v>
      </c>
      <c r="G215" s="534">
        <f>H215+I215</f>
        <v>80574.510000000009</v>
      </c>
      <c r="H215" s="534">
        <f>'d3'!E281</f>
        <v>0</v>
      </c>
      <c r="I215" s="534">
        <f>'d3'!J281</f>
        <v>80574.510000000009</v>
      </c>
      <c r="J215" s="534">
        <f>'d3'!K281</f>
        <v>80574.510000000009</v>
      </c>
      <c r="K215" s="541"/>
      <c r="L215" s="541"/>
      <c r="M215" s="541"/>
      <c r="N215" s="541"/>
      <c r="O215" s="541"/>
      <c r="P215" s="541"/>
      <c r="Q215" s="541"/>
    </row>
    <row r="216" spans="1:17" s="79" customFormat="1" ht="230.25" thickTop="1" thickBot="1" x14ac:dyDescent="0.25">
      <c r="A216" s="363" t="s">
        <v>333</v>
      </c>
      <c r="B216" s="363" t="s">
        <v>334</v>
      </c>
      <c r="C216" s="363" t="s">
        <v>323</v>
      </c>
      <c r="D216" s="363" t="s">
        <v>778</v>
      </c>
      <c r="E216" s="298" t="s">
        <v>1026</v>
      </c>
      <c r="F216" s="450" t="s">
        <v>1027</v>
      </c>
      <c r="G216" s="362">
        <f>I216</f>
        <v>26600045</v>
      </c>
      <c r="H216" s="362">
        <f>'d3'!E283</f>
        <v>0</v>
      </c>
      <c r="I216" s="362">
        <f>'d3'!J283</f>
        <v>26600045</v>
      </c>
      <c r="J216" s="362">
        <f>I216</f>
        <v>26600045</v>
      </c>
      <c r="K216" s="184"/>
      <c r="L216" s="184"/>
      <c r="M216" s="184"/>
      <c r="N216" s="184"/>
      <c r="O216" s="184"/>
      <c r="P216" s="184"/>
      <c r="Q216" s="184"/>
    </row>
    <row r="217" spans="1:17" s="79" customFormat="1" ht="230.25" thickTop="1" thickBot="1" x14ac:dyDescent="0.25">
      <c r="A217" s="363" t="s">
        <v>563</v>
      </c>
      <c r="B217" s="363" t="s">
        <v>564</v>
      </c>
      <c r="C217" s="363" t="s">
        <v>323</v>
      </c>
      <c r="D217" s="363" t="s">
        <v>779</v>
      </c>
      <c r="E217" s="298" t="s">
        <v>1026</v>
      </c>
      <c r="F217" s="450" t="s">
        <v>1027</v>
      </c>
      <c r="G217" s="362">
        <f>I217</f>
        <v>200000</v>
      </c>
      <c r="H217" s="362">
        <f>'d3'!E284</f>
        <v>0</v>
      </c>
      <c r="I217" s="362">
        <f>'d3'!J284</f>
        <v>200000</v>
      </c>
      <c r="J217" s="362">
        <f>I217</f>
        <v>200000</v>
      </c>
      <c r="K217" s="184"/>
      <c r="L217" s="184"/>
      <c r="M217" s="184"/>
      <c r="N217" s="184"/>
      <c r="O217" s="184"/>
      <c r="P217" s="184"/>
      <c r="Q217" s="184"/>
    </row>
    <row r="218" spans="1:17" s="79" customFormat="1" ht="230.25" thickTop="1" thickBot="1" x14ac:dyDescent="0.25">
      <c r="A218" s="363" t="s">
        <v>335</v>
      </c>
      <c r="B218" s="363" t="s">
        <v>336</v>
      </c>
      <c r="C218" s="363" t="s">
        <v>323</v>
      </c>
      <c r="D218" s="363" t="s">
        <v>780</v>
      </c>
      <c r="E218" s="298" t="s">
        <v>1026</v>
      </c>
      <c r="F218" s="450" t="s">
        <v>1027</v>
      </c>
      <c r="G218" s="362">
        <f t="shared" ref="G218:G220" si="28">I218</f>
        <v>0</v>
      </c>
      <c r="H218" s="362">
        <f>'d3'!E285</f>
        <v>0</v>
      </c>
      <c r="I218" s="362">
        <f>'d3'!J285</f>
        <v>0</v>
      </c>
      <c r="J218" s="362">
        <f>I218</f>
        <v>0</v>
      </c>
      <c r="K218" s="184"/>
      <c r="L218" s="184"/>
      <c r="M218" s="184"/>
      <c r="N218" s="184"/>
      <c r="O218" s="184"/>
      <c r="P218" s="184"/>
      <c r="Q218" s="184"/>
    </row>
    <row r="219" spans="1:17" s="79" customFormat="1" ht="230.25" thickTop="1" thickBot="1" x14ac:dyDescent="0.25">
      <c r="A219" s="363" t="s">
        <v>337</v>
      </c>
      <c r="B219" s="363" t="s">
        <v>338</v>
      </c>
      <c r="C219" s="363" t="s">
        <v>323</v>
      </c>
      <c r="D219" s="363" t="s">
        <v>781</v>
      </c>
      <c r="E219" s="298" t="s">
        <v>1026</v>
      </c>
      <c r="F219" s="450" t="s">
        <v>1027</v>
      </c>
      <c r="G219" s="362">
        <f t="shared" si="28"/>
        <v>19056514</v>
      </c>
      <c r="H219" s="362">
        <f>'d3'!E286-H220</f>
        <v>0</v>
      </c>
      <c r="I219" s="362">
        <f>'d3'!J286-I220</f>
        <v>19056514</v>
      </c>
      <c r="J219" s="574">
        <f>'d3'!K286-J220</f>
        <v>19056514</v>
      </c>
      <c r="K219" s="184"/>
      <c r="L219" s="184"/>
      <c r="M219" s="184"/>
      <c r="N219" s="184"/>
      <c r="O219" s="184"/>
      <c r="P219" s="184"/>
      <c r="Q219" s="184"/>
    </row>
    <row r="220" spans="1:17" s="79" customFormat="1" ht="184.5" thickTop="1" thickBot="1" x14ac:dyDescent="0.25">
      <c r="A220" s="575" t="s">
        <v>337</v>
      </c>
      <c r="B220" s="575" t="s">
        <v>338</v>
      </c>
      <c r="C220" s="575" t="s">
        <v>323</v>
      </c>
      <c r="D220" s="575" t="s">
        <v>781</v>
      </c>
      <c r="E220" s="168" t="s">
        <v>484</v>
      </c>
      <c r="F220" s="276" t="s">
        <v>453</v>
      </c>
      <c r="G220" s="574">
        <f t="shared" si="28"/>
        <v>1195970</v>
      </c>
      <c r="H220" s="574">
        <v>0</v>
      </c>
      <c r="I220" s="574">
        <v>1195970</v>
      </c>
      <c r="J220" s="574">
        <v>1195970</v>
      </c>
      <c r="K220" s="576"/>
      <c r="L220" s="576"/>
      <c r="M220" s="576"/>
      <c r="N220" s="576"/>
      <c r="O220" s="576"/>
      <c r="P220" s="576"/>
      <c r="Q220" s="576"/>
    </row>
    <row r="221" spans="1:17" s="79" customFormat="1" ht="230.25" thickTop="1" thickBot="1" x14ac:dyDescent="0.25">
      <c r="A221" s="363" t="s">
        <v>469</v>
      </c>
      <c r="B221" s="363" t="s">
        <v>376</v>
      </c>
      <c r="C221" s="363" t="s">
        <v>184</v>
      </c>
      <c r="D221" s="363" t="s">
        <v>280</v>
      </c>
      <c r="E221" s="298" t="s">
        <v>1026</v>
      </c>
      <c r="F221" s="450" t="s">
        <v>1027</v>
      </c>
      <c r="G221" s="362">
        <f>H221+I221</f>
        <v>110081302</v>
      </c>
      <c r="H221" s="362">
        <f>'d3'!E287</f>
        <v>0</v>
      </c>
      <c r="I221" s="362">
        <f>'d3'!J287</f>
        <v>110081302</v>
      </c>
      <c r="J221" s="362">
        <f>'d3'!K287</f>
        <v>110081302</v>
      </c>
      <c r="K221" s="184"/>
      <c r="L221" s="184"/>
      <c r="M221" s="184"/>
      <c r="N221" s="184"/>
      <c r="O221" s="184"/>
      <c r="P221" s="184"/>
      <c r="Q221" s="184"/>
    </row>
    <row r="222" spans="1:17" s="79" customFormat="1" ht="409.6" customHeight="1" thickTop="1" thickBot="1" x14ac:dyDescent="0.7">
      <c r="A222" s="983" t="s">
        <v>1291</v>
      </c>
      <c r="B222" s="983" t="s">
        <v>363</v>
      </c>
      <c r="C222" s="983" t="s">
        <v>184</v>
      </c>
      <c r="D222" s="315" t="s">
        <v>473</v>
      </c>
      <c r="E222" s="1093" t="s">
        <v>1026</v>
      </c>
      <c r="F222" s="1093" t="s">
        <v>1027</v>
      </c>
      <c r="G222" s="1089">
        <f t="shared" ref="G222:G223" si="29">H222+I222</f>
        <v>1500000</v>
      </c>
      <c r="H222" s="1089">
        <f>'d3'!E290</f>
        <v>0</v>
      </c>
      <c r="I222" s="1089">
        <f>'d3'!J290</f>
        <v>1500000</v>
      </c>
      <c r="J222" s="1089">
        <f>'d3'!K290</f>
        <v>0</v>
      </c>
      <c r="K222" s="656"/>
      <c r="L222" s="656"/>
      <c r="M222" s="656"/>
      <c r="N222" s="656"/>
      <c r="O222" s="656"/>
      <c r="P222" s="656"/>
      <c r="Q222" s="656"/>
    </row>
    <row r="223" spans="1:17" s="79" customFormat="1" ht="184.5" thickTop="1" thickBot="1" x14ac:dyDescent="0.25">
      <c r="A223" s="983"/>
      <c r="B223" s="983"/>
      <c r="C223" s="983"/>
      <c r="D223" s="317" t="s">
        <v>474</v>
      </c>
      <c r="E223" s="1090"/>
      <c r="F223" s="1090"/>
      <c r="G223" s="1090">
        <f t="shared" si="29"/>
        <v>0</v>
      </c>
      <c r="H223" s="1090"/>
      <c r="I223" s="1090"/>
      <c r="J223" s="1090"/>
      <c r="K223" s="656"/>
      <c r="L223" s="656"/>
      <c r="M223" s="656"/>
      <c r="N223" s="656"/>
      <c r="O223" s="656"/>
      <c r="P223" s="656"/>
      <c r="Q223" s="656"/>
    </row>
    <row r="224" spans="1:17" ht="292.7" customHeight="1" thickTop="1" thickBot="1" x14ac:dyDescent="0.25">
      <c r="A224" s="825" t="s">
        <v>174</v>
      </c>
      <c r="B224" s="825"/>
      <c r="C224" s="825"/>
      <c r="D224" s="826" t="s">
        <v>1066</v>
      </c>
      <c r="E224" s="827"/>
      <c r="F224" s="828"/>
      <c r="G224" s="828">
        <f>G225</f>
        <v>830700</v>
      </c>
      <c r="H224" s="828">
        <f t="shared" ref="H224:J224" si="30">H225</f>
        <v>7000</v>
      </c>
      <c r="I224" s="827">
        <f t="shared" si="30"/>
        <v>823700</v>
      </c>
      <c r="J224" s="827">
        <f t="shared" si="30"/>
        <v>823700</v>
      </c>
      <c r="K224" s="228" t="b">
        <f>H224='d3'!E293-'d3'!E295+H226+H228</f>
        <v>1</v>
      </c>
      <c r="L224" s="229" t="b">
        <f>I224='d3'!J293-'d3'!J295+'d7'!I226</f>
        <v>1</v>
      </c>
      <c r="M224" s="229" t="b">
        <f>J224='d3'!K293-'d3'!K295+'d7'!J226</f>
        <v>1</v>
      </c>
    </row>
    <row r="225" spans="1:17" ht="181.5" thickTop="1" thickBot="1" x14ac:dyDescent="0.25">
      <c r="A225" s="829" t="s">
        <v>175</v>
      </c>
      <c r="B225" s="829"/>
      <c r="C225" s="829"/>
      <c r="D225" s="830" t="s">
        <v>1086</v>
      </c>
      <c r="E225" s="831"/>
      <c r="F225" s="831"/>
      <c r="G225" s="831">
        <f>SUM(G226:G228)</f>
        <v>830700</v>
      </c>
      <c r="H225" s="831">
        <f>SUM(H226:H228)</f>
        <v>7000</v>
      </c>
      <c r="I225" s="831">
        <f>SUM(I226:I228)</f>
        <v>823700</v>
      </c>
      <c r="J225" s="831">
        <f>SUM(J226:J228)</f>
        <v>823700</v>
      </c>
    </row>
    <row r="226" spans="1:17" ht="230.25" thickTop="1" thickBot="1" x14ac:dyDescent="0.25">
      <c r="A226" s="275" t="s">
        <v>447</v>
      </c>
      <c r="B226" s="275" t="s">
        <v>254</v>
      </c>
      <c r="C226" s="275" t="s">
        <v>252</v>
      </c>
      <c r="D226" s="275" t="s">
        <v>253</v>
      </c>
      <c r="E226" s="298" t="s">
        <v>1371</v>
      </c>
      <c r="F226" s="450" t="s">
        <v>1021</v>
      </c>
      <c r="G226" s="285">
        <f>H226+I226</f>
        <v>225700</v>
      </c>
      <c r="H226" s="285">
        <v>0</v>
      </c>
      <c r="I226" s="841">
        <f>63700+((100000+26000)+36000)</f>
        <v>225700</v>
      </c>
      <c r="J226" s="841">
        <f>63700+((100000+26000)+36000)</f>
        <v>225700</v>
      </c>
    </row>
    <row r="227" spans="1:17" s="310" customFormat="1" ht="409.6" thickTop="1" thickBot="1" x14ac:dyDescent="0.25">
      <c r="A227" s="314" t="s">
        <v>786</v>
      </c>
      <c r="B227" s="314" t="s">
        <v>388</v>
      </c>
      <c r="C227" s="314" t="s">
        <v>775</v>
      </c>
      <c r="D227" s="314" t="s">
        <v>776</v>
      </c>
      <c r="E227" s="298" t="s">
        <v>1055</v>
      </c>
      <c r="F227" s="469" t="s">
        <v>1056</v>
      </c>
      <c r="G227" s="285">
        <f t="shared" ref="G227:G228" si="31">H227+I227</f>
        <v>7000</v>
      </c>
      <c r="H227" s="306">
        <f>'d3'!E296</f>
        <v>7000</v>
      </c>
      <c r="I227" s="318"/>
      <c r="J227" s="318"/>
      <c r="K227" s="312"/>
      <c r="L227" s="312"/>
      <c r="M227" s="312"/>
      <c r="N227" s="312"/>
      <c r="O227" s="312"/>
      <c r="P227" s="312"/>
      <c r="Q227" s="312"/>
    </row>
    <row r="228" spans="1:17" s="491" customFormat="1" ht="230.25" thickTop="1" thickBot="1" x14ac:dyDescent="0.25">
      <c r="A228" s="493" t="s">
        <v>1114</v>
      </c>
      <c r="B228" s="493" t="s">
        <v>1115</v>
      </c>
      <c r="C228" s="493" t="s">
        <v>323</v>
      </c>
      <c r="D228" s="493" t="s">
        <v>1116</v>
      </c>
      <c r="E228" s="298" t="s">
        <v>1026</v>
      </c>
      <c r="F228" s="492" t="s">
        <v>1027</v>
      </c>
      <c r="G228" s="492">
        <f t="shared" si="31"/>
        <v>598000</v>
      </c>
      <c r="H228" s="494">
        <f>'d3'!E299</f>
        <v>0</v>
      </c>
      <c r="I228" s="495">
        <f>'d3'!J299</f>
        <v>598000</v>
      </c>
      <c r="J228" s="497">
        <f>'d3'!K299</f>
        <v>598000</v>
      </c>
      <c r="K228" s="496"/>
      <c r="L228" s="496"/>
      <c r="M228" s="496"/>
      <c r="N228" s="496"/>
      <c r="O228" s="496"/>
      <c r="P228" s="496"/>
      <c r="Q228" s="496"/>
    </row>
    <row r="229" spans="1:17" ht="201.75" customHeight="1" thickTop="1" thickBot="1" x14ac:dyDescent="0.25">
      <c r="A229" s="825" t="s">
        <v>477</v>
      </c>
      <c r="B229" s="825"/>
      <c r="C229" s="825"/>
      <c r="D229" s="826" t="s">
        <v>479</v>
      </c>
      <c r="E229" s="827"/>
      <c r="F229" s="828"/>
      <c r="G229" s="828">
        <f>G230</f>
        <v>87383693</v>
      </c>
      <c r="H229" s="828">
        <f t="shared" ref="H229:J229" si="32">H230</f>
        <v>87347693</v>
      </c>
      <c r="I229" s="827">
        <f t="shared" si="32"/>
        <v>36000</v>
      </c>
      <c r="J229" s="827">
        <f t="shared" si="32"/>
        <v>36000</v>
      </c>
    </row>
    <row r="230" spans="1:17" ht="181.5" thickTop="1" thickBot="1" x14ac:dyDescent="0.25">
      <c r="A230" s="829" t="s">
        <v>478</v>
      </c>
      <c r="B230" s="829"/>
      <c r="C230" s="829"/>
      <c r="D230" s="830" t="s">
        <v>480</v>
      </c>
      <c r="E230" s="831"/>
      <c r="F230" s="831"/>
      <c r="G230" s="831">
        <f>SUM(G231:G235)</f>
        <v>87383693</v>
      </c>
      <c r="H230" s="831">
        <f>SUM(H231:H235)</f>
        <v>87347693</v>
      </c>
      <c r="I230" s="831">
        <f>SUM(I231:I235)</f>
        <v>36000</v>
      </c>
      <c r="J230" s="831">
        <f>SUM(J231:J235)</f>
        <v>36000</v>
      </c>
      <c r="K230" s="228" t="b">
        <f>H230='d3'!E301-'d3'!E303+'d7'!H231</f>
        <v>1</v>
      </c>
      <c r="L230" s="229" t="b">
        <f>I230='d3'!J301-'d3'!J303+'d7'!I231</f>
        <v>1</v>
      </c>
      <c r="M230" s="229" t="b">
        <f>J230='d3'!K301-'d3'!K303+'d7'!J231</f>
        <v>1</v>
      </c>
    </row>
    <row r="231" spans="1:17" ht="230.25" thickTop="1" thickBot="1" x14ac:dyDescent="0.25">
      <c r="A231" s="275" t="s">
        <v>481</v>
      </c>
      <c r="B231" s="275" t="s">
        <v>254</v>
      </c>
      <c r="C231" s="275" t="s">
        <v>252</v>
      </c>
      <c r="D231" s="275" t="s">
        <v>253</v>
      </c>
      <c r="E231" s="298" t="s">
        <v>1371</v>
      </c>
      <c r="F231" s="450" t="s">
        <v>1021</v>
      </c>
      <c r="G231" s="285">
        <f>H231+I231</f>
        <v>36000</v>
      </c>
      <c r="H231" s="306"/>
      <c r="I231" s="285">
        <f>(18000)+18000</f>
        <v>36000</v>
      </c>
      <c r="J231" s="507">
        <f>(18000)+18000</f>
        <v>36000</v>
      </c>
    </row>
    <row r="232" spans="1:17" s="310" customFormat="1" ht="409.6" thickTop="1" thickBot="1" x14ac:dyDescent="0.25">
      <c r="A232" s="314" t="s">
        <v>787</v>
      </c>
      <c r="B232" s="314" t="s">
        <v>388</v>
      </c>
      <c r="C232" s="314" t="s">
        <v>775</v>
      </c>
      <c r="D232" s="314" t="s">
        <v>776</v>
      </c>
      <c r="E232" s="298" t="s">
        <v>1055</v>
      </c>
      <c r="F232" s="469" t="s">
        <v>1056</v>
      </c>
      <c r="G232" s="285">
        <f t="shared" ref="G232:G234" si="33">H232+I232</f>
        <v>5080</v>
      </c>
      <c r="H232" s="306">
        <f>'d3'!E304</f>
        <v>5080</v>
      </c>
      <c r="I232" s="318"/>
      <c r="J232" s="318"/>
      <c r="K232" s="312"/>
      <c r="L232" s="312"/>
      <c r="M232" s="312"/>
      <c r="N232" s="312"/>
      <c r="O232" s="312"/>
      <c r="P232" s="312"/>
      <c r="Q232" s="312"/>
    </row>
    <row r="233" spans="1:17" s="658" customFormat="1" ht="230.25" hidden="1" thickTop="1" thickBot="1" x14ac:dyDescent="0.25">
      <c r="A233" s="663" t="s">
        <v>504</v>
      </c>
      <c r="B233" s="663" t="s">
        <v>440</v>
      </c>
      <c r="C233" s="663" t="s">
        <v>441</v>
      </c>
      <c r="D233" s="663" t="s">
        <v>442</v>
      </c>
      <c r="E233" s="319" t="s">
        <v>1336</v>
      </c>
      <c r="F233" s="660" t="s">
        <v>534</v>
      </c>
      <c r="G233" s="662">
        <f t="shared" si="33"/>
        <v>0</v>
      </c>
      <c r="H233" s="664">
        <f>'d3'!E309</f>
        <v>0</v>
      </c>
      <c r="I233" s="665">
        <f>'d3'!J309</f>
        <v>0</v>
      </c>
      <c r="J233" s="665">
        <f>'d3'!K309</f>
        <v>0</v>
      </c>
      <c r="K233" s="666"/>
      <c r="L233" s="666"/>
      <c r="M233" s="666"/>
      <c r="N233" s="666"/>
      <c r="O233" s="666"/>
      <c r="P233" s="666"/>
      <c r="Q233" s="666"/>
    </row>
    <row r="234" spans="1:17" ht="230.25" thickTop="1" thickBot="1" x14ac:dyDescent="0.25">
      <c r="A234" s="363" t="s">
        <v>505</v>
      </c>
      <c r="B234" s="363" t="s">
        <v>309</v>
      </c>
      <c r="C234" s="363" t="s">
        <v>311</v>
      </c>
      <c r="D234" s="363" t="s">
        <v>310</v>
      </c>
      <c r="E234" s="319" t="s">
        <v>1173</v>
      </c>
      <c r="F234" s="546" t="s">
        <v>1174</v>
      </c>
      <c r="G234" s="662">
        <f t="shared" si="33"/>
        <v>87142613</v>
      </c>
      <c r="H234" s="664">
        <f>'d3'!E311</f>
        <v>87142613</v>
      </c>
      <c r="I234" s="665">
        <f>'d3'!J311</f>
        <v>0</v>
      </c>
      <c r="J234" s="665">
        <f>'d3'!K311</f>
        <v>0</v>
      </c>
    </row>
    <row r="235" spans="1:17" s="787" customFormat="1" ht="230.25" thickTop="1" thickBot="1" x14ac:dyDescent="0.25">
      <c r="A235" s="1095" t="s">
        <v>1462</v>
      </c>
      <c r="B235" s="1095" t="s">
        <v>1463</v>
      </c>
      <c r="C235" s="1095" t="s">
        <v>314</v>
      </c>
      <c r="D235" s="1095" t="s">
        <v>1461</v>
      </c>
      <c r="E235" s="319" t="s">
        <v>1336</v>
      </c>
      <c r="F235" s="788" t="s">
        <v>534</v>
      </c>
      <c r="G235" s="1099">
        <f>H235+I235</f>
        <v>200000</v>
      </c>
      <c r="H235" s="1108">
        <f>'d3'!E312</f>
        <v>200000</v>
      </c>
      <c r="I235" s="1109">
        <f>'d3'!J312</f>
        <v>0</v>
      </c>
      <c r="J235" s="1109">
        <f>'d3'!K312</f>
        <v>0</v>
      </c>
      <c r="K235" s="794"/>
      <c r="L235" s="794"/>
      <c r="M235" s="794"/>
      <c r="N235" s="794"/>
      <c r="O235" s="794"/>
      <c r="P235" s="794"/>
      <c r="Q235" s="794"/>
    </row>
    <row r="236" spans="1:17" s="787" customFormat="1" ht="230.25" thickTop="1" thickBot="1" x14ac:dyDescent="0.25">
      <c r="A236" s="1064"/>
      <c r="B236" s="1064" t="s">
        <v>1463</v>
      </c>
      <c r="C236" s="1064"/>
      <c r="D236" s="1064"/>
      <c r="E236" s="298" t="s">
        <v>1026</v>
      </c>
      <c r="F236" s="790" t="s">
        <v>1027</v>
      </c>
      <c r="G236" s="1064"/>
      <c r="H236" s="1064"/>
      <c r="I236" s="1064"/>
      <c r="J236" s="1064"/>
      <c r="K236" s="794"/>
      <c r="L236" s="794"/>
      <c r="M236" s="794"/>
      <c r="N236" s="794"/>
      <c r="O236" s="794"/>
      <c r="P236" s="794"/>
      <c r="Q236" s="794"/>
    </row>
    <row r="237" spans="1:17" ht="160.5" customHeight="1" thickTop="1" thickBot="1" x14ac:dyDescent="0.25">
      <c r="A237" s="825" t="s">
        <v>180</v>
      </c>
      <c r="B237" s="825"/>
      <c r="C237" s="825"/>
      <c r="D237" s="826" t="s">
        <v>380</v>
      </c>
      <c r="E237" s="827"/>
      <c r="F237" s="828"/>
      <c r="G237" s="828">
        <f>G238</f>
        <v>12956743.41</v>
      </c>
      <c r="H237" s="828">
        <f t="shared" ref="H237:J237" si="34">H238</f>
        <v>11386858.41</v>
      </c>
      <c r="I237" s="827">
        <f t="shared" si="34"/>
        <v>1569885</v>
      </c>
      <c r="J237" s="827">
        <f t="shared" si="34"/>
        <v>1569885</v>
      </c>
      <c r="K237" s="228" t="b">
        <f>H237='d3'!E313</f>
        <v>1</v>
      </c>
      <c r="L237" s="229" t="b">
        <f>I237='d3'!J313</f>
        <v>1</v>
      </c>
      <c r="M237" s="229" t="b">
        <f>J237='d3'!K313</f>
        <v>1</v>
      </c>
    </row>
    <row r="238" spans="1:17" ht="136.5" thickTop="1" thickBot="1" x14ac:dyDescent="0.25">
      <c r="A238" s="829" t="s">
        <v>181</v>
      </c>
      <c r="B238" s="829"/>
      <c r="C238" s="829"/>
      <c r="D238" s="830" t="s">
        <v>381</v>
      </c>
      <c r="E238" s="831"/>
      <c r="F238" s="831"/>
      <c r="G238" s="831">
        <f>SUM(G239:G247)</f>
        <v>12956743.41</v>
      </c>
      <c r="H238" s="831">
        <f>SUM(H239:H247)</f>
        <v>11386858.41</v>
      </c>
      <c r="I238" s="831">
        <f>SUM(I239:I247)</f>
        <v>1569885</v>
      </c>
      <c r="J238" s="831">
        <f>SUM(J239:J247)</f>
        <v>1569885</v>
      </c>
    </row>
    <row r="239" spans="1:17" s="658" customFormat="1" ht="230.25" thickTop="1" thickBot="1" x14ac:dyDescent="0.25">
      <c r="A239" s="661" t="s">
        <v>1332</v>
      </c>
      <c r="B239" s="661" t="s">
        <v>376</v>
      </c>
      <c r="C239" s="661" t="s">
        <v>184</v>
      </c>
      <c r="D239" s="661" t="s">
        <v>280</v>
      </c>
      <c r="E239" s="298" t="s">
        <v>1026</v>
      </c>
      <c r="F239" s="662" t="s">
        <v>1027</v>
      </c>
      <c r="G239" s="664">
        <f>H239+I239</f>
        <v>24357</v>
      </c>
      <c r="H239" s="662">
        <f>-45643+(70000)</f>
        <v>24357</v>
      </c>
      <c r="I239" s="662"/>
      <c r="J239" s="662"/>
      <c r="K239" s="228" t="b">
        <f>H239='d3'!E317</f>
        <v>1</v>
      </c>
      <c r="L239" s="229" t="b">
        <f>I239='d3'!J317</f>
        <v>1</v>
      </c>
      <c r="M239" s="229" t="b">
        <f>J239='d3'!K317</f>
        <v>1</v>
      </c>
      <c r="N239" s="666"/>
      <c r="O239" s="666"/>
      <c r="P239" s="666"/>
      <c r="Q239" s="666"/>
    </row>
    <row r="240" spans="1:17" ht="184.5" thickTop="1" thickBot="1" x14ac:dyDescent="0.25">
      <c r="A240" s="363" t="s">
        <v>278</v>
      </c>
      <c r="B240" s="363" t="s">
        <v>279</v>
      </c>
      <c r="C240" s="363" t="s">
        <v>277</v>
      </c>
      <c r="D240" s="363" t="s">
        <v>276</v>
      </c>
      <c r="E240" s="168" t="s">
        <v>483</v>
      </c>
      <c r="F240" s="276" t="s">
        <v>457</v>
      </c>
      <c r="G240" s="306">
        <f>H240+I240</f>
        <v>3582230</v>
      </c>
      <c r="H240" s="362">
        <f>-750000+(-150000+(-490000+300000+((5468200)-795970)))</f>
        <v>3582230</v>
      </c>
      <c r="I240" s="362"/>
      <c r="J240" s="362"/>
      <c r="K240" s="228" t="b">
        <f>H240+H241='d3'!E319</f>
        <v>1</v>
      </c>
      <c r="L240" s="229" t="b">
        <f>I240+I241='d3'!J319</f>
        <v>1</v>
      </c>
      <c r="M240" s="229" t="b">
        <f>J240+J241='d3'!K319</f>
        <v>1</v>
      </c>
    </row>
    <row r="241" spans="1:17" ht="184.5" thickTop="1" thickBot="1" x14ac:dyDescent="0.25">
      <c r="A241" s="363" t="s">
        <v>278</v>
      </c>
      <c r="B241" s="363" t="s">
        <v>279</v>
      </c>
      <c r="C241" s="363" t="s">
        <v>277</v>
      </c>
      <c r="D241" s="363" t="s">
        <v>276</v>
      </c>
      <c r="E241" s="168" t="s">
        <v>484</v>
      </c>
      <c r="F241" s="276" t="s">
        <v>453</v>
      </c>
      <c r="G241" s="306">
        <f t="shared" ref="G241:G247" si="35">H241+I241</f>
        <v>120000</v>
      </c>
      <c r="H241" s="362">
        <v>120000</v>
      </c>
      <c r="I241" s="362"/>
      <c r="J241" s="362"/>
      <c r="M241" s="229"/>
    </row>
    <row r="242" spans="1:17" ht="230.25" thickTop="1" thickBot="1" x14ac:dyDescent="0.25">
      <c r="A242" s="363" t="s">
        <v>270</v>
      </c>
      <c r="B242" s="363" t="s">
        <v>272</v>
      </c>
      <c r="C242" s="363" t="s">
        <v>231</v>
      </c>
      <c r="D242" s="363" t="s">
        <v>271</v>
      </c>
      <c r="E242" s="449" t="s">
        <v>1028</v>
      </c>
      <c r="F242" s="450" t="s">
        <v>1029</v>
      </c>
      <c r="G242" s="306">
        <f t="shared" si="35"/>
        <v>1235000</v>
      </c>
      <c r="H242" s="362">
        <f>(745000)+490000</f>
        <v>1235000</v>
      </c>
      <c r="I242" s="362">
        <v>0</v>
      </c>
      <c r="J242" s="362">
        <v>0</v>
      </c>
      <c r="K242" s="228" t="b">
        <f>H242='d3'!E320</f>
        <v>1</v>
      </c>
      <c r="L242" s="229" t="b">
        <f>I242='d3'!J320</f>
        <v>1</v>
      </c>
      <c r="M242" s="229" t="b">
        <f>J242='d3'!K320</f>
        <v>1</v>
      </c>
    </row>
    <row r="243" spans="1:17" ht="276" thickTop="1" thickBot="1" x14ac:dyDescent="0.25">
      <c r="A243" s="363" t="s">
        <v>274</v>
      </c>
      <c r="B243" s="363" t="s">
        <v>275</v>
      </c>
      <c r="C243" s="363" t="s">
        <v>184</v>
      </c>
      <c r="D243" s="363" t="s">
        <v>273</v>
      </c>
      <c r="E243" s="362" t="s">
        <v>482</v>
      </c>
      <c r="F243" s="276" t="s">
        <v>458</v>
      </c>
      <c r="G243" s="306">
        <f t="shared" si="35"/>
        <v>449037.40999999992</v>
      </c>
      <c r="H243" s="362">
        <f>2049580-1600542.59</f>
        <v>449037.40999999992</v>
      </c>
      <c r="I243" s="362">
        <v>0</v>
      </c>
      <c r="J243" s="362">
        <v>0</v>
      </c>
      <c r="K243" s="228" t="b">
        <f>'d3'!E322=H243+H244+H245+H246</f>
        <v>1</v>
      </c>
      <c r="L243" s="229" t="b">
        <f>'d3'!J322=I243+I244+I245+I246</f>
        <v>1</v>
      </c>
      <c r="M243" s="229" t="b">
        <f>'d3'!K322=J243+J244+J245+J246</f>
        <v>1</v>
      </c>
    </row>
    <row r="244" spans="1:17" ht="184.5" thickTop="1" thickBot="1" x14ac:dyDescent="0.25">
      <c r="A244" s="363" t="s">
        <v>274</v>
      </c>
      <c r="B244" s="363" t="s">
        <v>275</v>
      </c>
      <c r="C244" s="363" t="s">
        <v>184</v>
      </c>
      <c r="D244" s="363" t="s">
        <v>273</v>
      </c>
      <c r="E244" s="362" t="s">
        <v>719</v>
      </c>
      <c r="F244" s="362" t="s">
        <v>720</v>
      </c>
      <c r="G244" s="306">
        <f t="shared" si="35"/>
        <v>1146119</v>
      </c>
      <c r="H244" s="362">
        <f>(800000)+30296+105938</f>
        <v>936234</v>
      </c>
      <c r="I244" s="362">
        <f>(400000)-190115</f>
        <v>209885</v>
      </c>
      <c r="J244" s="362">
        <f>(400000)-190115</f>
        <v>209885</v>
      </c>
      <c r="K244" s="217"/>
      <c r="L244" s="220"/>
      <c r="M244" s="221"/>
    </row>
    <row r="245" spans="1:17" s="545" customFormat="1" ht="230.25" thickTop="1" thickBot="1" x14ac:dyDescent="0.25">
      <c r="A245" s="547" t="s">
        <v>274</v>
      </c>
      <c r="B245" s="547" t="s">
        <v>275</v>
      </c>
      <c r="C245" s="547" t="s">
        <v>184</v>
      </c>
      <c r="D245" s="547" t="s">
        <v>273</v>
      </c>
      <c r="E245" s="458" t="s">
        <v>1220</v>
      </c>
      <c r="F245" s="584" t="s">
        <v>1221</v>
      </c>
      <c r="G245" s="551">
        <f t="shared" si="35"/>
        <v>300000</v>
      </c>
      <c r="H245" s="546">
        <v>300000</v>
      </c>
      <c r="I245" s="546">
        <v>0</v>
      </c>
      <c r="J245" s="546">
        <v>0</v>
      </c>
      <c r="K245" s="217"/>
      <c r="L245" s="220"/>
      <c r="M245" s="221"/>
      <c r="N245" s="553"/>
      <c r="O245" s="553"/>
      <c r="P245" s="553"/>
      <c r="Q245" s="553"/>
    </row>
    <row r="246" spans="1:17" s="555" customFormat="1" ht="230.25" thickTop="1" thickBot="1" x14ac:dyDescent="0.25">
      <c r="A246" s="557" t="s">
        <v>274</v>
      </c>
      <c r="B246" s="557" t="s">
        <v>275</v>
      </c>
      <c r="C246" s="557" t="s">
        <v>184</v>
      </c>
      <c r="D246" s="557" t="s">
        <v>273</v>
      </c>
      <c r="E246" s="298" t="s">
        <v>1026</v>
      </c>
      <c r="F246" s="556" t="s">
        <v>1027</v>
      </c>
      <c r="G246" s="558">
        <f t="shared" si="35"/>
        <v>2700000</v>
      </c>
      <c r="H246" s="556">
        <f>(700000)+1500000+500000</f>
        <v>2700000</v>
      </c>
      <c r="I246" s="556">
        <v>0</v>
      </c>
      <c r="J246" s="556">
        <v>0</v>
      </c>
      <c r="K246" s="217"/>
      <c r="L246" s="220"/>
      <c r="M246" s="221"/>
      <c r="N246" s="559"/>
      <c r="O246" s="559"/>
      <c r="P246" s="559"/>
      <c r="Q246" s="559"/>
    </row>
    <row r="247" spans="1:17" s="475" customFormat="1" ht="230.25" thickTop="1" thickBot="1" x14ac:dyDescent="0.25">
      <c r="A247" s="476" t="s">
        <v>1101</v>
      </c>
      <c r="B247" s="476" t="s">
        <v>389</v>
      </c>
      <c r="C247" s="476" t="s">
        <v>45</v>
      </c>
      <c r="D247" s="476" t="s">
        <v>390</v>
      </c>
      <c r="E247" s="298" t="s">
        <v>1026</v>
      </c>
      <c r="F247" s="477" t="s">
        <v>1027</v>
      </c>
      <c r="G247" s="478">
        <f t="shared" si="35"/>
        <v>3400000</v>
      </c>
      <c r="H247" s="477">
        <f>'d3'!E325</f>
        <v>2040000</v>
      </c>
      <c r="I247" s="477">
        <f>'d3'!J325</f>
        <v>1360000</v>
      </c>
      <c r="J247" s="481">
        <f>'d3'!K325</f>
        <v>1360000</v>
      </c>
      <c r="K247" s="217"/>
      <c r="L247" s="220"/>
      <c r="M247" s="221"/>
      <c r="N247" s="479"/>
      <c r="O247" s="479"/>
      <c r="P247" s="479"/>
      <c r="Q247" s="479"/>
    </row>
    <row r="248" spans="1:17" ht="226.5" thickTop="1" thickBot="1" x14ac:dyDescent="0.25">
      <c r="A248" s="825" t="s">
        <v>178</v>
      </c>
      <c r="B248" s="825"/>
      <c r="C248" s="825"/>
      <c r="D248" s="826" t="s">
        <v>1059</v>
      </c>
      <c r="E248" s="827"/>
      <c r="F248" s="828"/>
      <c r="G248" s="828">
        <f>G249</f>
        <v>3254138.96</v>
      </c>
      <c r="H248" s="828">
        <f t="shared" ref="H248:J248" si="36">H249</f>
        <v>5000</v>
      </c>
      <c r="I248" s="827">
        <f t="shared" si="36"/>
        <v>3249138.96</v>
      </c>
      <c r="J248" s="827">
        <f t="shared" si="36"/>
        <v>64000</v>
      </c>
      <c r="K248" s="228" t="b">
        <f>H248='d3'!E327-'d3'!E329+H250</f>
        <v>1</v>
      </c>
      <c r="L248" s="229" t="b">
        <f>I248='d3'!J327-'d3'!J329+'d7'!I250</f>
        <v>1</v>
      </c>
      <c r="M248" s="229" t="b">
        <f>J248='d3'!K327-'d3'!K329+'d7'!J250</f>
        <v>1</v>
      </c>
    </row>
    <row r="249" spans="1:17" ht="226.5" thickTop="1" thickBot="1" x14ac:dyDescent="0.25">
      <c r="A249" s="829" t="s">
        <v>179</v>
      </c>
      <c r="B249" s="829"/>
      <c r="C249" s="829"/>
      <c r="D249" s="830" t="s">
        <v>1060</v>
      </c>
      <c r="E249" s="831"/>
      <c r="F249" s="831"/>
      <c r="G249" s="831">
        <f>SUM(G250:G255)</f>
        <v>3254138.96</v>
      </c>
      <c r="H249" s="831">
        <f>SUM(H250:H255)</f>
        <v>5000</v>
      </c>
      <c r="I249" s="831">
        <f>SUM(I250:I255)</f>
        <v>3249138.96</v>
      </c>
      <c r="J249" s="831">
        <f>SUM(J250:J255)</f>
        <v>64000</v>
      </c>
    </row>
    <row r="250" spans="1:17" s="251" customFormat="1" ht="230.25" thickTop="1" thickBot="1" x14ac:dyDescent="0.25">
      <c r="A250" s="275" t="s">
        <v>450</v>
      </c>
      <c r="B250" s="275" t="s">
        <v>254</v>
      </c>
      <c r="C250" s="275" t="s">
        <v>252</v>
      </c>
      <c r="D250" s="275" t="s">
        <v>253</v>
      </c>
      <c r="E250" s="298" t="s">
        <v>1371</v>
      </c>
      <c r="F250" s="450" t="s">
        <v>1021</v>
      </c>
      <c r="G250" s="285">
        <f>H250+I250</f>
        <v>64000</v>
      </c>
      <c r="H250" s="306"/>
      <c r="I250" s="285">
        <f>(18000)+46000</f>
        <v>64000</v>
      </c>
      <c r="J250" s="507">
        <f>(18000)+46000</f>
        <v>64000</v>
      </c>
      <c r="K250" s="252"/>
      <c r="L250" s="252"/>
      <c r="M250" s="252"/>
      <c r="N250" s="252"/>
      <c r="O250" s="252"/>
      <c r="P250" s="252"/>
      <c r="Q250" s="252"/>
    </row>
    <row r="251" spans="1:17" s="310" customFormat="1" ht="409.6" thickTop="1" thickBot="1" x14ac:dyDescent="0.25">
      <c r="A251" s="314" t="s">
        <v>788</v>
      </c>
      <c r="B251" s="314" t="s">
        <v>388</v>
      </c>
      <c r="C251" s="314" t="s">
        <v>775</v>
      </c>
      <c r="D251" s="314" t="s">
        <v>776</v>
      </c>
      <c r="E251" s="298" t="s">
        <v>1055</v>
      </c>
      <c r="F251" s="469" t="s">
        <v>1056</v>
      </c>
      <c r="G251" s="285">
        <f t="shared" ref="G251" si="37">H251+I251</f>
        <v>5000</v>
      </c>
      <c r="H251" s="306">
        <f>'d3'!E330</f>
        <v>5000</v>
      </c>
      <c r="I251" s="318"/>
      <c r="J251" s="318"/>
      <c r="K251" s="312"/>
      <c r="L251" s="312"/>
      <c r="M251" s="312"/>
      <c r="N251" s="312"/>
      <c r="O251" s="312"/>
      <c r="P251" s="312"/>
      <c r="Q251" s="312"/>
    </row>
    <row r="252" spans="1:17" ht="184.5" thickTop="1" thickBot="1" x14ac:dyDescent="0.25">
      <c r="A252" s="363" t="s">
        <v>328</v>
      </c>
      <c r="B252" s="363" t="s">
        <v>329</v>
      </c>
      <c r="C252" s="363" t="s">
        <v>54</v>
      </c>
      <c r="D252" s="363" t="s">
        <v>55</v>
      </c>
      <c r="E252" s="319" t="s">
        <v>1218</v>
      </c>
      <c r="F252" s="584" t="s">
        <v>1219</v>
      </c>
      <c r="G252" s="306">
        <f t="shared" ref="G252:G255" si="38">H252+I252</f>
        <v>403900</v>
      </c>
      <c r="H252" s="362">
        <f>'d3'!E334</f>
        <v>0</v>
      </c>
      <c r="I252" s="362">
        <f>'d3'!J334</f>
        <v>403900</v>
      </c>
      <c r="J252" s="362">
        <f>'d3'!K334</f>
        <v>0</v>
      </c>
    </row>
    <row r="253" spans="1:17" ht="184.5" thickTop="1" thickBot="1" x14ac:dyDescent="0.25">
      <c r="A253" s="363" t="s">
        <v>508</v>
      </c>
      <c r="B253" s="363" t="s">
        <v>509</v>
      </c>
      <c r="C253" s="363" t="s">
        <v>507</v>
      </c>
      <c r="D253" s="363" t="s">
        <v>510</v>
      </c>
      <c r="E253" s="319" t="s">
        <v>1218</v>
      </c>
      <c r="F253" s="584" t="s">
        <v>1219</v>
      </c>
      <c r="G253" s="306">
        <f t="shared" si="38"/>
        <v>361238.96</v>
      </c>
      <c r="H253" s="362">
        <f>'d3'!E335</f>
        <v>0</v>
      </c>
      <c r="I253" s="362">
        <f>'d3'!J335</f>
        <v>361238.96</v>
      </c>
      <c r="J253" s="362">
        <f>'d3'!K335</f>
        <v>0</v>
      </c>
    </row>
    <row r="254" spans="1:17" ht="184.5" thickTop="1" thickBot="1" x14ac:dyDescent="0.25">
      <c r="A254" s="363" t="s">
        <v>569</v>
      </c>
      <c r="B254" s="363" t="s">
        <v>567</v>
      </c>
      <c r="C254" s="363" t="s">
        <v>570</v>
      </c>
      <c r="D254" s="363" t="s">
        <v>568</v>
      </c>
      <c r="E254" s="319" t="s">
        <v>1218</v>
      </c>
      <c r="F254" s="584" t="s">
        <v>1219</v>
      </c>
      <c r="G254" s="306">
        <f t="shared" si="38"/>
        <v>175000</v>
      </c>
      <c r="H254" s="362">
        <f>'d3'!E336</f>
        <v>0</v>
      </c>
      <c r="I254" s="362">
        <f>'d3'!J336</f>
        <v>175000</v>
      </c>
      <c r="J254" s="362">
        <f>'d3'!K336</f>
        <v>0</v>
      </c>
    </row>
    <row r="255" spans="1:17" ht="184.5" thickTop="1" thickBot="1" x14ac:dyDescent="0.25">
      <c r="A255" s="363" t="s">
        <v>330</v>
      </c>
      <c r="B255" s="363" t="s">
        <v>331</v>
      </c>
      <c r="C255" s="363" t="s">
        <v>56</v>
      </c>
      <c r="D255" s="363" t="s">
        <v>511</v>
      </c>
      <c r="E255" s="319" t="s">
        <v>1218</v>
      </c>
      <c r="F255" s="584" t="s">
        <v>1219</v>
      </c>
      <c r="G255" s="306">
        <f t="shared" si="38"/>
        <v>2245000</v>
      </c>
      <c r="H255" s="362">
        <f>'d3'!E337</f>
        <v>0</v>
      </c>
      <c r="I255" s="362">
        <f>'d3'!J337</f>
        <v>2245000</v>
      </c>
      <c r="J255" s="362">
        <f>'d3'!K337</f>
        <v>0</v>
      </c>
    </row>
    <row r="256" spans="1:17" ht="226.5" thickTop="1" thickBot="1" x14ac:dyDescent="0.25">
      <c r="A256" s="825" t="s">
        <v>176</v>
      </c>
      <c r="B256" s="825"/>
      <c r="C256" s="825"/>
      <c r="D256" s="826" t="s">
        <v>1087</v>
      </c>
      <c r="E256" s="827"/>
      <c r="F256" s="828"/>
      <c r="G256" s="828">
        <f>G257</f>
        <v>350000</v>
      </c>
      <c r="H256" s="828">
        <f t="shared" ref="H256:J256" si="39">H257</f>
        <v>0</v>
      </c>
      <c r="I256" s="827">
        <f t="shared" si="39"/>
        <v>350000</v>
      </c>
      <c r="J256" s="827">
        <f t="shared" si="39"/>
        <v>350000</v>
      </c>
      <c r="K256" s="228" t="b">
        <f>H256='d3'!E339-'d3'!E341+H258</f>
        <v>1</v>
      </c>
      <c r="L256" s="229" t="b">
        <f>I256='d3'!J339-'d3'!J341+I258</f>
        <v>1</v>
      </c>
      <c r="M256" s="229" t="b">
        <f>J256='d3'!K339-'d3'!K341+J258</f>
        <v>1</v>
      </c>
    </row>
    <row r="257" spans="1:17" ht="226.5" thickTop="1" thickBot="1" x14ac:dyDescent="0.25">
      <c r="A257" s="829" t="s">
        <v>177</v>
      </c>
      <c r="B257" s="829"/>
      <c r="C257" s="829"/>
      <c r="D257" s="830" t="s">
        <v>1088</v>
      </c>
      <c r="E257" s="831"/>
      <c r="F257" s="831"/>
      <c r="G257" s="831">
        <f>SUM(G258:G260)</f>
        <v>350000</v>
      </c>
      <c r="H257" s="831">
        <f>SUM(H258:H260)</f>
        <v>0</v>
      </c>
      <c r="I257" s="831">
        <f>SUM(I258:I260)</f>
        <v>350000</v>
      </c>
      <c r="J257" s="831">
        <f>SUM(J258:J260)</f>
        <v>350000</v>
      </c>
    </row>
    <row r="258" spans="1:17" s="504" customFormat="1" ht="230.25" thickTop="1" thickBot="1" x14ac:dyDescent="0.25">
      <c r="A258" s="508" t="s">
        <v>446</v>
      </c>
      <c r="B258" s="508" t="s">
        <v>254</v>
      </c>
      <c r="C258" s="508" t="s">
        <v>252</v>
      </c>
      <c r="D258" s="508" t="s">
        <v>253</v>
      </c>
      <c r="E258" s="298" t="s">
        <v>1371</v>
      </c>
      <c r="F258" s="507" t="s">
        <v>1021</v>
      </c>
      <c r="G258" s="507">
        <f>H258+I258</f>
        <v>100000</v>
      </c>
      <c r="H258" s="509"/>
      <c r="I258" s="507">
        <v>100000</v>
      </c>
      <c r="J258" s="507">
        <v>100000</v>
      </c>
      <c r="K258" s="511"/>
      <c r="L258" s="511"/>
      <c r="M258" s="511"/>
      <c r="N258" s="511"/>
      <c r="O258" s="511"/>
      <c r="P258" s="511"/>
      <c r="Q258" s="511"/>
    </row>
    <row r="259" spans="1:17" ht="230.25" thickTop="1" thickBot="1" x14ac:dyDescent="0.25">
      <c r="A259" s="363" t="s">
        <v>325</v>
      </c>
      <c r="B259" s="363" t="s">
        <v>326</v>
      </c>
      <c r="C259" s="363" t="s">
        <v>327</v>
      </c>
      <c r="D259" s="363" t="s">
        <v>497</v>
      </c>
      <c r="E259" s="298" t="s">
        <v>1026</v>
      </c>
      <c r="F259" s="450" t="s">
        <v>1027</v>
      </c>
      <c r="G259" s="306">
        <f t="shared" ref="G259:G260" si="40">H259+I259</f>
        <v>200000</v>
      </c>
      <c r="H259" s="362">
        <f>'d3'!E344</f>
        <v>0</v>
      </c>
      <c r="I259" s="362">
        <f>'d3'!J344</f>
        <v>200000</v>
      </c>
      <c r="J259" s="362">
        <f>'d3'!K344</f>
        <v>200000</v>
      </c>
    </row>
    <row r="260" spans="1:17" ht="230.25" thickTop="1" thickBot="1" x14ac:dyDescent="0.25">
      <c r="A260" s="363" t="s">
        <v>394</v>
      </c>
      <c r="B260" s="363" t="s">
        <v>395</v>
      </c>
      <c r="C260" s="363" t="s">
        <v>184</v>
      </c>
      <c r="D260" s="363" t="s">
        <v>396</v>
      </c>
      <c r="E260" s="298" t="s">
        <v>1026</v>
      </c>
      <c r="F260" s="450" t="s">
        <v>1027</v>
      </c>
      <c r="G260" s="306">
        <f t="shared" si="40"/>
        <v>50000</v>
      </c>
      <c r="H260" s="362">
        <f>'d3'!E346</f>
        <v>0</v>
      </c>
      <c r="I260" s="362">
        <f>'d3'!J346</f>
        <v>50000</v>
      </c>
      <c r="J260" s="362">
        <f>'d3'!K346</f>
        <v>50000</v>
      </c>
    </row>
    <row r="261" spans="1:17" s="310" customFormat="1" ht="136.5" thickTop="1" thickBot="1" x14ac:dyDescent="0.25">
      <c r="A261" s="825" t="s">
        <v>182</v>
      </c>
      <c r="B261" s="825"/>
      <c r="C261" s="825"/>
      <c r="D261" s="826" t="s">
        <v>27</v>
      </c>
      <c r="E261" s="827"/>
      <c r="F261" s="828"/>
      <c r="G261" s="828">
        <f>G262</f>
        <v>43000</v>
      </c>
      <c r="H261" s="828">
        <f t="shared" ref="H261:J261" si="41">H262</f>
        <v>3000</v>
      </c>
      <c r="I261" s="827">
        <f t="shared" si="41"/>
        <v>40000</v>
      </c>
      <c r="J261" s="827">
        <f t="shared" si="41"/>
        <v>40000</v>
      </c>
      <c r="K261" s="312"/>
      <c r="L261" s="312"/>
      <c r="M261" s="312"/>
      <c r="N261" s="312"/>
      <c r="O261" s="312"/>
      <c r="P261" s="312"/>
      <c r="Q261" s="312"/>
    </row>
    <row r="262" spans="1:17" s="310" customFormat="1" ht="136.5" thickTop="1" thickBot="1" x14ac:dyDescent="0.25">
      <c r="A262" s="829" t="s">
        <v>183</v>
      </c>
      <c r="B262" s="829"/>
      <c r="C262" s="829"/>
      <c r="D262" s="830" t="s">
        <v>42</v>
      </c>
      <c r="E262" s="831"/>
      <c r="F262" s="831"/>
      <c r="G262" s="831">
        <f>SUM(G263:G264)</f>
        <v>43000</v>
      </c>
      <c r="H262" s="831">
        <f>SUM(H263:H264)</f>
        <v>3000</v>
      </c>
      <c r="I262" s="831">
        <f>SUM(I263:I264)</f>
        <v>40000</v>
      </c>
      <c r="J262" s="831">
        <f>SUM(J263:J264)</f>
        <v>40000</v>
      </c>
      <c r="K262" s="312"/>
      <c r="L262" s="312"/>
      <c r="M262" s="312"/>
      <c r="N262" s="312"/>
      <c r="O262" s="312"/>
      <c r="P262" s="312"/>
      <c r="Q262" s="312"/>
    </row>
    <row r="263" spans="1:17" s="649" customFormat="1" ht="230.25" thickTop="1" thickBot="1" x14ac:dyDescent="0.25">
      <c r="A263" s="651" t="s">
        <v>448</v>
      </c>
      <c r="B263" s="651" t="s">
        <v>254</v>
      </c>
      <c r="C263" s="651" t="s">
        <v>252</v>
      </c>
      <c r="D263" s="651" t="s">
        <v>253</v>
      </c>
      <c r="E263" s="298" t="s">
        <v>1371</v>
      </c>
      <c r="F263" s="650" t="s">
        <v>1021</v>
      </c>
      <c r="G263" s="650">
        <f t="shared" ref="G263:G264" si="42">H263+I263</f>
        <v>40000</v>
      </c>
      <c r="H263" s="652">
        <f>0</f>
        <v>0</v>
      </c>
      <c r="I263" s="653">
        <v>40000</v>
      </c>
      <c r="J263" s="653">
        <v>40000</v>
      </c>
      <c r="K263" s="656"/>
      <c r="L263" s="656"/>
      <c r="M263" s="656"/>
      <c r="N263" s="656"/>
      <c r="O263" s="656"/>
      <c r="P263" s="656"/>
      <c r="Q263" s="656"/>
    </row>
    <row r="264" spans="1:17" s="310" customFormat="1" ht="409.6" thickTop="1" thickBot="1" x14ac:dyDescent="0.25">
      <c r="A264" s="364" t="s">
        <v>789</v>
      </c>
      <c r="B264" s="364" t="s">
        <v>388</v>
      </c>
      <c r="C264" s="364" t="s">
        <v>775</v>
      </c>
      <c r="D264" s="364" t="s">
        <v>776</v>
      </c>
      <c r="E264" s="298" t="s">
        <v>1055</v>
      </c>
      <c r="F264" s="469" t="s">
        <v>1056</v>
      </c>
      <c r="G264" s="362">
        <f t="shared" si="42"/>
        <v>3000</v>
      </c>
      <c r="H264" s="306">
        <f>'d3'!E351</f>
        <v>3000</v>
      </c>
      <c r="I264" s="318"/>
      <c r="J264" s="318"/>
      <c r="K264" s="312"/>
      <c r="L264" s="312"/>
      <c r="M264" s="312"/>
      <c r="N264" s="312"/>
      <c r="O264" s="312"/>
      <c r="P264" s="312"/>
      <c r="Q264" s="312"/>
    </row>
    <row r="265" spans="1:17" ht="81.75" customHeight="1" thickTop="1" thickBot="1" x14ac:dyDescent="1.2">
      <c r="A265" s="242" t="s">
        <v>408</v>
      </c>
      <c r="B265" s="242" t="s">
        <v>408</v>
      </c>
      <c r="C265" s="242" t="s">
        <v>408</v>
      </c>
      <c r="D265" s="243" t="s">
        <v>418</v>
      </c>
      <c r="E265" s="242" t="s">
        <v>408</v>
      </c>
      <c r="F265" s="242" t="s">
        <v>408</v>
      </c>
      <c r="G265" s="244">
        <f>G16+G41+G152+G75+G101+G134+G211+G238+G249+G257+G230+G225+G187+G171+G262</f>
        <v>3284328385.1900001</v>
      </c>
      <c r="H265" s="244">
        <f>H16+H41+H152+H75+H101+H134+H211+H238+H249+H257+H230+H225+H187+H171+H262</f>
        <v>2485377382.8199997</v>
      </c>
      <c r="I265" s="244">
        <f>I16+I41+I152+I75+I101+I134+I211+I238+I249+I257+I230+I225+I187+I171+I262</f>
        <v>798951002.37</v>
      </c>
      <c r="J265" s="244">
        <f>J16+J41+J152+J75+J101+J134+J211+J238+J249+J257+J230+J225+J187+J171+J262</f>
        <v>627740630.5999999</v>
      </c>
      <c r="K265" s="257" t="b">
        <f>G265=H265+I265</f>
        <v>1</v>
      </c>
    </row>
    <row r="266" spans="1:17" ht="31.7" customHeight="1" thickTop="1" x14ac:dyDescent="0.2">
      <c r="A266" s="1012" t="s">
        <v>542</v>
      </c>
      <c r="B266" s="1013"/>
      <c r="C266" s="1013"/>
      <c r="D266" s="1013"/>
      <c r="E266" s="1013"/>
      <c r="F266" s="1013"/>
      <c r="G266" s="1013"/>
      <c r="H266" s="1013"/>
      <c r="I266" s="1013"/>
      <c r="J266" s="1013"/>
    </row>
    <row r="267" spans="1:17" ht="31.7" customHeight="1" x14ac:dyDescent="0.2">
      <c r="A267" s="136"/>
      <c r="B267" s="137"/>
      <c r="C267" s="137"/>
      <c r="D267" s="137"/>
      <c r="E267" s="137"/>
      <c r="F267" s="137"/>
      <c r="G267" s="137"/>
      <c r="H267" s="137"/>
      <c r="I267" s="137"/>
      <c r="J267" s="137"/>
    </row>
    <row r="268" spans="1:17" ht="45" customHeight="1" x14ac:dyDescent="0.65">
      <c r="A268" s="136"/>
      <c r="B268" s="137"/>
      <c r="C268" s="137"/>
      <c r="D268" s="695" t="s">
        <v>1532</v>
      </c>
      <c r="E268" s="598"/>
      <c r="F268" s="693"/>
      <c r="G268" s="598" t="s">
        <v>1534</v>
      </c>
      <c r="H268" s="601"/>
      <c r="I268" s="601"/>
      <c r="J268" s="601"/>
      <c r="K268" s="601"/>
      <c r="L268" s="144"/>
      <c r="M268" s="9"/>
      <c r="N268" s="45"/>
      <c r="O268" s="144"/>
      <c r="P268" s="144"/>
      <c r="Q268" s="9"/>
    </row>
    <row r="269" spans="1:17" ht="61.5" customHeight="1" x14ac:dyDescent="0.65">
      <c r="A269" s="134"/>
      <c r="B269" s="134"/>
      <c r="C269" s="134"/>
      <c r="D269" s="695"/>
      <c r="E269" s="598"/>
      <c r="F269" s="693"/>
      <c r="G269" s="598"/>
      <c r="H269" s="598"/>
      <c r="I269" s="123"/>
      <c r="J269" s="123"/>
      <c r="K269" s="598"/>
      <c r="L269" s="144"/>
      <c r="M269" s="9"/>
      <c r="N269" s="45"/>
      <c r="O269" s="144"/>
      <c r="P269" s="144"/>
      <c r="Q269" s="9"/>
    </row>
    <row r="270" spans="1:17" ht="45.75" x14ac:dyDescent="0.65">
      <c r="D270" s="144"/>
      <c r="E270" s="605"/>
      <c r="F270" s="606"/>
      <c r="G270" s="144"/>
      <c r="H270" s="68"/>
      <c r="I270" s="45"/>
      <c r="J270" s="9"/>
      <c r="K270" s="201"/>
      <c r="L270" s="201"/>
      <c r="M270" s="201"/>
      <c r="N270" s="201"/>
      <c r="O270" s="201"/>
      <c r="P270" s="201"/>
      <c r="Q270" s="201"/>
    </row>
    <row r="271" spans="1:17" ht="45.75" x14ac:dyDescent="0.65">
      <c r="D271" s="954"/>
      <c r="E271" s="954"/>
      <c r="F271" s="954"/>
      <c r="G271" s="954"/>
      <c r="H271" s="954"/>
      <c r="I271" s="954"/>
      <c r="J271" s="954"/>
      <c r="K271" s="201"/>
      <c r="L271" s="201"/>
      <c r="M271" s="201"/>
      <c r="N271" s="201"/>
      <c r="O271" s="201"/>
      <c r="P271" s="201"/>
      <c r="Q271" s="201"/>
    </row>
    <row r="272" spans="1:17" x14ac:dyDescent="0.2">
      <c r="E272" s="4"/>
      <c r="F272" s="3"/>
    </row>
    <row r="273" spans="1:10" x14ac:dyDescent="0.2">
      <c r="E273" s="4"/>
      <c r="F273" s="3"/>
    </row>
    <row r="274" spans="1:10" ht="62.25" x14ac:dyDescent="0.8">
      <c r="A274" s="132"/>
      <c r="B274" s="132"/>
      <c r="C274" s="132"/>
      <c r="D274" s="132"/>
      <c r="E274" s="9"/>
      <c r="F274" s="45"/>
      <c r="I274" s="132"/>
      <c r="J274" s="50"/>
    </row>
    <row r="275" spans="1:10" ht="45.75" x14ac:dyDescent="0.2">
      <c r="E275" s="10"/>
      <c r="F275" s="68"/>
    </row>
    <row r="276" spans="1:10" ht="45.75" x14ac:dyDescent="0.2">
      <c r="A276" s="132"/>
      <c r="B276" s="132"/>
      <c r="C276" s="132"/>
      <c r="D276" s="132"/>
      <c r="E276" s="9" t="s">
        <v>611</v>
      </c>
      <c r="F276" s="45"/>
      <c r="I276" s="132"/>
      <c r="J276" s="132"/>
    </row>
    <row r="277" spans="1:10" ht="45.75" x14ac:dyDescent="0.2">
      <c r="E277" s="10"/>
      <c r="F277" s="68"/>
    </row>
    <row r="278" spans="1:10" ht="45.75" x14ac:dyDescent="0.2">
      <c r="E278" s="10" t="s">
        <v>612</v>
      </c>
      <c r="F278" s="68"/>
    </row>
    <row r="279" spans="1:10" ht="45.75" x14ac:dyDescent="0.2">
      <c r="E279" s="10"/>
      <c r="F279" s="68"/>
    </row>
    <row r="280" spans="1:10" ht="45.75" x14ac:dyDescent="0.2">
      <c r="A280" s="132"/>
      <c r="B280" s="132"/>
      <c r="C280" s="132"/>
      <c r="D280" s="132"/>
      <c r="E280" s="10"/>
      <c r="F280" s="68"/>
      <c r="G280" s="132"/>
      <c r="H280" s="132"/>
      <c r="I280" s="132"/>
      <c r="J280" s="132"/>
    </row>
    <row r="281" spans="1:10" ht="45.75" x14ac:dyDescent="0.2">
      <c r="A281" s="132"/>
      <c r="B281" s="132"/>
      <c r="C281" s="132"/>
      <c r="D281" s="132"/>
      <c r="E281" s="10"/>
      <c r="F281" s="68"/>
      <c r="G281" s="132"/>
      <c r="H281" s="132"/>
      <c r="I281" s="132"/>
      <c r="J281" s="132"/>
    </row>
    <row r="282" spans="1:10" ht="45.75" x14ac:dyDescent="0.2">
      <c r="A282" s="132"/>
      <c r="B282" s="132"/>
      <c r="C282" s="132"/>
      <c r="D282" s="132"/>
      <c r="E282" s="10"/>
      <c r="F282" s="68"/>
      <c r="G282" s="132"/>
      <c r="H282" s="132"/>
      <c r="I282" s="132"/>
      <c r="J282" s="132"/>
    </row>
    <row r="283" spans="1:10" ht="45.75" x14ac:dyDescent="0.2">
      <c r="A283" s="132"/>
      <c r="B283" s="132"/>
      <c r="C283" s="132"/>
      <c r="D283" s="132"/>
      <c r="E283" s="10"/>
      <c r="F283" s="68"/>
      <c r="G283" s="132"/>
      <c r="H283" s="132"/>
      <c r="I283" s="132"/>
      <c r="J283" s="132"/>
    </row>
  </sheetData>
  <mergeCells count="181">
    <mergeCell ref="H235:H236"/>
    <mergeCell ref="I235:I236"/>
    <mergeCell ref="J235:J236"/>
    <mergeCell ref="D235:D236"/>
    <mergeCell ref="A235:A236"/>
    <mergeCell ref="B235:B236"/>
    <mergeCell ref="C235:C236"/>
    <mergeCell ref="G235:G236"/>
    <mergeCell ref="J64:J65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H181:H182"/>
    <mergeCell ref="I181:I182"/>
    <mergeCell ref="J181:J182"/>
    <mergeCell ref="A184:A185"/>
    <mergeCell ref="B184:B185"/>
    <mergeCell ref="C184:C185"/>
    <mergeCell ref="E184:E185"/>
    <mergeCell ref="F184:F185"/>
    <mergeCell ref="G184:G185"/>
    <mergeCell ref="H184:H185"/>
    <mergeCell ref="I184:I185"/>
    <mergeCell ref="J184:J185"/>
    <mergeCell ref="D271:J271"/>
    <mergeCell ref="A266:J266"/>
    <mergeCell ref="G96:G97"/>
    <mergeCell ref="H96:H97"/>
    <mergeCell ref="I96:I97"/>
    <mergeCell ref="J96:J97"/>
    <mergeCell ref="A131:A132"/>
    <mergeCell ref="B131:B132"/>
    <mergeCell ref="C131:C132"/>
    <mergeCell ref="E131:E132"/>
    <mergeCell ref="F131:F132"/>
    <mergeCell ref="G131:G132"/>
    <mergeCell ref="H131:H132"/>
    <mergeCell ref="I131:I132"/>
    <mergeCell ref="J131:J132"/>
    <mergeCell ref="A181:A182"/>
    <mergeCell ref="B181:B182"/>
    <mergeCell ref="C181:C182"/>
    <mergeCell ref="D181:D182"/>
    <mergeCell ref="G181:G182"/>
    <mergeCell ref="A174:A175"/>
    <mergeCell ref="B174:B175"/>
    <mergeCell ref="C174:C175"/>
    <mergeCell ref="D174:D175"/>
    <mergeCell ref="J82:J83"/>
    <mergeCell ref="G91:G92"/>
    <mergeCell ref="H91:H92"/>
    <mergeCell ref="I91:I92"/>
    <mergeCell ref="J91:J92"/>
    <mergeCell ref="G93:G94"/>
    <mergeCell ref="H93:H94"/>
    <mergeCell ref="I93:I94"/>
    <mergeCell ref="J93:J94"/>
    <mergeCell ref="G87:G88"/>
    <mergeCell ref="H87:H88"/>
    <mergeCell ref="I87:I88"/>
    <mergeCell ref="J87:J88"/>
    <mergeCell ref="G89:G90"/>
    <mergeCell ref="H89:H90"/>
    <mergeCell ref="I89:I90"/>
    <mergeCell ref="J89:J90"/>
    <mergeCell ref="A177:A178"/>
    <mergeCell ref="I1:J1"/>
    <mergeCell ref="I2:J2"/>
    <mergeCell ref="I3:J3"/>
    <mergeCell ref="A5:J5"/>
    <mergeCell ref="A8:J8"/>
    <mergeCell ref="A26:A27"/>
    <mergeCell ref="B26:B27"/>
    <mergeCell ref="C26:C27"/>
    <mergeCell ref="E26:E27"/>
    <mergeCell ref="F26:F27"/>
    <mergeCell ref="H26:H27"/>
    <mergeCell ref="I26:I27"/>
    <mergeCell ref="J26:J27"/>
    <mergeCell ref="G26:G27"/>
    <mergeCell ref="L21:L22"/>
    <mergeCell ref="M21:M22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B177:B178"/>
    <mergeCell ref="C177:C178"/>
    <mergeCell ref="D177:D178"/>
    <mergeCell ref="K21:K22"/>
    <mergeCell ref="G76:G77"/>
    <mergeCell ref="H76:H77"/>
    <mergeCell ref="I76:I77"/>
    <mergeCell ref="J76:J77"/>
    <mergeCell ref="G84:G85"/>
    <mergeCell ref="H84:H85"/>
    <mergeCell ref="I84:I85"/>
    <mergeCell ref="J84:J85"/>
    <mergeCell ref="G78:G79"/>
    <mergeCell ref="H78:H79"/>
    <mergeCell ref="I78:I79"/>
    <mergeCell ref="J78:J79"/>
    <mergeCell ref="G80:G81"/>
    <mergeCell ref="H80:H81"/>
    <mergeCell ref="I80:I81"/>
    <mergeCell ref="J80:J81"/>
    <mergeCell ref="G82:G83"/>
    <mergeCell ref="H82:H83"/>
    <mergeCell ref="I82:I83"/>
    <mergeCell ref="H193:H194"/>
    <mergeCell ref="I193:I194"/>
    <mergeCell ref="J193:J194"/>
    <mergeCell ref="H195:H196"/>
    <mergeCell ref="I195:I196"/>
    <mergeCell ref="J195:J196"/>
    <mergeCell ref="A193:A194"/>
    <mergeCell ref="B193:B194"/>
    <mergeCell ref="C193:C194"/>
    <mergeCell ref="D193:D194"/>
    <mergeCell ref="G193:G194"/>
    <mergeCell ref="G195:G196"/>
    <mergeCell ref="A195:A197"/>
    <mergeCell ref="B195:B197"/>
    <mergeCell ref="C195:C197"/>
    <mergeCell ref="D195:D197"/>
    <mergeCell ref="H199:H200"/>
    <mergeCell ref="I199:I200"/>
    <mergeCell ref="J199:J200"/>
    <mergeCell ref="A201:A202"/>
    <mergeCell ref="B201:B202"/>
    <mergeCell ref="C201:C202"/>
    <mergeCell ref="D201:D202"/>
    <mergeCell ref="H201:H202"/>
    <mergeCell ref="I201:I202"/>
    <mergeCell ref="A199:A200"/>
    <mergeCell ref="B199:B200"/>
    <mergeCell ref="C199:C200"/>
    <mergeCell ref="D199:D200"/>
    <mergeCell ref="G199:G200"/>
    <mergeCell ref="G201:G202"/>
    <mergeCell ref="G203:G204"/>
    <mergeCell ref="G205:G206"/>
    <mergeCell ref="A222:A223"/>
    <mergeCell ref="B222:B223"/>
    <mergeCell ref="C222:C223"/>
    <mergeCell ref="E222:E223"/>
    <mergeCell ref="F222:F223"/>
    <mergeCell ref="G222:G223"/>
    <mergeCell ref="H222:H223"/>
    <mergeCell ref="A205:A206"/>
    <mergeCell ref="B205:B206"/>
    <mergeCell ref="C205:C206"/>
    <mergeCell ref="E205:E206"/>
    <mergeCell ref="F205:F206"/>
    <mergeCell ref="A203:A204"/>
    <mergeCell ref="B203:B204"/>
    <mergeCell ref="C203:C204"/>
    <mergeCell ref="D203:D204"/>
    <mergeCell ref="I222:I223"/>
    <mergeCell ref="J201:J202"/>
    <mergeCell ref="J222:J223"/>
    <mergeCell ref="H203:H204"/>
    <mergeCell ref="I203:I204"/>
    <mergeCell ref="J203:J204"/>
    <mergeCell ref="H205:H206"/>
    <mergeCell ref="I205:I206"/>
    <mergeCell ref="J205:J206"/>
  </mergeCells>
  <pageMargins left="0.23622047244094491" right="0.27559055118110237" top="0.27559055118110237" bottom="0.15748031496062992" header="0.23622047244094491" footer="0.27559055118110237"/>
  <pageSetup paperSize="9" scale="19" fitToHeight="0" orientation="landscape" r:id="rId1"/>
  <headerFooter alignWithMargins="0">
    <oddFooter>&amp;C&amp;"Times New Roman Cyr,курсив"Сторінка &amp;P з &amp;N</oddFooter>
  </headerFooter>
  <rowBreaks count="9" manualBreakCount="9">
    <brk id="20" max="9" man="1"/>
    <brk id="30" max="9" man="1"/>
    <brk id="89" max="9" man="1"/>
    <brk id="116" max="9" man="1"/>
    <brk id="124" max="9" man="1"/>
    <brk id="162" max="9" man="1"/>
    <brk id="206" max="9" man="1"/>
    <brk id="247" max="9" man="1"/>
    <brk id="27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28" zoomScale="85" zoomScaleNormal="85" zoomScaleSheetLayoutView="85" workbookViewId="0">
      <selection activeCell="B54" sqref="B54"/>
    </sheetView>
  </sheetViews>
  <sheetFormatPr defaultColWidth="9.140625" defaultRowHeight="12.75" x14ac:dyDescent="0.2"/>
  <cols>
    <col min="1" max="1" width="18.140625" style="30" customWidth="1"/>
    <col min="2" max="2" width="108" style="30" customWidth="1"/>
    <col min="3" max="3" width="4" style="30" hidden="1" customWidth="1"/>
    <col min="4" max="4" width="17" style="30" customWidth="1"/>
    <col min="5" max="5" width="14.7109375" style="209" customWidth="1"/>
    <col min="6" max="6" width="21.85546875" style="209" bestFit="1" customWidth="1"/>
    <col min="7" max="7" width="18.85546875" style="30" bestFit="1" customWidth="1"/>
    <col min="8" max="9" width="9.140625" style="30"/>
    <col min="10" max="10" width="52.5703125" style="30" customWidth="1"/>
    <col min="11" max="16384" width="9.140625" style="30"/>
  </cols>
  <sheetData>
    <row r="1" spans="1:9" ht="16.5" customHeight="1" x14ac:dyDescent="0.2">
      <c r="C1" s="949" t="s">
        <v>725</v>
      </c>
      <c r="D1" s="949"/>
      <c r="E1" s="208"/>
      <c r="F1" s="208"/>
    </row>
    <row r="2" spans="1:9" ht="16.5" customHeight="1" x14ac:dyDescent="0.2">
      <c r="C2" s="1118" t="s">
        <v>1244</v>
      </c>
      <c r="D2" s="1119"/>
      <c r="E2" s="1119"/>
      <c r="F2" s="1119"/>
    </row>
    <row r="3" spans="1:9" ht="12.75" customHeight="1" x14ac:dyDescent="0.2">
      <c r="C3" s="949" t="s">
        <v>1245</v>
      </c>
      <c r="D3" s="1110"/>
    </row>
    <row r="4" spans="1:9" ht="12.75" customHeight="1" x14ac:dyDescent="0.2">
      <c r="C4" s="949"/>
      <c r="D4" s="951"/>
    </row>
    <row r="5" spans="1:9" ht="16.5" x14ac:dyDescent="0.25">
      <c r="A5" s="1142" t="s">
        <v>683</v>
      </c>
      <c r="B5" s="1142"/>
      <c r="C5" s="1142"/>
      <c r="D5" s="951"/>
      <c r="E5" s="1120"/>
      <c r="F5" s="1121"/>
      <c r="G5" s="1121"/>
      <c r="H5" s="1121"/>
      <c r="I5" s="953"/>
    </row>
    <row r="6" spans="1:9" s="163" customFormat="1" ht="16.5" x14ac:dyDescent="0.25">
      <c r="A6" s="1142" t="s">
        <v>682</v>
      </c>
      <c r="B6" s="1142"/>
      <c r="C6" s="1142"/>
      <c r="D6" s="951"/>
      <c r="E6" s="210"/>
      <c r="F6" s="211"/>
      <c r="G6" s="161"/>
      <c r="H6" s="161"/>
      <c r="I6" s="162"/>
    </row>
    <row r="7" spans="1:9" ht="16.5" x14ac:dyDescent="0.25">
      <c r="A7" s="1125" t="s">
        <v>138</v>
      </c>
      <c r="B7" s="1125"/>
      <c r="C7" s="1125"/>
      <c r="D7" s="1001"/>
      <c r="E7" s="1120"/>
      <c r="F7" s="1120"/>
      <c r="G7" s="1120"/>
      <c r="H7" s="1120"/>
      <c r="I7" s="950"/>
    </row>
    <row r="8" spans="1:9" ht="16.5" x14ac:dyDescent="0.2">
      <c r="A8" s="1125" t="s">
        <v>619</v>
      </c>
      <c r="B8" s="1125"/>
      <c r="C8" s="1125"/>
      <c r="D8" s="1001"/>
      <c r="E8" s="1122"/>
      <c r="F8" s="1122"/>
      <c r="G8" s="1122"/>
      <c r="H8" s="1122"/>
      <c r="I8" s="1123"/>
    </row>
    <row r="9" spans="1:9" s="86" customFormat="1" ht="16.5" x14ac:dyDescent="0.2">
      <c r="A9" s="87"/>
      <c r="B9" s="87"/>
      <c r="C9" s="87"/>
      <c r="D9" s="81"/>
      <c r="E9" s="212"/>
      <c r="F9" s="212"/>
      <c r="G9" s="84"/>
      <c r="H9" s="84"/>
      <c r="I9" s="85"/>
    </row>
    <row r="10" spans="1:9" s="86" customFormat="1" ht="16.5" x14ac:dyDescent="0.2">
      <c r="A10" s="92">
        <v>22564000000</v>
      </c>
      <c r="B10" s="91"/>
      <c r="C10" s="87"/>
      <c r="D10" s="81"/>
      <c r="E10" s="212"/>
      <c r="F10" s="212"/>
      <c r="G10" s="84"/>
      <c r="H10" s="84"/>
      <c r="I10" s="85"/>
    </row>
    <row r="11" spans="1:9" s="86" customFormat="1" ht="16.5" x14ac:dyDescent="0.2">
      <c r="A11" s="93" t="s">
        <v>535</v>
      </c>
      <c r="B11" s="90"/>
      <c r="C11" s="87"/>
      <c r="D11" s="81"/>
      <c r="E11" s="212"/>
      <c r="F11" s="212"/>
      <c r="G11" s="84"/>
      <c r="H11" s="84"/>
      <c r="I11" s="85"/>
    </row>
    <row r="12" spans="1:9" ht="17.25" thickBot="1" x14ac:dyDescent="0.25">
      <c r="A12" s="76"/>
      <c r="B12" s="76"/>
      <c r="C12" s="77"/>
      <c r="D12" s="77" t="s">
        <v>431</v>
      </c>
      <c r="E12" s="212"/>
      <c r="F12" s="212"/>
      <c r="G12" s="31"/>
    </row>
    <row r="13" spans="1:9" s="32" customFormat="1" ht="50.25" customHeight="1" thickTop="1" thickBot="1" x14ac:dyDescent="0.25">
      <c r="A13" s="174" t="s">
        <v>139</v>
      </c>
      <c r="B13" s="1115" t="s">
        <v>140</v>
      </c>
      <c r="C13" s="1114"/>
      <c r="D13" s="1114"/>
      <c r="E13" s="213"/>
      <c r="F13" s="213"/>
    </row>
    <row r="14" spans="1:9" s="32" customFormat="1" ht="39.75" customHeight="1" thickTop="1" thickBot="1" x14ac:dyDescent="0.25">
      <c r="A14" s="94" t="s">
        <v>141</v>
      </c>
      <c r="B14" s="1111" t="s">
        <v>142</v>
      </c>
      <c r="C14" s="1124"/>
      <c r="D14" s="95">
        <v>100</v>
      </c>
      <c r="E14" s="213"/>
      <c r="F14" s="213"/>
    </row>
    <row r="15" spans="1:9" s="32" customFormat="1" ht="40.700000000000003" customHeight="1" thickTop="1" thickBot="1" x14ac:dyDescent="0.25">
      <c r="A15" s="94" t="s">
        <v>143</v>
      </c>
      <c r="B15" s="1111" t="s">
        <v>144</v>
      </c>
      <c r="C15" s="1124"/>
      <c r="D15" s="95">
        <v>4200000</v>
      </c>
      <c r="E15" s="213"/>
      <c r="F15" s="213"/>
    </row>
    <row r="16" spans="1:9" s="32" customFormat="1" ht="17.25" hidden="1" customHeight="1" thickTop="1" thickBot="1" x14ac:dyDescent="0.25">
      <c r="A16" s="94" t="s">
        <v>145</v>
      </c>
      <c r="B16" s="1111" t="s">
        <v>146</v>
      </c>
      <c r="C16" s="1124"/>
      <c r="D16" s="95">
        <v>0</v>
      </c>
      <c r="E16" s="213"/>
      <c r="F16" s="213"/>
    </row>
    <row r="17" spans="1:6" s="32" customFormat="1" ht="41.25" customHeight="1" thickTop="1" thickBot="1" x14ac:dyDescent="0.25">
      <c r="A17" s="667" t="s">
        <v>1326</v>
      </c>
      <c r="B17" s="687" t="s">
        <v>1327</v>
      </c>
      <c r="C17" s="668"/>
      <c r="D17" s="95">
        <f>2300000+500000</f>
        <v>2800000</v>
      </c>
      <c r="E17" s="213"/>
      <c r="F17" s="213"/>
    </row>
    <row r="18" spans="1:6" s="32" customFormat="1" ht="41.25" customHeight="1" thickTop="1" thickBot="1" x14ac:dyDescent="0.25">
      <c r="A18" s="94" t="s">
        <v>147</v>
      </c>
      <c r="B18" s="1111" t="s">
        <v>148</v>
      </c>
      <c r="C18" s="1124"/>
      <c r="D18" s="95">
        <v>1100</v>
      </c>
      <c r="E18" s="213"/>
      <c r="F18" s="213"/>
    </row>
    <row r="19" spans="1:6" s="32" customFormat="1" ht="26.45" customHeight="1" thickTop="1" thickBot="1" x14ac:dyDescent="0.25">
      <c r="A19" s="94"/>
      <c r="B19" s="1130" t="s">
        <v>149</v>
      </c>
      <c r="C19" s="1124"/>
      <c r="D19" s="96">
        <f>SUM(D14:D18)</f>
        <v>7001200</v>
      </c>
      <c r="E19" s="213"/>
      <c r="F19" s="213"/>
    </row>
    <row r="20" spans="1:6" s="32" customFormat="1" ht="26.45" hidden="1" customHeight="1" thickTop="1" thickBot="1" x14ac:dyDescent="0.25">
      <c r="A20" s="94"/>
      <c r="B20" s="1130" t="s">
        <v>471</v>
      </c>
      <c r="C20" s="1124"/>
      <c r="D20" s="96"/>
      <c r="E20" s="213"/>
      <c r="F20" s="213"/>
    </row>
    <row r="21" spans="1:6" s="32" customFormat="1" ht="26.45" customHeight="1" thickTop="1" thickBot="1" x14ac:dyDescent="0.25">
      <c r="A21" s="108"/>
      <c r="B21" s="1130" t="s">
        <v>620</v>
      </c>
      <c r="C21" s="1124"/>
      <c r="D21" s="96">
        <v>1155966.58</v>
      </c>
      <c r="E21" s="213"/>
      <c r="F21" s="213"/>
    </row>
    <row r="22" spans="1:6" s="32" customFormat="1" ht="26.45" customHeight="1" thickTop="1" thickBot="1" x14ac:dyDescent="0.25">
      <c r="A22" s="98" t="s">
        <v>408</v>
      </c>
      <c r="B22" s="1116" t="s">
        <v>539</v>
      </c>
      <c r="C22" s="1117"/>
      <c r="D22" s="97">
        <f>D19+D21</f>
        <v>8157166.5800000001</v>
      </c>
      <c r="E22" s="213"/>
      <c r="F22" s="213"/>
    </row>
    <row r="23" spans="1:6" s="32" customFormat="1" ht="47.25" customHeight="1" thickTop="1" thickBot="1" x14ac:dyDescent="0.25">
      <c r="A23" s="174" t="s">
        <v>139</v>
      </c>
      <c r="B23" s="1113" t="s">
        <v>150</v>
      </c>
      <c r="C23" s="1114"/>
      <c r="D23" s="1114"/>
      <c r="E23" s="213"/>
      <c r="F23" s="213"/>
    </row>
    <row r="24" spans="1:6" s="32" customFormat="1" ht="43.5" customHeight="1" thickTop="1" thickBot="1" x14ac:dyDescent="0.25">
      <c r="A24" s="153" t="s">
        <v>151</v>
      </c>
      <c r="B24" s="1111" t="s">
        <v>152</v>
      </c>
      <c r="C24" s="1112"/>
      <c r="D24" s="95">
        <f>114000-46000</f>
        <v>68000</v>
      </c>
      <c r="E24" s="213"/>
      <c r="F24" s="213"/>
    </row>
    <row r="25" spans="1:6" s="32" customFormat="1" ht="44.45" customHeight="1" thickTop="1" thickBot="1" x14ac:dyDescent="0.25">
      <c r="A25" s="153" t="s">
        <v>153</v>
      </c>
      <c r="B25" s="1111" t="s">
        <v>154</v>
      </c>
      <c r="C25" s="1112"/>
      <c r="D25" s="95">
        <f>(126000)+18000</f>
        <v>144000</v>
      </c>
      <c r="E25" s="213"/>
      <c r="F25" s="213"/>
    </row>
    <row r="26" spans="1:6" s="32" customFormat="1" ht="44.45" customHeight="1" thickTop="1" thickBot="1" x14ac:dyDescent="0.25">
      <c r="A26" s="153" t="s">
        <v>514</v>
      </c>
      <c r="B26" s="1111" t="s">
        <v>437</v>
      </c>
      <c r="C26" s="1112"/>
      <c r="D26" s="95">
        <v>322000</v>
      </c>
      <c r="E26" s="213"/>
      <c r="F26" s="213"/>
    </row>
    <row r="27" spans="1:6" s="32" customFormat="1" ht="32.25" customHeight="1" thickTop="1" thickBot="1" x14ac:dyDescent="0.25">
      <c r="A27" s="153" t="s">
        <v>155</v>
      </c>
      <c r="B27" s="1111" t="s">
        <v>157</v>
      </c>
      <c r="C27" s="1112"/>
      <c r="D27" s="95">
        <v>268330</v>
      </c>
      <c r="E27" s="213"/>
      <c r="F27" s="213"/>
    </row>
    <row r="28" spans="1:6" s="32" customFormat="1" ht="55.5" customHeight="1" thickTop="1" thickBot="1" x14ac:dyDescent="0.25">
      <c r="A28" s="153" t="s">
        <v>156</v>
      </c>
      <c r="B28" s="1111" t="s">
        <v>472</v>
      </c>
      <c r="C28" s="1112"/>
      <c r="D28" s="95">
        <f>46000+(((190000+1753600)+1137966.58)-450000-580522+50000)</f>
        <v>2147044.58</v>
      </c>
      <c r="E28" s="213"/>
      <c r="F28" s="213"/>
    </row>
    <row r="29" spans="1:6" s="32" customFormat="1" ht="76.5" customHeight="1" thickTop="1" thickBot="1" x14ac:dyDescent="0.25">
      <c r="A29" s="153" t="s">
        <v>158</v>
      </c>
      <c r="B29" s="1111" t="s">
        <v>159</v>
      </c>
      <c r="C29" s="1112"/>
      <c r="D29" s="95">
        <f>(190000)+800000</f>
        <v>990000</v>
      </c>
      <c r="E29" s="213"/>
      <c r="F29" s="213"/>
    </row>
    <row r="30" spans="1:6" s="32" customFormat="1" ht="76.5" customHeight="1" thickTop="1" thickBot="1" x14ac:dyDescent="0.25">
      <c r="A30" s="657" t="s">
        <v>1292</v>
      </c>
      <c r="B30" s="654" t="s">
        <v>1293</v>
      </c>
      <c r="C30" s="655"/>
      <c r="D30" s="95">
        <f>980522+1500000+500000</f>
        <v>2980522</v>
      </c>
      <c r="E30" s="213"/>
      <c r="F30" s="213"/>
    </row>
    <row r="31" spans="1:6" s="32" customFormat="1" ht="48" customHeight="1" thickTop="1" thickBot="1" x14ac:dyDescent="0.25">
      <c r="A31" s="153" t="s">
        <v>515</v>
      </c>
      <c r="B31" s="1111" t="s">
        <v>160</v>
      </c>
      <c r="C31" s="1112"/>
      <c r="D31" s="95">
        <v>49000</v>
      </c>
      <c r="E31" s="213"/>
      <c r="F31" s="213"/>
    </row>
    <row r="32" spans="1:6" s="32" customFormat="1" ht="54" customHeight="1" thickTop="1" thickBot="1" x14ac:dyDescent="0.3">
      <c r="A32" s="1136" t="s">
        <v>516</v>
      </c>
      <c r="B32" s="1134" t="s">
        <v>513</v>
      </c>
      <c r="C32" s="1135"/>
      <c r="D32" s="1138">
        <v>1188270</v>
      </c>
      <c r="E32" s="213"/>
      <c r="F32" s="213"/>
    </row>
    <row r="33" spans="1:7" s="32" customFormat="1" ht="54" customHeight="1" thickTop="1" thickBot="1" x14ac:dyDescent="0.25">
      <c r="A33" s="1137"/>
      <c r="B33" s="1131" t="s">
        <v>512</v>
      </c>
      <c r="C33" s="1132"/>
      <c r="D33" s="1139"/>
      <c r="E33" s="213"/>
      <c r="F33" s="213"/>
    </row>
    <row r="34" spans="1:7" s="32" customFormat="1" ht="27.75" customHeight="1" thickTop="1" thickBot="1" x14ac:dyDescent="0.25">
      <c r="A34" s="98" t="s">
        <v>408</v>
      </c>
      <c r="B34" s="1116" t="s">
        <v>539</v>
      </c>
      <c r="C34" s="1133"/>
      <c r="D34" s="97">
        <f>SUM(D24:D33)</f>
        <v>8157166.5800000001</v>
      </c>
      <c r="E34" s="259" t="b">
        <f>D22=D34</f>
        <v>1</v>
      </c>
      <c r="F34" s="259" t="b">
        <f>D34='d3'!J30+'d3'!J167+'d3'!J239+'d3'!J263+'d3'!J290</f>
        <v>1</v>
      </c>
      <c r="G34" s="259" t="b">
        <f>D34='d7'!G205+'d7'!G184+'d7'!G131+'d7'!G26+'d7'!G222</f>
        <v>1</v>
      </c>
    </row>
    <row r="35" spans="1:7" s="119" customFormat="1" ht="27.75" customHeight="1" thickTop="1" x14ac:dyDescent="0.2">
      <c r="A35" s="115"/>
      <c r="B35" s="116"/>
      <c r="C35" s="117"/>
      <c r="D35" s="118"/>
      <c r="E35" s="214"/>
      <c r="F35" s="214"/>
    </row>
    <row r="36" spans="1:7" ht="19.5" customHeight="1" x14ac:dyDescent="0.25">
      <c r="B36" s="1140" t="s">
        <v>1532</v>
      </c>
      <c r="C36" s="1141"/>
      <c r="D36" s="698" t="s">
        <v>1534</v>
      </c>
      <c r="E36" s="694"/>
    </row>
    <row r="37" spans="1:7" ht="16.5" x14ac:dyDescent="0.2">
      <c r="B37" s="149"/>
      <c r="C37" s="150"/>
      <c r="D37" s="150"/>
      <c r="E37" s="215"/>
    </row>
    <row r="38" spans="1:7" ht="18.75" x14ac:dyDescent="0.2">
      <c r="A38" s="65"/>
      <c r="B38" s="65"/>
      <c r="C38" s="65"/>
    </row>
    <row r="39" spans="1:7" ht="18.75" x14ac:dyDescent="0.2">
      <c r="A39" s="1129"/>
      <c r="B39" s="1129"/>
      <c r="C39" s="64"/>
    </row>
    <row r="45" spans="1:7" ht="16.5" x14ac:dyDescent="0.2">
      <c r="A45" s="1128"/>
      <c r="B45" s="33"/>
      <c r="C45" s="34"/>
      <c r="D45" s="35"/>
    </row>
    <row r="46" spans="1:7" ht="16.5" x14ac:dyDescent="0.2">
      <c r="A46" s="1128"/>
      <c r="B46" s="36"/>
      <c r="C46" s="34"/>
      <c r="D46" s="35"/>
    </row>
    <row r="47" spans="1:7" ht="16.5" x14ac:dyDescent="0.2">
      <c r="A47" s="1128"/>
      <c r="B47" s="37"/>
      <c r="C47" s="34"/>
      <c r="D47" s="35"/>
    </row>
    <row r="48" spans="1:7" ht="16.5" x14ac:dyDescent="0.2">
      <c r="A48" s="1128"/>
      <c r="B48" s="33"/>
      <c r="C48" s="34"/>
      <c r="D48" s="35"/>
    </row>
    <row r="49" spans="1:4" ht="16.5" x14ac:dyDescent="0.2">
      <c r="A49" s="1128"/>
      <c r="B49" s="33"/>
      <c r="C49" s="34"/>
      <c r="D49" s="35"/>
    </row>
    <row r="80" spans="6:6" x14ac:dyDescent="0.2">
      <c r="F80" s="1126"/>
    </row>
    <row r="81" spans="6:6" x14ac:dyDescent="0.2">
      <c r="F81" s="1127"/>
    </row>
    <row r="117" spans="6:6" x14ac:dyDescent="0.2">
      <c r="F117" s="209">
        <f>G117+H117</f>
        <v>0</v>
      </c>
    </row>
    <row r="119" spans="6:6" x14ac:dyDescent="0.2">
      <c r="F119" s="209">
        <f t="shared" ref="F119:F129" si="0">G119+H119</f>
        <v>0</v>
      </c>
    </row>
    <row r="120" spans="6:6" x14ac:dyDescent="0.2">
      <c r="F120" s="209">
        <f t="shared" si="0"/>
        <v>0</v>
      </c>
    </row>
    <row r="121" spans="6:6" x14ac:dyDescent="0.2">
      <c r="F121" s="209">
        <f t="shared" si="0"/>
        <v>0</v>
      </c>
    </row>
    <row r="122" spans="6:6" x14ac:dyDescent="0.2">
      <c r="F122" s="209">
        <f t="shared" si="0"/>
        <v>0</v>
      </c>
    </row>
    <row r="123" spans="6:6" x14ac:dyDescent="0.2">
      <c r="F123" s="209">
        <f t="shared" si="0"/>
        <v>0</v>
      </c>
    </row>
    <row r="124" spans="6:6" x14ac:dyDescent="0.2">
      <c r="F124" s="209">
        <f t="shared" si="0"/>
        <v>0</v>
      </c>
    </row>
    <row r="125" spans="6:6" x14ac:dyDescent="0.2">
      <c r="F125" s="209">
        <f t="shared" si="0"/>
        <v>0</v>
      </c>
    </row>
    <row r="126" spans="6:6" x14ac:dyDescent="0.2">
      <c r="F126" s="209">
        <f t="shared" si="0"/>
        <v>0</v>
      </c>
    </row>
    <row r="127" spans="6:6" x14ac:dyDescent="0.2">
      <c r="F127" s="209">
        <f t="shared" si="0"/>
        <v>0</v>
      </c>
    </row>
    <row r="128" spans="6:6" x14ac:dyDescent="0.2">
      <c r="F128" s="209">
        <f t="shared" si="0"/>
        <v>0</v>
      </c>
    </row>
    <row r="129" spans="6:9" x14ac:dyDescent="0.2">
      <c r="F129" s="209">
        <f t="shared" si="0"/>
        <v>0</v>
      </c>
    </row>
    <row r="131" spans="6:9" x14ac:dyDescent="0.2">
      <c r="F131" s="209">
        <f>G132+H132</f>
        <v>0</v>
      </c>
    </row>
    <row r="132" spans="6:9" x14ac:dyDescent="0.2">
      <c r="F132" s="209">
        <f t="shared" ref="F132" si="1">G132+H132</f>
        <v>0</v>
      </c>
    </row>
    <row r="133" spans="6:9" x14ac:dyDescent="0.2">
      <c r="F133" s="209">
        <f>G133+H133</f>
        <v>0</v>
      </c>
    </row>
    <row r="134" spans="6:9" x14ac:dyDescent="0.2">
      <c r="F134" s="209">
        <f>G134+H134</f>
        <v>0</v>
      </c>
    </row>
    <row r="135" spans="6:9" x14ac:dyDescent="0.2">
      <c r="F135" s="209">
        <f>G135+H135</f>
        <v>0</v>
      </c>
    </row>
    <row r="136" spans="6:9" x14ac:dyDescent="0.2">
      <c r="F136" s="209">
        <f>G136+H136</f>
        <v>0</v>
      </c>
    </row>
    <row r="141" spans="6:9" ht="46.5" x14ac:dyDescent="0.2">
      <c r="I141" s="74"/>
    </row>
    <row r="144" spans="6:9" ht="46.5" x14ac:dyDescent="0.2">
      <c r="F144" s="216">
        <f>G144+H144</f>
        <v>0</v>
      </c>
      <c r="I144" s="74"/>
    </row>
    <row r="163" spans="10:10" ht="90" x14ac:dyDescent="0.2">
      <c r="J163" s="72" t="b">
        <f>F163=G163+H163</f>
        <v>1</v>
      </c>
    </row>
  </sheetData>
  <mergeCells count="37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4:C34"/>
    <mergeCell ref="B32:C32"/>
    <mergeCell ref="B31:C31"/>
    <mergeCell ref="B29:C29"/>
    <mergeCell ref="B28:C28"/>
    <mergeCell ref="A32:A33"/>
    <mergeCell ref="D32:D33"/>
    <mergeCell ref="B21:C21"/>
    <mergeCell ref="B36:C36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6"/>
  <sheetViews>
    <sheetView view="pageBreakPreview" topLeftCell="A22" zoomScale="85" zoomScaleNormal="85" zoomScaleSheetLayoutView="85" workbookViewId="0">
      <selection activeCell="C62" sqref="C62"/>
    </sheetView>
  </sheetViews>
  <sheetFormatPr defaultColWidth="9.140625" defaultRowHeight="12.75" x14ac:dyDescent="0.2"/>
  <cols>
    <col min="1" max="1" width="6.85546875" style="109" customWidth="1"/>
    <col min="2" max="2" width="15.140625" style="109" customWidth="1"/>
    <col min="3" max="3" width="15.28515625" style="109" customWidth="1"/>
    <col min="4" max="4" width="10.85546875" style="109" customWidth="1"/>
    <col min="5" max="5" width="58.140625" style="109" customWidth="1"/>
    <col min="6" max="6" width="15.85546875" style="109" customWidth="1"/>
    <col min="7" max="7" width="9.140625" style="184"/>
    <col min="8" max="10" width="9.140625" style="109"/>
    <col min="11" max="11" width="52.5703125" style="109" customWidth="1"/>
    <col min="12" max="16384" width="9.140625" style="109"/>
  </cols>
  <sheetData>
    <row r="1" spans="1:10" x14ac:dyDescent="0.2">
      <c r="A1" s="40"/>
      <c r="B1" s="40"/>
      <c r="C1" s="40"/>
      <c r="D1" s="40"/>
      <c r="E1" s="40"/>
      <c r="F1" s="40" t="s">
        <v>726</v>
      </c>
    </row>
    <row r="2" spans="1:10" x14ac:dyDescent="0.2">
      <c r="A2" s="40"/>
      <c r="B2" s="40"/>
      <c r="C2" s="40"/>
      <c r="D2" s="40"/>
      <c r="E2" s="40"/>
      <c r="F2" s="40" t="s">
        <v>1246</v>
      </c>
    </row>
    <row r="3" spans="1:10" x14ac:dyDescent="0.2">
      <c r="A3" s="40"/>
      <c r="B3" s="40"/>
      <c r="C3" s="40"/>
      <c r="D3" s="40"/>
      <c r="E3" s="40"/>
      <c r="F3" s="1147" t="s">
        <v>1247</v>
      </c>
      <c r="G3" s="1148"/>
      <c r="H3" s="1148"/>
      <c r="I3" s="1148"/>
    </row>
    <row r="4" spans="1:10" ht="15.75" x14ac:dyDescent="0.25">
      <c r="A4" s="1149" t="s">
        <v>685</v>
      </c>
      <c r="B4" s="1150"/>
      <c r="C4" s="1150"/>
      <c r="D4" s="1150"/>
      <c r="E4" s="1150"/>
      <c r="F4" s="1150"/>
    </row>
    <row r="5" spans="1:10" s="155" customFormat="1" ht="15.75" x14ac:dyDescent="0.25">
      <c r="A5" s="1149" t="s">
        <v>684</v>
      </c>
      <c r="B5" s="1150"/>
      <c r="C5" s="1150"/>
      <c r="D5" s="1150"/>
      <c r="E5" s="1150"/>
      <c r="F5" s="1150"/>
      <c r="G5" s="184"/>
    </row>
    <row r="6" spans="1:10" ht="15.75" x14ac:dyDescent="0.25">
      <c r="A6" s="1149" t="s">
        <v>1072</v>
      </c>
      <c r="B6" s="1150"/>
      <c r="C6" s="1150"/>
      <c r="D6" s="1150"/>
      <c r="E6" s="1150"/>
      <c r="F6" s="1150"/>
    </row>
    <row r="7" spans="1:10" ht="15.75" x14ac:dyDescent="0.25">
      <c r="B7" s="472"/>
      <c r="C7" s="1149" t="s">
        <v>1071</v>
      </c>
      <c r="D7" s="1150"/>
      <c r="E7" s="1150"/>
      <c r="F7" s="472"/>
    </row>
    <row r="8" spans="1:10" ht="12.75" customHeight="1" x14ac:dyDescent="0.25">
      <c r="A8" s="473"/>
      <c r="B8" s="473"/>
      <c r="C8" s="473"/>
      <c r="D8" s="473"/>
      <c r="E8" s="473"/>
      <c r="F8" s="473"/>
      <c r="G8" s="473"/>
      <c r="H8" s="473"/>
      <c r="I8" s="473"/>
      <c r="J8" s="473"/>
    </row>
    <row r="9" spans="1:10" x14ac:dyDescent="0.2">
      <c r="A9" s="1151">
        <v>22564000000</v>
      </c>
      <c r="B9" s="953"/>
      <c r="C9" s="111"/>
      <c r="D9" s="111"/>
      <c r="E9" s="111"/>
      <c r="F9" s="111"/>
    </row>
    <row r="10" spans="1:10" x14ac:dyDescent="0.2">
      <c r="A10" s="1152" t="s">
        <v>535</v>
      </c>
      <c r="B10" s="1153"/>
      <c r="C10" s="111"/>
      <c r="D10" s="111"/>
      <c r="E10" s="111"/>
      <c r="F10" s="111"/>
    </row>
    <row r="11" spans="1:10" ht="13.5" thickBot="1" x14ac:dyDescent="0.25">
      <c r="A11" s="110"/>
      <c r="B11" s="110"/>
      <c r="C11" s="111"/>
      <c r="D11" s="111"/>
      <c r="E11" s="111"/>
      <c r="F11" s="111"/>
    </row>
    <row r="12" spans="1:10" ht="48" customHeight="1" thickTop="1" thickBot="1" x14ac:dyDescent="0.25">
      <c r="A12" s="171" t="s">
        <v>339</v>
      </c>
      <c r="B12" s="172" t="s">
        <v>340</v>
      </c>
      <c r="C12" s="172" t="s">
        <v>20</v>
      </c>
      <c r="D12" s="172" t="s">
        <v>16</v>
      </c>
      <c r="E12" s="171" t="s">
        <v>341</v>
      </c>
      <c r="F12" s="173" t="s">
        <v>432</v>
      </c>
    </row>
    <row r="13" spans="1:10" ht="17.25" thickTop="1" thickBot="1" x14ac:dyDescent="0.25">
      <c r="A13" s="178">
        <v>1</v>
      </c>
      <c r="B13" s="447" t="s">
        <v>328</v>
      </c>
      <c r="C13" s="447" t="s">
        <v>329</v>
      </c>
      <c r="D13" s="447" t="s">
        <v>54</v>
      </c>
      <c r="E13" s="447" t="s">
        <v>1104</v>
      </c>
      <c r="F13" s="448">
        <f>100900+50000</f>
        <v>150900</v>
      </c>
    </row>
    <row r="14" spans="1:10" ht="17.25" thickTop="1" thickBot="1" x14ac:dyDescent="0.25">
      <c r="A14" s="178">
        <v>2</v>
      </c>
      <c r="B14" s="447" t="s">
        <v>328</v>
      </c>
      <c r="C14" s="447" t="s">
        <v>329</v>
      </c>
      <c r="D14" s="447" t="s">
        <v>54</v>
      </c>
      <c r="E14" s="447" t="s">
        <v>571</v>
      </c>
      <c r="F14" s="448">
        <f>100000+60000</f>
        <v>160000</v>
      </c>
    </row>
    <row r="15" spans="1:10" ht="64.5" thickTop="1" thickBot="1" x14ac:dyDescent="0.25">
      <c r="A15" s="178">
        <v>3</v>
      </c>
      <c r="B15" s="447" t="s">
        <v>328</v>
      </c>
      <c r="C15" s="447" t="s">
        <v>329</v>
      </c>
      <c r="D15" s="447" t="s">
        <v>54</v>
      </c>
      <c r="E15" s="447" t="s">
        <v>1105</v>
      </c>
      <c r="F15" s="448">
        <v>48000</v>
      </c>
    </row>
    <row r="16" spans="1:10" s="491" customFormat="1" ht="17.25" thickTop="1" thickBot="1" x14ac:dyDescent="0.25">
      <c r="A16" s="178">
        <v>4</v>
      </c>
      <c r="B16" s="447" t="s">
        <v>328</v>
      </c>
      <c r="C16" s="447" t="s">
        <v>329</v>
      </c>
      <c r="D16" s="447" t="s">
        <v>54</v>
      </c>
      <c r="E16" s="447" t="s">
        <v>1106</v>
      </c>
      <c r="F16" s="448">
        <v>45000</v>
      </c>
      <c r="G16" s="496"/>
    </row>
    <row r="17" spans="1:7" s="491" customFormat="1" ht="80.25" thickTop="1" thickBot="1" x14ac:dyDescent="0.25">
      <c r="A17" s="178">
        <v>5</v>
      </c>
      <c r="B17" s="447" t="s">
        <v>508</v>
      </c>
      <c r="C17" s="447" t="s">
        <v>509</v>
      </c>
      <c r="D17" s="447" t="s">
        <v>507</v>
      </c>
      <c r="E17" s="447" t="s">
        <v>631</v>
      </c>
      <c r="F17" s="448">
        <f>70000+45000+196238.96</f>
        <v>311238.95999999996</v>
      </c>
      <c r="G17" s="496"/>
    </row>
    <row r="18" spans="1:7" s="491" customFormat="1" ht="64.5" thickTop="1" thickBot="1" x14ac:dyDescent="0.25">
      <c r="A18" s="178">
        <v>6</v>
      </c>
      <c r="B18" s="447" t="s">
        <v>508</v>
      </c>
      <c r="C18" s="447" t="s">
        <v>509</v>
      </c>
      <c r="D18" s="447" t="s">
        <v>507</v>
      </c>
      <c r="E18" s="447" t="s">
        <v>1107</v>
      </c>
      <c r="F18" s="448">
        <v>50000</v>
      </c>
      <c r="G18" s="496"/>
    </row>
    <row r="19" spans="1:7" s="491" customFormat="1" ht="33" thickTop="1" thickBot="1" x14ac:dyDescent="0.25">
      <c r="A19" s="178">
        <v>7</v>
      </c>
      <c r="B19" s="447" t="s">
        <v>569</v>
      </c>
      <c r="C19" s="447" t="s">
        <v>567</v>
      </c>
      <c r="D19" s="447" t="s">
        <v>570</v>
      </c>
      <c r="E19" s="447" t="s">
        <v>632</v>
      </c>
      <c r="F19" s="448">
        <v>5000</v>
      </c>
      <c r="G19" s="496"/>
    </row>
    <row r="20" spans="1:7" s="491" customFormat="1" ht="33" thickTop="1" thickBot="1" x14ac:dyDescent="0.25">
      <c r="A20" s="178">
        <v>8</v>
      </c>
      <c r="B20" s="447" t="s">
        <v>569</v>
      </c>
      <c r="C20" s="447" t="s">
        <v>567</v>
      </c>
      <c r="D20" s="447" t="s">
        <v>570</v>
      </c>
      <c r="E20" s="447" t="s">
        <v>633</v>
      </c>
      <c r="F20" s="448">
        <v>120000</v>
      </c>
      <c r="G20" s="496"/>
    </row>
    <row r="21" spans="1:7" s="491" customFormat="1" ht="64.5" thickTop="1" thickBot="1" x14ac:dyDescent="0.25">
      <c r="A21" s="178">
        <v>9</v>
      </c>
      <c r="B21" s="447" t="s">
        <v>569</v>
      </c>
      <c r="C21" s="447" t="s">
        <v>567</v>
      </c>
      <c r="D21" s="447" t="s">
        <v>570</v>
      </c>
      <c r="E21" s="447" t="s">
        <v>1108</v>
      </c>
      <c r="F21" s="448">
        <v>50000</v>
      </c>
      <c r="G21" s="496"/>
    </row>
    <row r="22" spans="1:7" s="491" customFormat="1" ht="80.25" thickTop="1" thickBot="1" x14ac:dyDescent="0.25">
      <c r="A22" s="178">
        <v>10</v>
      </c>
      <c r="B22" s="447" t="s">
        <v>330</v>
      </c>
      <c r="C22" s="447" t="s">
        <v>331</v>
      </c>
      <c r="D22" s="447" t="s">
        <v>56</v>
      </c>
      <c r="E22" s="447" t="s">
        <v>433</v>
      </c>
      <c r="F22" s="448">
        <v>92500</v>
      </c>
      <c r="G22" s="496"/>
    </row>
    <row r="23" spans="1:7" s="491" customFormat="1" ht="33" thickTop="1" thickBot="1" x14ac:dyDescent="0.25">
      <c r="A23" s="178">
        <v>11</v>
      </c>
      <c r="B23" s="447" t="s">
        <v>330</v>
      </c>
      <c r="C23" s="447" t="s">
        <v>331</v>
      </c>
      <c r="D23" s="447" t="s">
        <v>56</v>
      </c>
      <c r="E23" s="447" t="s">
        <v>634</v>
      </c>
      <c r="F23" s="448">
        <v>35000</v>
      </c>
      <c r="G23" s="496"/>
    </row>
    <row r="24" spans="1:7" s="491" customFormat="1" ht="48.75" thickTop="1" thickBot="1" x14ac:dyDescent="0.25">
      <c r="A24" s="178">
        <v>12</v>
      </c>
      <c r="B24" s="447" t="s">
        <v>330</v>
      </c>
      <c r="C24" s="447" t="s">
        <v>331</v>
      </c>
      <c r="D24" s="447" t="s">
        <v>56</v>
      </c>
      <c r="E24" s="447" t="s">
        <v>636</v>
      </c>
      <c r="F24" s="448">
        <v>19500</v>
      </c>
      <c r="G24" s="496"/>
    </row>
    <row r="25" spans="1:7" s="491" customFormat="1" ht="33" thickTop="1" thickBot="1" x14ac:dyDescent="0.25">
      <c r="A25" s="178">
        <v>13</v>
      </c>
      <c r="B25" s="447" t="s">
        <v>330</v>
      </c>
      <c r="C25" s="447" t="s">
        <v>331</v>
      </c>
      <c r="D25" s="447" t="s">
        <v>56</v>
      </c>
      <c r="E25" s="447" t="s">
        <v>635</v>
      </c>
      <c r="F25" s="448">
        <f>40000+60000</f>
        <v>100000</v>
      </c>
      <c r="G25" s="496"/>
    </row>
    <row r="26" spans="1:7" s="491" customFormat="1" ht="48.75" thickTop="1" thickBot="1" x14ac:dyDescent="0.25">
      <c r="A26" s="178">
        <v>14</v>
      </c>
      <c r="B26" s="447" t="s">
        <v>330</v>
      </c>
      <c r="C26" s="447" t="s">
        <v>331</v>
      </c>
      <c r="D26" s="447" t="s">
        <v>56</v>
      </c>
      <c r="E26" s="447" t="s">
        <v>1109</v>
      </c>
      <c r="F26" s="448">
        <v>48000</v>
      </c>
      <c r="G26" s="496"/>
    </row>
    <row r="27" spans="1:7" s="491" customFormat="1" ht="33" thickTop="1" thickBot="1" x14ac:dyDescent="0.25">
      <c r="A27" s="178">
        <v>15</v>
      </c>
      <c r="B27" s="447" t="s">
        <v>330</v>
      </c>
      <c r="C27" s="447" t="s">
        <v>331</v>
      </c>
      <c r="D27" s="447" t="s">
        <v>56</v>
      </c>
      <c r="E27" s="447" t="s">
        <v>1110</v>
      </c>
      <c r="F27" s="448">
        <v>50000</v>
      </c>
      <c r="G27" s="496"/>
    </row>
    <row r="28" spans="1:7" s="491" customFormat="1" ht="33" thickTop="1" thickBot="1" x14ac:dyDescent="0.25">
      <c r="A28" s="178">
        <v>16</v>
      </c>
      <c r="B28" s="447" t="s">
        <v>330</v>
      </c>
      <c r="C28" s="447" t="s">
        <v>331</v>
      </c>
      <c r="D28" s="447" t="s">
        <v>56</v>
      </c>
      <c r="E28" s="447" t="s">
        <v>1111</v>
      </c>
      <c r="F28" s="448">
        <v>200000</v>
      </c>
      <c r="G28" s="496"/>
    </row>
    <row r="29" spans="1:7" ht="17.25" thickTop="1" thickBot="1" x14ac:dyDescent="0.25">
      <c r="A29" s="179" t="s">
        <v>408</v>
      </c>
      <c r="B29" s="179" t="s">
        <v>408</v>
      </c>
      <c r="C29" s="179" t="s">
        <v>408</v>
      </c>
      <c r="D29" s="179" t="s">
        <v>408</v>
      </c>
      <c r="E29" s="180" t="s">
        <v>418</v>
      </c>
      <c r="F29" s="181">
        <f>SUM(F13:F28)</f>
        <v>1485138.96</v>
      </c>
      <c r="G29" s="258" t="b">
        <f>F29='d3'!J334+'d3'!J335+'d3'!J336+'d3'!J337-1700000</f>
        <v>1</v>
      </c>
    </row>
    <row r="30" spans="1:7" ht="16.5" thickTop="1" x14ac:dyDescent="0.2">
      <c r="A30" s="43"/>
      <c r="B30" s="43"/>
      <c r="C30" s="43"/>
      <c r="D30" s="43"/>
      <c r="E30" s="43"/>
      <c r="F30" s="44"/>
    </row>
    <row r="31" spans="1:7" s="79" customFormat="1" ht="15.75" customHeight="1" x14ac:dyDescent="0.25">
      <c r="A31" s="61"/>
      <c r="B31" s="1154" t="s">
        <v>1532</v>
      </c>
      <c r="C31" s="1155"/>
      <c r="D31" s="41"/>
      <c r="E31" s="151"/>
      <c r="F31" s="41" t="s">
        <v>1534</v>
      </c>
      <c r="G31" s="184"/>
    </row>
    <row r="32" spans="1:7" ht="27" hidden="1" customHeight="1" x14ac:dyDescent="0.2">
      <c r="A32" s="1143" t="s">
        <v>606</v>
      </c>
      <c r="B32" s="1144"/>
      <c r="C32" s="1144"/>
      <c r="D32" s="1144"/>
      <c r="E32" s="61"/>
      <c r="F32" s="63" t="s">
        <v>607</v>
      </c>
    </row>
    <row r="33" spans="1:7" s="141" customFormat="1" ht="15.75" x14ac:dyDescent="0.2">
      <c r="A33" s="696"/>
      <c r="B33" s="696"/>
      <c r="C33" s="696"/>
      <c r="D33" s="696"/>
      <c r="E33" s="61"/>
      <c r="F33" s="62"/>
      <c r="G33" s="184"/>
    </row>
    <row r="34" spans="1:7" s="141" customFormat="1" ht="15.75" x14ac:dyDescent="0.25">
      <c r="A34" s="696"/>
      <c r="B34" s="66"/>
      <c r="C34" s="151"/>
      <c r="D34" s="696"/>
      <c r="E34" s="61"/>
      <c r="F34" s="151"/>
      <c r="G34" s="184"/>
    </row>
    <row r="35" spans="1:7" ht="15.75" x14ac:dyDescent="0.25">
      <c r="A35" s="1146"/>
      <c r="B35" s="1146"/>
      <c r="C35" s="1146"/>
      <c r="D35" s="1146"/>
      <c r="E35" s="41"/>
      <c r="F35" s="41"/>
    </row>
    <row r="36" spans="1:7" ht="15.75" x14ac:dyDescent="0.2">
      <c r="A36" s="1145"/>
      <c r="B36" s="1145"/>
      <c r="C36" s="1145"/>
      <c r="D36" s="1145"/>
      <c r="E36" s="1145"/>
      <c r="F36" s="42"/>
    </row>
    <row r="93" spans="7:7" x14ac:dyDescent="0.2">
      <c r="G93" s="1127"/>
    </row>
    <row r="94" spans="7:7" x14ac:dyDescent="0.2">
      <c r="G94" s="1127"/>
    </row>
    <row r="154" spans="7:10" ht="46.5" x14ac:dyDescent="0.65">
      <c r="J154" s="51"/>
    </row>
    <row r="157" spans="7:10" ht="46.5" x14ac:dyDescent="0.65">
      <c r="G157" s="207"/>
      <c r="J157" s="51"/>
    </row>
    <row r="176" spans="11:11" ht="90" x14ac:dyDescent="1.1499999999999999">
      <c r="K176" s="71" t="b">
        <f>G176=H176+I176</f>
        <v>1</v>
      </c>
    </row>
  </sheetData>
  <mergeCells count="12">
    <mergeCell ref="A32:D32"/>
    <mergeCell ref="A36:E36"/>
    <mergeCell ref="G93:G94"/>
    <mergeCell ref="A35:D35"/>
    <mergeCell ref="F3:I3"/>
    <mergeCell ref="A4:F4"/>
    <mergeCell ref="A6:F6"/>
    <mergeCell ref="A9:B9"/>
    <mergeCell ref="A10:B10"/>
    <mergeCell ref="A5:F5"/>
    <mergeCell ref="C7:E7"/>
    <mergeCell ref="B31:C31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d3-П</vt:lpstr>
      <vt:lpstr>Р-П</vt:lpstr>
      <vt:lpstr>d1-П</vt:lpstr>
      <vt:lpstr>Р-П1</vt:lpstr>
      <vt:lpstr>'d3'!Заголовки_для_друку</vt:lpstr>
      <vt:lpstr>'d3-П'!Заголовки_для_друку</vt:lpstr>
      <vt:lpstr>'d6'!Заголовки_для_друку</vt:lpstr>
      <vt:lpstr>'d7'!Заголовки_для_друку</vt:lpstr>
      <vt:lpstr>'Р-П'!Заголовки_для_друку</vt:lpstr>
      <vt:lpstr>'d1'!Область_друку</vt:lpstr>
      <vt:lpstr>'d1-П'!Область_друку</vt:lpstr>
      <vt:lpstr>'d2'!Область_друку</vt:lpstr>
      <vt:lpstr>'d3'!Область_друку</vt:lpstr>
      <vt:lpstr>'d3-П'!Область_друку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  <vt:lpstr>'Р-П'!Область_друку</vt:lpstr>
      <vt:lpstr>'Р-П1'!Область_друку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2021-11-30T11:55:38Z</cp:lastPrinted>
  <dcterms:created xsi:type="dcterms:W3CDTF">2001-12-03T09:30:42Z</dcterms:created>
  <dcterms:modified xsi:type="dcterms:W3CDTF">2021-11-30T11:55:58Z</dcterms:modified>
</cp:coreProperties>
</file>