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UDJET\2021\Рішення звіт за 2021 рік\"/>
    </mc:Choice>
  </mc:AlternateContent>
  <xr:revisionPtr revIDLastSave="0" documentId="13_ncr:1_{51E9E9F1-8F4A-4CF6-97E3-2B614BC05C9A}" xr6:coauthVersionLast="45" xr6:coauthVersionMax="45" xr10:uidLastSave="{00000000-0000-0000-0000-000000000000}"/>
  <bookViews>
    <workbookView xWindow="-120" yWindow="480" windowWidth="29040" windowHeight="15840" xr2:uid="{00000000-000D-0000-FFFF-FFFF00000000}"/>
  </bookViews>
  <sheets>
    <sheet name="d2" sheetId="1" r:id="rId1"/>
  </sheets>
  <definedNames>
    <definedName name="_xlnm.Print_Titles" localSheetId="0">'d2'!$12:$15</definedName>
    <definedName name="_xlnm.Print_Area" localSheetId="0">'d2'!$B$1:$N$222</definedName>
    <definedName name="С16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0" i="1" l="1"/>
  <c r="I187" i="1" l="1"/>
  <c r="J155" i="1"/>
  <c r="I155" i="1"/>
  <c r="I156" i="1"/>
  <c r="I154" i="1"/>
  <c r="J187" i="1"/>
  <c r="J184" i="1"/>
  <c r="I184" i="1"/>
  <c r="J182" i="1"/>
  <c r="I182" i="1"/>
  <c r="N160" i="1"/>
  <c r="K160" i="1"/>
  <c r="J156" i="1"/>
  <c r="N156" i="1" s="1"/>
  <c r="J157" i="1"/>
  <c r="I157" i="1"/>
  <c r="N134" i="1"/>
  <c r="J134" i="1"/>
  <c r="I134" i="1"/>
  <c r="G134" i="1"/>
  <c r="F134" i="1"/>
  <c r="K150" i="1"/>
  <c r="N150" i="1"/>
  <c r="N144" i="1" l="1"/>
  <c r="K144" i="1"/>
  <c r="J143" i="1"/>
  <c r="I143" i="1"/>
  <c r="G143" i="1"/>
  <c r="F143" i="1"/>
  <c r="K143" i="1" l="1"/>
  <c r="N143" i="1"/>
  <c r="I18" i="1" l="1"/>
  <c r="H192" i="1"/>
  <c r="N171" i="1"/>
  <c r="H171" i="1"/>
  <c r="H149" i="1"/>
  <c r="J27" i="1" l="1"/>
  <c r="I27" i="1"/>
  <c r="G27" i="1"/>
  <c r="N30" i="1"/>
  <c r="N29" i="1"/>
  <c r="H30" i="1"/>
  <c r="H29" i="1"/>
  <c r="F27" i="1"/>
  <c r="F215" i="1"/>
  <c r="F214" i="1"/>
  <c r="F213" i="1" s="1"/>
  <c r="F208" i="1"/>
  <c r="F206" i="1"/>
  <c r="F205" i="1" s="1"/>
  <c r="F203" i="1"/>
  <c r="F200" i="1"/>
  <c r="F195" i="1"/>
  <c r="F194" i="1" s="1"/>
  <c r="F191" i="1"/>
  <c r="F189" i="1"/>
  <c r="F186" i="1" s="1"/>
  <c r="F179" i="1"/>
  <c r="F174" i="1"/>
  <c r="F172" i="1"/>
  <c r="F169" i="1"/>
  <c r="F167" i="1"/>
  <c r="F163" i="1"/>
  <c r="F154" i="1" s="1"/>
  <c r="F146" i="1"/>
  <c r="F135" i="1"/>
  <c r="F130" i="1"/>
  <c r="F128" i="1"/>
  <c r="F125" i="1"/>
  <c r="F123" i="1"/>
  <c r="F120" i="1"/>
  <c r="F116" i="1"/>
  <c r="F111" i="1" s="1"/>
  <c r="F108" i="1"/>
  <c r="F94" i="1"/>
  <c r="F92" i="1"/>
  <c r="F90" i="1"/>
  <c r="F87" i="1"/>
  <c r="F83" i="1"/>
  <c r="F80" i="1"/>
  <c r="F77" i="1"/>
  <c r="F68" i="1"/>
  <c r="F65" i="1"/>
  <c r="F64" i="1" s="1"/>
  <c r="F62" i="1"/>
  <c r="F60" i="1"/>
  <c r="F51" i="1"/>
  <c r="F46" i="1"/>
  <c r="F42" i="1"/>
  <c r="F39" i="1"/>
  <c r="F36" i="1"/>
  <c r="F31" i="1"/>
  <c r="F23" i="1"/>
  <c r="F16" i="1"/>
  <c r="F177" i="1" l="1"/>
  <c r="F151" i="1" s="1"/>
  <c r="F190" i="1"/>
  <c r="F166" i="1"/>
  <c r="F54" i="1"/>
  <c r="F21" i="1"/>
  <c r="F119" i="1"/>
  <c r="F67" i="1"/>
  <c r="K193" i="1"/>
  <c r="N176" i="1"/>
  <c r="E174" i="1"/>
  <c r="J174" i="1"/>
  <c r="I174" i="1"/>
  <c r="G174" i="1"/>
  <c r="J163" i="1"/>
  <c r="J154" i="1" s="1"/>
  <c r="I163" i="1"/>
  <c r="G163" i="1"/>
  <c r="G154" i="1" s="1"/>
  <c r="E163" i="1"/>
  <c r="E154" i="1" s="1"/>
  <c r="K164" i="1"/>
  <c r="N164" i="1"/>
  <c r="E146" i="1"/>
  <c r="K148" i="1"/>
  <c r="N148" i="1"/>
  <c r="K98" i="1"/>
  <c r="K95" i="1"/>
  <c r="J94" i="1"/>
  <c r="I94" i="1"/>
  <c r="G94" i="1"/>
  <c r="E94" i="1"/>
  <c r="N98" i="1"/>
  <c r="N102" i="1"/>
  <c r="N105" i="1"/>
  <c r="K105" i="1"/>
  <c r="K102" i="1"/>
  <c r="N95" i="1"/>
  <c r="N93" i="1"/>
  <c r="F212" i="1" l="1"/>
  <c r="F240" i="1" s="1"/>
  <c r="N174" i="1"/>
  <c r="N154" i="1"/>
  <c r="N163" i="1"/>
  <c r="K163" i="1"/>
  <c r="N94" i="1"/>
  <c r="K94" i="1"/>
  <c r="F218" i="1" l="1"/>
  <c r="K53" i="1"/>
  <c r="K52" i="1"/>
  <c r="G51" i="1"/>
  <c r="N52" i="1"/>
  <c r="J51" i="1"/>
  <c r="I51" i="1"/>
  <c r="E51" i="1"/>
  <c r="K45" i="1"/>
  <c r="N43" i="1"/>
  <c r="K43" i="1"/>
  <c r="K33" i="1"/>
  <c r="I23" i="1"/>
  <c r="J23" i="1"/>
  <c r="E210" i="1"/>
  <c r="E208" i="1" s="1"/>
  <c r="N211" i="1"/>
  <c r="K211" i="1"/>
  <c r="H211" i="1"/>
  <c r="K51" i="1" l="1"/>
  <c r="N51" i="1"/>
  <c r="H176" i="1"/>
  <c r="H168" i="1"/>
  <c r="H170" i="1"/>
  <c r="E189" i="1"/>
  <c r="J179" i="1"/>
  <c r="I179" i="1"/>
  <c r="G179" i="1"/>
  <c r="N180" i="1"/>
  <c r="E179" i="1"/>
  <c r="H180" i="1"/>
  <c r="N179" i="1" l="1"/>
  <c r="H179" i="1"/>
  <c r="J167" i="1"/>
  <c r="I167" i="1"/>
  <c r="G167" i="1"/>
  <c r="E167" i="1"/>
  <c r="N168" i="1"/>
  <c r="N75" i="1"/>
  <c r="H165" i="1"/>
  <c r="E142" i="1"/>
  <c r="H141" i="1"/>
  <c r="E141" i="1"/>
  <c r="H154" i="1" l="1"/>
  <c r="H167" i="1"/>
  <c r="N167" i="1"/>
  <c r="K82" i="1"/>
  <c r="H82" i="1"/>
  <c r="N82" i="1"/>
  <c r="J80" i="1"/>
  <c r="I80" i="1"/>
  <c r="G80" i="1"/>
  <c r="E80" i="1"/>
  <c r="H75" i="1"/>
  <c r="H72" i="1"/>
  <c r="K80" i="1" l="1"/>
  <c r="N80" i="1"/>
  <c r="H48" i="1"/>
  <c r="H47" i="1"/>
  <c r="H45" i="1"/>
  <c r="N53" i="1"/>
  <c r="E46" i="1" l="1"/>
  <c r="E42" i="1"/>
  <c r="G36" i="1"/>
  <c r="E36" i="1"/>
  <c r="G23" i="1"/>
  <c r="E23" i="1"/>
  <c r="H26" i="1"/>
  <c r="N26" i="1"/>
  <c r="E49" i="1"/>
  <c r="J46" i="1"/>
  <c r="I46" i="1"/>
  <c r="G46" i="1"/>
  <c r="E20" i="1"/>
  <c r="E19" i="1"/>
  <c r="E18" i="1"/>
  <c r="H46" i="1" l="1"/>
  <c r="N23" i="1"/>
  <c r="K210" i="1"/>
  <c r="N48" i="1" l="1"/>
  <c r="K48" i="1"/>
  <c r="E203" i="1" l="1"/>
  <c r="H182" i="1"/>
  <c r="H173" i="1"/>
  <c r="K162" i="1"/>
  <c r="N162" i="1"/>
  <c r="N158" i="1"/>
  <c r="K158" i="1"/>
  <c r="K93" i="1" l="1"/>
  <c r="I92" i="1"/>
  <c r="J92" i="1"/>
  <c r="K85" i="1"/>
  <c r="K84" i="1"/>
  <c r="E60" i="1"/>
  <c r="G60" i="1"/>
  <c r="N50" i="1"/>
  <c r="K50" i="1"/>
  <c r="H50" i="1"/>
  <c r="E39" i="1"/>
  <c r="G39" i="1"/>
  <c r="I39" i="1"/>
  <c r="J39" i="1"/>
  <c r="E16" i="1"/>
  <c r="K20" i="1"/>
  <c r="K92" i="1" l="1"/>
  <c r="K79" i="1"/>
  <c r="I215" i="1" l="1"/>
  <c r="K217" i="1"/>
  <c r="K216" i="1"/>
  <c r="K199" i="1" l="1"/>
  <c r="K198" i="1"/>
  <c r="K197" i="1"/>
  <c r="K196" i="1"/>
  <c r="K187" i="1"/>
  <c r="K184" i="1"/>
  <c r="K183" i="1"/>
  <c r="K182" i="1"/>
  <c r="K175" i="1"/>
  <c r="K173" i="1"/>
  <c r="J172" i="1"/>
  <c r="J166" i="1" s="1"/>
  <c r="I172" i="1"/>
  <c r="I166" i="1" s="1"/>
  <c r="G172" i="1"/>
  <c r="E172" i="1"/>
  <c r="H172" i="1" l="1"/>
  <c r="K172" i="1"/>
  <c r="N172" i="1"/>
  <c r="K165" i="1"/>
  <c r="K161" i="1"/>
  <c r="K159" i="1"/>
  <c r="K157" i="1"/>
  <c r="K155" i="1"/>
  <c r="K153" i="1"/>
  <c r="K147" i="1"/>
  <c r="K142" i="1"/>
  <c r="K139" i="1"/>
  <c r="K136" i="1"/>
  <c r="K127" i="1"/>
  <c r="K126" i="1"/>
  <c r="K117" i="1"/>
  <c r="K115" i="1"/>
  <c r="K114" i="1"/>
  <c r="K113" i="1"/>
  <c r="K110" i="1"/>
  <c r="K109" i="1"/>
  <c r="K78" i="1"/>
  <c r="K69" i="1"/>
  <c r="K65" i="1"/>
  <c r="K49" i="1"/>
  <c r="K47" i="1"/>
  <c r="K40" i="1"/>
  <c r="K37" i="1"/>
  <c r="K35" i="1"/>
  <c r="K34" i="1"/>
  <c r="K25" i="1"/>
  <c r="K24" i="1"/>
  <c r="K22" i="1"/>
  <c r="K18" i="1"/>
  <c r="K17" i="1"/>
  <c r="N217" i="1" l="1"/>
  <c r="N216" i="1"/>
  <c r="J215" i="1"/>
  <c r="J214" i="1" s="1"/>
  <c r="J213" i="1" s="1"/>
  <c r="G215" i="1"/>
  <c r="G214" i="1" s="1"/>
  <c r="G213" i="1" s="1"/>
  <c r="E215" i="1"/>
  <c r="E214" i="1" s="1"/>
  <c r="E213" i="1" s="1"/>
  <c r="N213" i="1" l="1"/>
  <c r="I214" i="1"/>
  <c r="N214" i="1"/>
  <c r="N215" i="1"/>
  <c r="I213" i="1" l="1"/>
  <c r="M218" i="1"/>
  <c r="L218" i="1"/>
  <c r="M212" i="1"/>
  <c r="L212" i="1"/>
  <c r="N210" i="1"/>
  <c r="N209" i="1"/>
  <c r="N207" i="1"/>
  <c r="H210" i="1"/>
  <c r="H209" i="1"/>
  <c r="H207" i="1"/>
  <c r="J206" i="1"/>
  <c r="I206" i="1"/>
  <c r="G206" i="1"/>
  <c r="E206" i="1"/>
  <c r="E205" i="1" s="1"/>
  <c r="J208" i="1"/>
  <c r="I208" i="1"/>
  <c r="G208" i="1"/>
  <c r="N204" i="1"/>
  <c r="N202" i="1"/>
  <c r="N201" i="1"/>
  <c r="N193" i="1"/>
  <c r="N192" i="1"/>
  <c r="H202" i="1"/>
  <c r="J203" i="1"/>
  <c r="I203" i="1"/>
  <c r="G203" i="1"/>
  <c r="H201" i="1"/>
  <c r="E200" i="1"/>
  <c r="J205" i="1" l="1"/>
  <c r="I205" i="1"/>
  <c r="G205" i="1"/>
  <c r="N206" i="1"/>
  <c r="N208" i="1"/>
  <c r="H208" i="1"/>
  <c r="H206" i="1"/>
  <c r="N203" i="1"/>
  <c r="J200" i="1"/>
  <c r="I200" i="1"/>
  <c r="G200" i="1"/>
  <c r="N199" i="1"/>
  <c r="N197" i="1"/>
  <c r="I195" i="1"/>
  <c r="G195" i="1"/>
  <c r="E195" i="1"/>
  <c r="E194" i="1" s="1"/>
  <c r="H193" i="1"/>
  <c r="J191" i="1"/>
  <c r="I191" i="1"/>
  <c r="G191" i="1"/>
  <c r="E191" i="1"/>
  <c r="N189" i="1"/>
  <c r="N187" i="1"/>
  <c r="N185" i="1"/>
  <c r="N184" i="1"/>
  <c r="N183" i="1"/>
  <c r="N182" i="1"/>
  <c r="N181" i="1"/>
  <c r="N178" i="1"/>
  <c r="N175" i="1"/>
  <c r="N173" i="1"/>
  <c r="N170" i="1"/>
  <c r="N165" i="1"/>
  <c r="N161" i="1"/>
  <c r="N159" i="1"/>
  <c r="N157" i="1"/>
  <c r="N155" i="1"/>
  <c r="N153" i="1"/>
  <c r="J186" i="1"/>
  <c r="J177" i="1" s="1"/>
  <c r="G186" i="1"/>
  <c r="G177" i="1" s="1"/>
  <c r="E186" i="1"/>
  <c r="E177" i="1" s="1"/>
  <c r="H189" i="1"/>
  <c r="H185" i="1"/>
  <c r="H181" i="1"/>
  <c r="H178" i="1"/>
  <c r="H175" i="1"/>
  <c r="K205" i="1" l="1"/>
  <c r="K191" i="1"/>
  <c r="N205" i="1"/>
  <c r="O205" i="1" s="1"/>
  <c r="I186" i="1"/>
  <c r="K189" i="1"/>
  <c r="E190" i="1"/>
  <c r="H174" i="1"/>
  <c r="I194" i="1"/>
  <c r="I190" i="1" s="1"/>
  <c r="K174" i="1"/>
  <c r="N177" i="1"/>
  <c r="N198" i="1"/>
  <c r="H205" i="1"/>
  <c r="H186" i="1"/>
  <c r="G194" i="1"/>
  <c r="G190" i="1" s="1"/>
  <c r="N186" i="1"/>
  <c r="J195" i="1"/>
  <c r="J194" i="1" s="1"/>
  <c r="J190" i="1" s="1"/>
  <c r="N196" i="1"/>
  <c r="N191" i="1"/>
  <c r="N200" i="1"/>
  <c r="H200" i="1"/>
  <c r="H191" i="1"/>
  <c r="H177" i="1"/>
  <c r="G169" i="1"/>
  <c r="G166" i="1" s="1"/>
  <c r="E169" i="1"/>
  <c r="E166" i="1" s="1"/>
  <c r="E151" i="1" s="1"/>
  <c r="J152" i="1"/>
  <c r="J151" i="1" s="1"/>
  <c r="I152" i="1"/>
  <c r="N149" i="1"/>
  <c r="N147" i="1"/>
  <c r="N142" i="1"/>
  <c r="N141" i="1"/>
  <c r="N140" i="1"/>
  <c r="N139" i="1"/>
  <c r="N138" i="1"/>
  <c r="N137" i="1"/>
  <c r="N136" i="1"/>
  <c r="J146" i="1"/>
  <c r="I146" i="1"/>
  <c r="G146" i="1"/>
  <c r="H142" i="1"/>
  <c r="H140" i="1"/>
  <c r="H138" i="1"/>
  <c r="H137" i="1"/>
  <c r="H136" i="1"/>
  <c r="N133" i="1"/>
  <c r="N132" i="1"/>
  <c r="N131" i="1"/>
  <c r="N129" i="1"/>
  <c r="N127" i="1"/>
  <c r="N124" i="1"/>
  <c r="N122" i="1"/>
  <c r="N121" i="1"/>
  <c r="H133" i="1"/>
  <c r="H132" i="1"/>
  <c r="H131" i="1"/>
  <c r="J128" i="1"/>
  <c r="G128" i="1"/>
  <c r="E128" i="1"/>
  <c r="H127" i="1"/>
  <c r="H126" i="1"/>
  <c r="H124" i="1"/>
  <c r="H122" i="1"/>
  <c r="H121" i="1"/>
  <c r="N118" i="1"/>
  <c r="N112" i="1"/>
  <c r="H118" i="1"/>
  <c r="H117" i="1"/>
  <c r="H115" i="1"/>
  <c r="H114" i="1"/>
  <c r="H113" i="1"/>
  <c r="H112" i="1"/>
  <c r="H35" i="1"/>
  <c r="N35" i="1"/>
  <c r="N110" i="1"/>
  <c r="N91" i="1"/>
  <c r="N89" i="1"/>
  <c r="N88" i="1"/>
  <c r="N86" i="1"/>
  <c r="N85" i="1"/>
  <c r="N81" i="1"/>
  <c r="N79" i="1"/>
  <c r="N76" i="1"/>
  <c r="N74" i="1"/>
  <c r="N73" i="1"/>
  <c r="N72" i="1"/>
  <c r="N71" i="1"/>
  <c r="N70" i="1"/>
  <c r="N69" i="1"/>
  <c r="H110" i="1"/>
  <c r="H109" i="1"/>
  <c r="H93" i="1"/>
  <c r="H91" i="1"/>
  <c r="H89" i="1"/>
  <c r="H88" i="1"/>
  <c r="H86" i="1"/>
  <c r="H85" i="1"/>
  <c r="H84" i="1"/>
  <c r="H81" i="1"/>
  <c r="N84" i="1"/>
  <c r="I83" i="1"/>
  <c r="H79" i="1"/>
  <c r="H78" i="1"/>
  <c r="H76" i="1"/>
  <c r="H74" i="1"/>
  <c r="H73" i="1"/>
  <c r="H71" i="1"/>
  <c r="H70" i="1"/>
  <c r="H69" i="1"/>
  <c r="O134" i="1" l="1"/>
  <c r="N166" i="1"/>
  <c r="G151" i="1"/>
  <c r="N151" i="1" s="1"/>
  <c r="O151" i="1" s="1"/>
  <c r="H146" i="1"/>
  <c r="I177" i="1"/>
  <c r="K177" i="1" s="1"/>
  <c r="H169" i="1"/>
  <c r="K186" i="1"/>
  <c r="K166" i="1"/>
  <c r="K152" i="1"/>
  <c r="I128" i="1"/>
  <c r="K128" i="1" s="1"/>
  <c r="K129" i="1"/>
  <c r="K195" i="1"/>
  <c r="K194" i="1"/>
  <c r="K190" i="1"/>
  <c r="K156" i="1"/>
  <c r="K146" i="1"/>
  <c r="H190" i="1"/>
  <c r="N194" i="1"/>
  <c r="N146" i="1"/>
  <c r="N195" i="1"/>
  <c r="N190" i="1"/>
  <c r="O190" i="1" s="1"/>
  <c r="N152" i="1"/>
  <c r="N169" i="1"/>
  <c r="N128" i="1"/>
  <c r="J83" i="1"/>
  <c r="K83" i="1" s="1"/>
  <c r="H80" i="1"/>
  <c r="G83" i="1"/>
  <c r="E83" i="1"/>
  <c r="N66" i="1"/>
  <c r="N65" i="1"/>
  <c r="N63" i="1"/>
  <c r="N61" i="1"/>
  <c r="N59" i="1"/>
  <c r="H66" i="1"/>
  <c r="H65" i="1"/>
  <c r="I151" i="1" l="1"/>
  <c r="K151" i="1" s="1"/>
  <c r="K154" i="1"/>
  <c r="H166" i="1"/>
  <c r="H83" i="1"/>
  <c r="N83" i="1"/>
  <c r="H63" i="1"/>
  <c r="H61" i="1"/>
  <c r="H59" i="1"/>
  <c r="N58" i="1"/>
  <c r="N57" i="1"/>
  <c r="N56" i="1"/>
  <c r="N55" i="1"/>
  <c r="N49" i="1"/>
  <c r="N47" i="1"/>
  <c r="N45" i="1"/>
  <c r="N44" i="1"/>
  <c r="N41" i="1"/>
  <c r="N38" i="1"/>
  <c r="H58" i="1"/>
  <c r="H57" i="1"/>
  <c r="H56" i="1"/>
  <c r="H55" i="1"/>
  <c r="H49" i="1"/>
  <c r="H44" i="1"/>
  <c r="H43" i="1"/>
  <c r="H41" i="1"/>
  <c r="H40" i="1"/>
  <c r="H38" i="1"/>
  <c r="H37" i="1"/>
  <c r="H34" i="1"/>
  <c r="N33" i="1"/>
  <c r="I31" i="1"/>
  <c r="N28" i="1"/>
  <c r="H28" i="1"/>
  <c r="H25" i="1"/>
  <c r="H24" i="1"/>
  <c r="N20" i="1"/>
  <c r="N19" i="1"/>
  <c r="N18" i="1"/>
  <c r="N17" i="1"/>
  <c r="H22" i="1"/>
  <c r="H20" i="1"/>
  <c r="H19" i="1"/>
  <c r="H18" i="1"/>
  <c r="H17" i="1"/>
  <c r="K140" i="1"/>
  <c r="E135" i="1"/>
  <c r="E134" i="1" s="1"/>
  <c r="J135" i="1"/>
  <c r="G135" i="1"/>
  <c r="K133" i="1"/>
  <c r="J130" i="1"/>
  <c r="G130" i="1"/>
  <c r="N126" i="1"/>
  <c r="G125" i="1"/>
  <c r="E125" i="1"/>
  <c r="E124" i="1"/>
  <c r="E123" i="1" s="1"/>
  <c r="G123" i="1"/>
  <c r="G120" i="1"/>
  <c r="G116" i="1"/>
  <c r="I116" i="1"/>
  <c r="N115" i="1"/>
  <c r="N114" i="1"/>
  <c r="E114" i="1"/>
  <c r="N113" i="1"/>
  <c r="G108" i="1"/>
  <c r="G92" i="1"/>
  <c r="E92" i="1"/>
  <c r="E91" i="1"/>
  <c r="E90" i="1" s="1"/>
  <c r="G90" i="1"/>
  <c r="G87" i="1"/>
  <c r="E87" i="1"/>
  <c r="N78" i="1"/>
  <c r="E77" i="1"/>
  <c r="J68" i="1"/>
  <c r="I68" i="1"/>
  <c r="G68" i="1"/>
  <c r="G64" i="1"/>
  <c r="E65" i="1"/>
  <c r="J64" i="1"/>
  <c r="I64" i="1"/>
  <c r="E62" i="1"/>
  <c r="G62" i="1"/>
  <c r="G42" i="1"/>
  <c r="J42" i="1"/>
  <c r="I42" i="1"/>
  <c r="N40" i="1"/>
  <c r="K39" i="1"/>
  <c r="N37" i="1"/>
  <c r="N34" i="1"/>
  <c r="G31" i="1"/>
  <c r="E31" i="1"/>
  <c r="E27" i="1"/>
  <c r="N25" i="1"/>
  <c r="N24" i="1"/>
  <c r="G16" i="1"/>
  <c r="J16" i="1"/>
  <c r="K31" i="1" l="1"/>
  <c r="N27" i="1"/>
  <c r="K42" i="1"/>
  <c r="N92" i="1"/>
  <c r="H92" i="1"/>
  <c r="E21" i="1"/>
  <c r="G21" i="1"/>
  <c r="G119" i="1"/>
  <c r="K68" i="1"/>
  <c r="K46" i="1"/>
  <c r="K64" i="1"/>
  <c r="H151" i="1"/>
  <c r="N120" i="1"/>
  <c r="N135" i="1"/>
  <c r="H135" i="1"/>
  <c r="N123" i="1"/>
  <c r="H123" i="1"/>
  <c r="H116" i="1"/>
  <c r="H125" i="1"/>
  <c r="H120" i="1"/>
  <c r="N130" i="1"/>
  <c r="H130" i="1"/>
  <c r="J116" i="1"/>
  <c r="N116" i="1" s="1"/>
  <c r="N117" i="1"/>
  <c r="N22" i="1"/>
  <c r="N87" i="1"/>
  <c r="J108" i="1"/>
  <c r="N109" i="1"/>
  <c r="N68" i="1"/>
  <c r="H90" i="1"/>
  <c r="N90" i="1"/>
  <c r="H108" i="1"/>
  <c r="H87" i="1"/>
  <c r="N42" i="1"/>
  <c r="N16" i="1"/>
  <c r="N60" i="1"/>
  <c r="H68" i="1"/>
  <c r="H60" i="1"/>
  <c r="N46" i="1"/>
  <c r="H62" i="1"/>
  <c r="N62" i="1"/>
  <c r="N64" i="1"/>
  <c r="H36" i="1"/>
  <c r="H64" i="1"/>
  <c r="N31" i="1"/>
  <c r="H39" i="1"/>
  <c r="H27" i="1"/>
  <c r="I36" i="1"/>
  <c r="I21" i="1" s="1"/>
  <c r="J54" i="1"/>
  <c r="H42" i="1"/>
  <c r="I108" i="1"/>
  <c r="E64" i="1"/>
  <c r="E54" i="1" s="1"/>
  <c r="I125" i="1"/>
  <c r="E108" i="1"/>
  <c r="I54" i="1"/>
  <c r="N39" i="1"/>
  <c r="E116" i="1"/>
  <c r="E111" i="1" s="1"/>
  <c r="G111" i="1"/>
  <c r="I135" i="1"/>
  <c r="G54" i="1"/>
  <c r="I130" i="1"/>
  <c r="K130" i="1" s="1"/>
  <c r="G77" i="1"/>
  <c r="G67" i="1" s="1"/>
  <c r="J36" i="1"/>
  <c r="J21" i="1" s="1"/>
  <c r="E130" i="1"/>
  <c r="E68" i="1"/>
  <c r="I77" i="1"/>
  <c r="I16" i="1"/>
  <c r="J77" i="1"/>
  <c r="I111" i="1"/>
  <c r="E120" i="1"/>
  <c r="J125" i="1"/>
  <c r="J119" i="1" s="1"/>
  <c r="E67" i="1" l="1"/>
  <c r="I67" i="1"/>
  <c r="N108" i="1"/>
  <c r="J67" i="1"/>
  <c r="N67" i="1" s="1"/>
  <c r="O67" i="1" s="1"/>
  <c r="G212" i="1"/>
  <c r="G218" i="1" s="1"/>
  <c r="O16" i="1"/>
  <c r="N36" i="1"/>
  <c r="N21" i="1"/>
  <c r="O21" i="1" s="1"/>
  <c r="K135" i="1"/>
  <c r="K108" i="1"/>
  <c r="K23" i="1"/>
  <c r="K125" i="1"/>
  <c r="K116" i="1"/>
  <c r="K77" i="1"/>
  <c r="K36" i="1"/>
  <c r="K16" i="1"/>
  <c r="J111" i="1"/>
  <c r="K111" i="1" s="1"/>
  <c r="K134" i="1"/>
  <c r="N119" i="1"/>
  <c r="O119" i="1" s="1"/>
  <c r="H134" i="1"/>
  <c r="I119" i="1"/>
  <c r="K119" i="1" s="1"/>
  <c r="N125" i="1"/>
  <c r="E119" i="1"/>
  <c r="H119" i="1"/>
  <c r="H111" i="1"/>
  <c r="K54" i="1"/>
  <c r="N77" i="1"/>
  <c r="N54" i="1"/>
  <c r="O54" i="1" s="1"/>
  <c r="H77" i="1"/>
  <c r="H67" i="1"/>
  <c r="H54" i="1"/>
  <c r="H23" i="1"/>
  <c r="H16" i="1"/>
  <c r="J212" i="1" l="1"/>
  <c r="J218" i="1" s="1"/>
  <c r="K67" i="1"/>
  <c r="H21" i="1"/>
  <c r="H218" i="1"/>
  <c r="I212" i="1"/>
  <c r="N111" i="1"/>
  <c r="O111" i="1" s="1"/>
  <c r="H212" i="1"/>
  <c r="E212" i="1"/>
  <c r="E240" i="1" s="1"/>
  <c r="K21" i="1"/>
  <c r="N212" i="1" l="1"/>
  <c r="O212" i="1" s="1"/>
  <c r="E218" i="1"/>
  <c r="I218" i="1"/>
  <c r="K218" i="1" s="1"/>
  <c r="K212" i="1"/>
  <c r="N218" i="1" l="1"/>
  <c r="O218" i="1" s="1"/>
</calcChain>
</file>

<file path=xl/sharedStrings.xml><?xml version="1.0" encoding="utf-8"?>
<sst xmlns="http://schemas.openxmlformats.org/spreadsheetml/2006/main" count="670" uniqueCount="550">
  <si>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</si>
  <si>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</si>
  <si>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</si>
  <si>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</si>
  <si>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</si>
  <si>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</si>
  <si>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</si>
  <si>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</si>
  <si>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</si>
  <si>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</si>
  <si>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</si>
  <si>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</si>
  <si>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</si>
  <si>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</si>
  <si>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</si>
  <si>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</si>
  <si>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</si>
  <si>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</si>
  <si>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</si>
  <si>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</si>
  <si>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</si>
  <si>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</si>
  <si>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</si>
  <si>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</si>
  <si>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</si>
  <si>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</si>
  <si>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</si>
  <si>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</si>
  <si>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</si>
  <si>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</si>
  <si>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</si>
  <si>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</si>
  <si>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</si>
  <si>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</si>
  <si>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</si>
  <si>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</si>
  <si>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</si>
  <si>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</si>
  <si>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</si>
  <si>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</si>
  <si>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</si>
  <si>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</si>
  <si>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</si>
  <si>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</si>
  <si>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</si>
  <si>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</si>
  <si>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</si>
  <si>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</si>
  <si>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</si>
  <si>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</si>
  <si>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</si>
  <si>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</si>
  <si>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</si>
  <si>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</si>
  <si>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</si>
  <si>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</si>
  <si>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</si>
  <si>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</si>
  <si>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</si>
  <si>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</si>
  <si>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</si>
  <si>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</si>
  <si>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</si>
  <si>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</si>
  <si>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</si>
  <si>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</si>
  <si>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</si>
  <si>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</si>
  <si>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</si>
  <si>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</si>
  <si>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</si>
  <si>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</si>
  <si>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</si>
  <si>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</si>
  <si>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</si>
  <si>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</si>
  <si>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</si>
  <si>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</si>
  <si>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</si>
  <si>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</si>
  <si>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</si>
  <si>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</si>
  <si>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</si>
  <si>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</si>
  <si>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</si>
  <si>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</si>
  <si>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</si>
  <si>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</si>
  <si>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</si>
  <si>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</si>
  <si>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</si>
  <si>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</si>
  <si>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</si>
  <si>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</si>
  <si>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</si>
  <si>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</si>
  <si>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</si>
  <si>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</si>
  <si>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</si>
  <si>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</si>
  <si>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</si>
  <si>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</si>
  <si>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</si>
  <si>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</si>
  <si>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</si>
  <si>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</si>
  <si>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</si>
  <si>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</si>
  <si>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</si>
  <si>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</si>
  <si>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</si>
  <si>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</si>
  <si>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</si>
  <si>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</si>
  <si>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</si>
  <si>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</si>
  <si>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</si>
  <si>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</si>
  <si>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</si>
  <si>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</si>
  <si>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</si>
  <si>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</si>
  <si>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</si>
  <si>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</si>
  <si>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</si>
  <si>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</si>
  <si>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</si>
  <si>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</si>
  <si>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</si>
  <si>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</si>
  <si>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</si>
  <si>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</si>
  <si>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</si>
  <si>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</si>
  <si>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</si>
  <si>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</si>
  <si>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</si>
  <si>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</si>
  <si>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</si>
  <si>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</si>
  <si>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</si>
  <si>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</si>
  <si>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</si>
  <si>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</si>
  <si>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</si>
  <si>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</si>
  <si>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</si>
  <si>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</si>
  <si>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</si>
  <si>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</si>
  <si>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</si>
  <si>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</si>
  <si>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</si>
  <si>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</si>
  <si>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</si>
  <si>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</si>
  <si>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</si>
  <si>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</si>
  <si>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</si>
  <si>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</si>
  <si>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</si>
  <si>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</si>
  <si>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</si>
  <si>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</si>
  <si>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</si>
  <si>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</si>
  <si>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</si>
  <si>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</si>
  <si>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</si>
  <si>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</si>
  <si>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</si>
  <si>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</si>
  <si>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</si>
  <si>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</si>
  <si>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</si>
  <si>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</si>
  <si>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</si>
  <si>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</si>
  <si>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</si>
  <si>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</si>
  <si>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</si>
  <si>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</si>
  <si>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</si>
  <si>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</si>
  <si>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</si>
  <si>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</si>
  <si>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</si>
  <si>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</si>
  <si>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</si>
  <si>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</si>
  <si>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</si>
  <si>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</si>
  <si>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</si>
  <si>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</si>
  <si>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</si>
  <si>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</si>
  <si>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</si>
  <si>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</si>
  <si>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</si>
  <si>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</si>
  <si>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</si>
  <si>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</si>
  <si>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</si>
  <si>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</si>
  <si>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</si>
  <si>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</si>
  <si>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</si>
  <si>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</si>
  <si>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</si>
  <si>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</si>
  <si>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</si>
  <si>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</si>
  <si>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</si>
  <si>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</si>
  <si>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</si>
  <si>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</si>
  <si>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</si>
  <si>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</si>
  <si>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</si>
  <si>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</si>
  <si>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</si>
  <si>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</si>
  <si>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</si>
  <si>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</si>
  <si>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</si>
  <si>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</si>
  <si>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</si>
  <si>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</si>
  <si>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</si>
  <si>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</si>
  <si>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</si>
  <si>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</si>
  <si>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</si>
  <si>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</si>
  <si>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</si>
  <si>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</si>
  <si>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</si>
  <si>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</si>
  <si>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</si>
  <si>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</si>
  <si>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</si>
  <si>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</si>
  <si>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</si>
  <si>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</si>
  <si>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</si>
  <si>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</si>
  <si>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</si>
  <si>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</si>
  <si>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</si>
  <si>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</si>
  <si>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</si>
  <si>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</si>
  <si>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</si>
  <si>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</si>
  <si>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</si>
  <si>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</si>
  <si>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</si>
  <si>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</si>
  <si>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</si>
  <si>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</si>
  <si>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</si>
  <si>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</si>
  <si>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</si>
  <si>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</si>
  <si>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</si>
  <si>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</si>
  <si>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</si>
  <si>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</si>
  <si>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</si>
  <si>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0443</t>
  </si>
  <si>
    <t>1080</t>
  </si>
  <si>
    <t>Надання спеціальної освіти мистецькими школами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</si>
  <si>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</si>
  <si>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</si>
  <si>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</si>
  <si>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</si>
  <si>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</si>
  <si>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</si>
  <si>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</si>
  <si>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</si>
  <si>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</si>
  <si>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</si>
  <si>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</si>
  <si>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</si>
  <si>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</si>
  <si>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</si>
  <si>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</si>
  <si>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</si>
  <si>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</si>
  <si>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</si>
  <si>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</si>
  <si>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</si>
  <si>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</si>
  <si>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</si>
  <si>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</si>
  <si>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</si>
  <si>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</si>
  <si>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</si>
  <si>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</si>
  <si>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</si>
  <si>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</si>
  <si>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</si>
  <si>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</si>
  <si>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</si>
  <si>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</si>
  <si>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</si>
  <si>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</si>
  <si>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</si>
  <si>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</si>
  <si>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</si>
  <si>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</si>
  <si>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</si>
  <si>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</si>
  <si>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</si>
  <si>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</si>
  <si>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</si>
  <si>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</si>
  <si>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</si>
  <si>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</si>
  <si>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</si>
  <si>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</si>
  <si>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</si>
  <si>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</si>
  <si>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</si>
  <si>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</si>
  <si>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</si>
  <si>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</si>
  <si>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</si>
  <si>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</si>
  <si>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</si>
  <si>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</si>
  <si>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</si>
  <si>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</si>
  <si>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</si>
  <si>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</si>
  <si>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</si>
  <si>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</si>
  <si>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</si>
  <si>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</si>
  <si>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</si>
  <si>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</si>
  <si>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</si>
  <si>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</si>
  <si>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</si>
  <si>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</si>
  <si>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</si>
  <si>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</si>
  <si>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</si>
  <si>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</si>
  <si>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</si>
  <si>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</si>
  <si>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</si>
  <si>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</si>
  <si>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</si>
  <si>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</si>
  <si>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</si>
  <si>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</si>
  <si>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</si>
  <si>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</si>
  <si>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</si>
  <si>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</si>
  <si>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</si>
  <si>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</si>
  <si>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</si>
  <si>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</si>
  <si>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</si>
  <si>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</si>
  <si>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</si>
  <si>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</si>
  <si>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</si>
  <si>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</si>
  <si>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</si>
  <si>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</si>
  <si>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</si>
  <si>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</si>
  <si>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</si>
  <si>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</si>
  <si>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</si>
  <si>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</si>
  <si>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</si>
  <si>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</si>
  <si>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</si>
  <si>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</si>
  <si>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</si>
  <si>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</si>
  <si>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</si>
  <si>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</si>
  <si>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</si>
  <si>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</si>
  <si>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</si>
  <si>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</si>
  <si>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</si>
  <si>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</si>
  <si>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</si>
  <si>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</si>
  <si>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</si>
  <si>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</si>
  <si>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</si>
  <si>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</si>
  <si>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</si>
  <si>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7321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</si>
  <si>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</si>
  <si>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>7324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</si>
  <si>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</si>
  <si>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t>7330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</si>
  <si>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</si>
  <si>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</si>
  <si>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</si>
  <si>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</si>
  <si>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</si>
  <si>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</si>
  <si>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</si>
  <si>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</si>
  <si>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</si>
  <si>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</si>
  <si>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</si>
  <si>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</si>
  <si>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</si>
  <si>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</si>
  <si>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</si>
  <si>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8310</t>
  </si>
  <si>
    <t xml:space="preserve"> Запобігання та ліквідація забруднення навколишнього природного середовища</t>
  </si>
  <si>
    <t>8311</t>
  </si>
  <si>
    <t>0511</t>
  </si>
  <si>
    <t>Охорона та раціональне використання природних ресурсів</t>
  </si>
  <si>
    <t>8312</t>
  </si>
  <si>
    <t>0512</t>
  </si>
  <si>
    <t>Утилізація відходів</t>
  </si>
  <si>
    <t>8320</t>
  </si>
  <si>
    <t>0520</t>
  </si>
  <si>
    <t>Збереження природно-заповідного фонду</t>
  </si>
  <si>
    <t>8330</t>
  </si>
  <si>
    <t>0540</t>
  </si>
  <si>
    <t>Інша діяльність у сфері екології та охорони природних ресурсів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</si>
  <si>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</si>
  <si>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</si>
  <si>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</si>
  <si>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</si>
  <si>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</si>
  <si>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</si>
  <si>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</si>
  <si>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</si>
  <si>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</si>
  <si>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</si>
  <si>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</si>
  <si>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</si>
  <si>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</si>
  <si>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</si>
  <si>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</si>
  <si>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</si>
  <si>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Додаток 2</t>
  </si>
  <si>
    <t xml:space="preserve">до рішення  №    від        .2021 року 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</si>
  <si>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</si>
  <si>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</si>
  <si>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Затверджено на 2021 рік з урахуванням змін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</si>
  <si>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</si>
  <si>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</si>
  <si>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</si>
  <si>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</si>
  <si>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</si>
  <si>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</si>
  <si>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</si>
  <si>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</si>
  <si>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</si>
  <si>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</si>
  <si>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</si>
  <si>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</si>
  <si>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</si>
  <si>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</si>
  <si>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7460</t>
  </si>
  <si>
    <t>Утримання та розвиток автомобільних доріг та дорожньої інфраструктури</t>
  </si>
  <si>
    <t>7323</t>
  </si>
  <si>
    <t>Будівництво установ та закладів соціальної сфери</t>
  </si>
  <si>
    <t>7350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</si>
  <si>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</si>
  <si>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</si>
  <si>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</si>
  <si>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</si>
  <si>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1023</t>
  </si>
  <si>
    <t>Надання загальної середньої освіти спеціалізованими закладами загальної середньої освіти</t>
  </si>
  <si>
    <t>1220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</si>
  <si>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</si>
  <si>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</si>
  <si>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</si>
  <si>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</t>
  </si>
  <si>
    <t>а також коштів, необхідних для  забезпечення безпечного навчального процесу у закладах загальної середньої освіти)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</si>
  <si>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</si>
  <si>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</si>
  <si>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7410</t>
  </si>
  <si>
    <t>Забезпечення надання послуг з перевезення пасажирів автомобільним транспортом</t>
  </si>
  <si>
    <t>7413</t>
  </si>
  <si>
    <t>0451</t>
  </si>
  <si>
    <t>Інші заходи у сфері автотранспорту</t>
  </si>
  <si>
    <t>7620</t>
  </si>
  <si>
    <t>7622</t>
  </si>
  <si>
    <t>Розвиток готельного господарства та туризму</t>
  </si>
  <si>
    <t>Реалізація програм і заходів в галузі туризму та курортів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</si>
  <si>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</si>
  <si>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</si>
  <si>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</si>
  <si>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</si>
  <si>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</si>
  <si>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</si>
  <si>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</si>
  <si>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</si>
  <si>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</si>
  <si>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</si>
  <si>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</si>
  <si>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</si>
  <si>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</si>
  <si>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</si>
  <si>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</si>
  <si>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</si>
  <si>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</si>
  <si>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</si>
  <si>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</si>
  <si>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</si>
  <si>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</si>
  <si>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</si>
  <si>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</si>
  <si>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7360</t>
  </si>
  <si>
    <t>7363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</si>
  <si>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</si>
  <si>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</si>
  <si>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0460</t>
  </si>
  <si>
    <t xml:space="preserve">Керуючий справами виконавчого комітету </t>
  </si>
  <si>
    <t>Ю. САБІЙ</t>
  </si>
  <si>
    <t>7</t>
  </si>
  <si>
    <t>8</t>
  </si>
  <si>
    <t>9</t>
  </si>
  <si>
    <t>10</t>
  </si>
  <si>
    <t>за 2021 рік</t>
  </si>
  <si>
    <t>Виконано за 2021 рік разом по загальному та спеціальному фондах</t>
  </si>
  <si>
    <t>Виконано
за 2021 рік</t>
  </si>
  <si>
    <t>Затверджено
на 2021 рік з урахуванням змін</t>
  </si>
  <si>
    <t>1032</t>
  </si>
  <si>
    <t>1033</t>
  </si>
  <si>
    <t>Інша діяльність у сфері транспорту</t>
  </si>
  <si>
    <t>7450</t>
  </si>
  <si>
    <t>Регулювання цін/тарифів на житлово-комунальні послуги</t>
  </si>
  <si>
    <t>6070</t>
  </si>
  <si>
    <t>6072</t>
  </si>
  <si>
    <t>водопостачання і водовідведення" за рахунок субвенції з державного бюджету</t>
  </si>
  <si>
    <t xml:space="preserve">	
Погашення заборгованості з різниці в тарифах, що підлягає урегулюванню згідно із Законом України "Про заходи, спрямовані на врегулювання заборгованості теплопостачальних та теплогенеруючих організацій та підприємств централізованого</t>
  </si>
  <si>
    <t>0640</t>
  </si>
  <si>
    <t>Інша діяльність у сфері житлово-комунального господарства</t>
  </si>
  <si>
    <t>6090</t>
  </si>
  <si>
    <t>7325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</si>
  <si>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споруд, установ та закладів фізичної культури і спорту</t>
    </r>
  </si>
  <si>
    <t>Розроблення схем планування та забудови територій (містобудівної документації)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</si>
</sst>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sz val="36"/>
      <color indexed="8"/>
      <name val="Times New Roman"/>
      <family val="1"/>
      <charset val="204"/>
    </font>
    <font>
      <sz val="36"/>
      <name val="Arial Cyr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b/>
      <i/>
      <sz val="36"/>
      <color theme="1"/>
      <name val="Times New Roman"/>
      <family val="1"/>
      <charset val="204"/>
    </font>
    <font>
      <i/>
      <sz val="36"/>
      <color theme="1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i/>
      <sz val="36"/>
      <name val="Times New Roman"/>
      <family val="1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b/>
      <sz val="36"/>
      <color rgb="FF99FF99"/>
      <name val="Times New Roman"/>
      <family val="1"/>
      <charset val="204"/>
    </font>
    <font>
      <b/>
      <i/>
      <sz val="36"/>
      <color rgb="FF99FF99"/>
      <name val="Times New Roman"/>
      <family val="1"/>
      <charset val="204"/>
    </font>
    <font>
      <sz val="48"/>
      <color rgb="FFFF0000"/>
      <name val="Arial Cyr"/>
      <charset val="204"/>
    </font>
    <font>
      <b/>
      <sz val="37"/>
      <color rgb="FF99FF99"/>
      <name val="Times New Roman"/>
      <family val="1"/>
      <charset val="204"/>
    </font>
    <font>
      <sz val="72"/>
      <name val="Arial Cyr"/>
      <charset val="204"/>
    </font>
    <font>
      <i/>
      <sz val="36"/>
      <color rgb="FFFF0000"/>
      <name val="Arial Cyr"/>
      <charset val="204"/>
    </font>
    <font>
      <b/>
      <i/>
      <sz val="48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b/>
      <i/>
      <sz val="36"/>
      <color rgb="FFFF0000"/>
      <name val="Times New Roman"/>
      <family val="1"/>
      <charset val="204"/>
    </font>
    <font>
      <b/>
      <i/>
      <sz val="36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gradientFill degree="270">
        <stop position="0">
          <color theme="0"/>
        </stop>
        <stop position="1">
          <color theme="7" tint="0.40000610370189521"/>
        </stop>
      </gradientFill>
    </fill>
    <fill>
      <patternFill patternType="solid">
        <fgColor rgb="FF99FF99"/>
        <bgColor indexed="64"/>
      </patternFill>
    </fill>
  </fills>
  <borders count="7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4">
    <xf numFmtId="0" fontId="0" fillId="0" borderId="0"/>
    <xf numFmtId="0" fontId="12" fillId="0" borderId="0" applyNumberFormat="0" applyFont="0" applyFill="0" applyBorder="0" applyAlignment="0" applyProtection="0">
      <alignment vertical="top"/>
    </xf>
    <xf numFmtId="0" fontId="40" fillId="0" borderId="0"/>
    <xf numFmtId="0" fontId="40" fillId="0" borderId="0"/>
  </cellStyleXfs>
  <cellXfs count="20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4" fontId="4" fillId="0" borderId="0" xfId="0" applyNumberFormat="1" applyFont="1" applyAlignment="1">
      <alignment horizontal="left" vertical="center"/>
    </xf>
    <xf numFmtId="4" fontId="13" fillId="0" borderId="0" xfId="0" applyNumberFormat="1" applyFont="1" applyAlignment="1">
      <alignment horizontal="left" vertical="center"/>
    </xf>
    <xf numFmtId="0" fontId="15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4" fontId="18" fillId="0" borderId="0" xfId="0" applyNumberFormat="1" applyFont="1" applyAlignment="1">
      <alignment horizontal="left" vertical="center"/>
    </xf>
    <xf numFmtId="49" fontId="19" fillId="0" borderId="1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left" vertical="center"/>
    </xf>
    <xf numFmtId="0" fontId="23" fillId="0" borderId="0" xfId="0" applyFont="1"/>
    <xf numFmtId="0" fontId="27" fillId="0" borderId="0" xfId="0" applyFont="1"/>
    <xf numFmtId="4" fontId="28" fillId="0" borderId="0" xfId="0" applyNumberFormat="1" applyFont="1"/>
    <xf numFmtId="49" fontId="29" fillId="0" borderId="1" xfId="0" applyNumberFormat="1" applyFont="1" applyBorder="1" applyAlignment="1">
      <alignment horizontal="center" vertical="center" wrapText="1"/>
    </xf>
    <xf numFmtId="4" fontId="30" fillId="0" borderId="0" xfId="0" applyNumberFormat="1" applyFont="1"/>
    <xf numFmtId="4" fontId="31" fillId="0" borderId="0" xfId="0" applyNumberFormat="1" applyFont="1" applyAlignment="1">
      <alignment horizontal="left" vertical="center"/>
    </xf>
    <xf numFmtId="4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32" fillId="0" borderId="0" xfId="0" applyNumberFormat="1" applyFont="1" applyAlignment="1">
      <alignment horizontal="left" vertical="center" wrapText="1"/>
    </xf>
    <xf numFmtId="4" fontId="34" fillId="0" borderId="0" xfId="0" applyNumberFormat="1" applyFont="1" applyAlignment="1">
      <alignment horizontal="left" vertical="center" wrapText="1"/>
    </xf>
    <xf numFmtId="4" fontId="26" fillId="0" borderId="0" xfId="0" applyNumberFormat="1" applyFont="1" applyAlignment="1">
      <alignment horizontal="left" vertical="center" wrapText="1"/>
    </xf>
    <xf numFmtId="0" fontId="5" fillId="2" borderId="0" xfId="0" applyFont="1" applyFill="1"/>
    <xf numFmtId="4" fontId="14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" fontId="22" fillId="0" borderId="0" xfId="0" applyNumberFormat="1" applyFont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14" fillId="4" borderId="1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" fillId="0" borderId="0" xfId="2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8" fillId="0" borderId="0" xfId="0" applyFont="1"/>
    <xf numFmtId="0" fontId="4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4" fontId="32" fillId="3" borderId="0" xfId="0" applyNumberFormat="1" applyFont="1" applyFill="1" applyAlignment="1">
      <alignment horizontal="left" vertical="center" wrapText="1"/>
    </xf>
    <xf numFmtId="49" fontId="42" fillId="0" borderId="0" xfId="0" applyNumberFormat="1" applyFont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" fontId="32" fillId="4" borderId="1" xfId="0" applyNumberFormat="1" applyFont="1" applyFill="1" applyBorder="1" applyAlignment="1">
      <alignment horizontal="center" vertical="center"/>
    </xf>
    <xf numFmtId="4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164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4" borderId="1" xfId="0" applyNumberFormat="1" applyFont="1" applyFill="1" applyBorder="1" applyAlignment="1">
      <alignment horizontal="center" vertical="center"/>
    </xf>
    <xf numFmtId="4" fontId="44" fillId="0" borderId="0" xfId="0" applyNumberFormat="1" applyFont="1" applyAlignment="1">
      <alignment horizontal="left" vertical="center"/>
    </xf>
    <xf numFmtId="4" fontId="45" fillId="0" borderId="0" xfId="0" applyNumberFormat="1" applyFont="1" applyAlignment="1">
      <alignment horizontal="left" vertical="center"/>
    </xf>
    <xf numFmtId="4" fontId="46" fillId="3" borderId="0" xfId="0" applyNumberFormat="1" applyFont="1" applyFill="1"/>
    <xf numFmtId="4" fontId="47" fillId="4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>
      <alignment horizontal="center" vertical="center" wrapText="1"/>
    </xf>
    <xf numFmtId="0" fontId="48" fillId="3" borderId="0" xfId="0" applyFont="1" applyFill="1"/>
    <xf numFmtId="49" fontId="3" fillId="0" borderId="1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164" fontId="16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33" fillId="6" borderId="1" xfId="0" applyNumberFormat="1" applyFont="1" applyFill="1" applyBorder="1" applyAlignment="1">
      <alignment horizontal="center" vertical="center"/>
    </xf>
    <xf numFmtId="4" fontId="16" fillId="6" borderId="1" xfId="0" applyNumberFormat="1" applyFont="1" applyFill="1" applyBorder="1" applyAlignment="1">
      <alignment horizontal="center" vertical="center" wrapText="1"/>
    </xf>
    <xf numFmtId="4" fontId="33" fillId="6" borderId="1" xfId="0" applyNumberFormat="1" applyFont="1" applyFill="1" applyBorder="1" applyAlignment="1">
      <alignment horizontal="center" vertical="center" wrapText="1"/>
    </xf>
    <xf numFmtId="49" fontId="29" fillId="6" borderId="1" xfId="0" applyNumberFormat="1" applyFont="1" applyFill="1" applyBorder="1" applyAlignment="1">
      <alignment horizontal="center" vertical="center" wrapText="1"/>
    </xf>
    <xf numFmtId="4" fontId="26" fillId="6" borderId="1" xfId="0" applyNumberFormat="1" applyFont="1" applyFill="1" applyBorder="1" applyAlignment="1">
      <alignment horizontal="center" vertical="center" wrapText="1"/>
    </xf>
    <xf numFmtId="164" fontId="26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43" fillId="6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" fontId="2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4" fontId="3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22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4" fontId="3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0" borderId="1" xfId="1" applyNumberFormat="1" applyFont="1" applyFill="1" applyBorder="1" applyAlignment="1">
      <alignment horizontal="center" vertical="center" wrapText="1"/>
    </xf>
    <xf numFmtId="4" fontId="32" fillId="0" borderId="1" xfId="1" applyNumberFormat="1" applyFont="1" applyFill="1" applyBorder="1" applyAlignment="1">
      <alignment horizontal="center" vertical="center" wrapText="1"/>
    </xf>
    <xf numFmtId="4" fontId="33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center" vertical="center"/>
    </xf>
    <xf numFmtId="49" fontId="29" fillId="0" borderId="0" xfId="0" applyNumberFormat="1" applyFont="1" applyFill="1" applyAlignment="1">
      <alignment horizontal="center" wrapText="1"/>
    </xf>
    <xf numFmtId="49" fontId="29" fillId="0" borderId="3" xfId="0" applyNumberFormat="1" applyFont="1" applyFill="1" applyBorder="1" applyAlignment="1">
      <alignment horizontal="center" vertical="top" wrapText="1"/>
    </xf>
    <xf numFmtId="4" fontId="32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 wrapText="1"/>
    </xf>
    <xf numFmtId="4" fontId="33" fillId="0" borderId="2" xfId="0" applyNumberFormat="1" applyFont="1" applyFill="1" applyBorder="1" applyAlignment="1">
      <alignment horizontal="center" vertical="center" wrapText="1"/>
    </xf>
    <xf numFmtId="4" fontId="33" fillId="0" borderId="2" xfId="0" applyNumberFormat="1" applyFont="1" applyFill="1" applyBorder="1" applyAlignment="1">
      <alignment horizontal="center" vertical="center"/>
    </xf>
    <xf numFmtId="4" fontId="43" fillId="0" borderId="1" xfId="0" applyNumberFormat="1" applyFont="1" applyFill="1" applyBorder="1" applyAlignment="1">
      <alignment horizontal="center" vertical="center" wrapText="1"/>
    </xf>
    <xf numFmtId="164" fontId="4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 wrapText="1"/>
    </xf>
    <xf numFmtId="164" fontId="3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0" borderId="6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>
      <alignment horizontal="center" vertical="top" wrapText="1"/>
    </xf>
    <xf numFmtId="4" fontId="49" fillId="0" borderId="0" xfId="0" applyNumberFormat="1" applyFont="1"/>
    <xf numFmtId="4" fontId="29" fillId="0" borderId="0" xfId="0" applyNumberFormat="1" applyFont="1" applyAlignment="1">
      <alignment horizontal="left" vertical="center"/>
    </xf>
    <xf numFmtId="49" fontId="50" fillId="0" borderId="1" xfId="0" applyNumberFormat="1" applyFont="1" applyBorder="1" applyAlignment="1">
      <alignment horizontal="center" vertical="center" wrapText="1"/>
    </xf>
    <xf numFmtId="4" fontId="51" fillId="0" borderId="0" xfId="0" applyNumberFormat="1" applyFont="1" applyAlignment="1">
      <alignment horizontal="left" vertical="center"/>
    </xf>
    <xf numFmtId="4" fontId="52" fillId="0" borderId="0" xfId="0" applyNumberFormat="1" applyFont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 wrapText="1"/>
    </xf>
    <xf numFmtId="4" fontId="53" fillId="0" borderId="0" xfId="0" applyNumberFormat="1" applyFont="1" applyAlignment="1">
      <alignment horizontal="left" vertical="center"/>
    </xf>
    <xf numFmtId="4" fontId="43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 wrapText="1"/>
    </xf>
    <xf numFmtId="164" fontId="3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/>
    </xf>
    <xf numFmtId="4" fontId="3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4" fillId="0" borderId="1" xfId="0" applyNumberFormat="1" applyFont="1" applyFill="1" applyBorder="1" applyAlignment="1">
      <alignment horizontal="center" vertical="center"/>
    </xf>
    <xf numFmtId="0" fontId="13" fillId="0" borderId="3" xfId="1" applyFont="1" applyFill="1" applyBorder="1" applyAlignment="1" applyProtection="1">
      <alignment horizontal="center" vertical="top" wrapText="1"/>
      <protection locked="0"/>
    </xf>
    <xf numFmtId="49" fontId="3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horizontal="center" vertical="center"/>
    </xf>
    <xf numFmtId="164" fontId="32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4" fontId="22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0" fontId="29" fillId="0" borderId="1" xfId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4" fontId="1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49" fontId="29" fillId="0" borderId="2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42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 vertical="center" wrapText="1"/>
    </xf>
    <xf numFmtId="164" fontId="26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6" fillId="0" borderId="2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Обычный" xfId="0" builtinId="0"/>
    <cellStyle name="Обычный 3" xfId="3" xr:uid="{00000000-0005-0000-0000-000001000000}"/>
    <cellStyle name="Обычный_Додаток 2 до бюджету 2000 року" xfId="1" xr:uid="{00000000-0005-0000-0000-000003000000}"/>
    <cellStyle name="Обычный_Додаток №1" xfId="2" xr:uid="{00000000-0005-0000-0000-000004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40"/>
  <sheetViews>
    <sheetView tabSelected="1" view="pageBreakPreview" topLeftCell="B62" zoomScale="25" zoomScaleNormal="20" zoomScaleSheetLayoutView="25" zoomScalePageLayoutView="10" workbookViewId="0">
      <selection activeCell="G72" activeCellId="3" sqref="G71 G70 G69 G72"/>
    </sheetView>
  </sheetViews>
  <sheetFormatPr defaultColWidth="9.140625" defaultRowHeight="12.75" x14ac:dyDescent="0.2"/>
  <cols>
    <col min="1" max="1" width="48" style="1" hidden="1" customWidth="1"/>
    <col min="2" max="2" width="52.5703125" style="1" customWidth="1"/>
    <col min="3" max="3" width="59.28515625" style="1" customWidth="1"/>
    <col min="4" max="4" width="106.28515625" style="1" customWidth="1"/>
    <col min="5" max="5" width="83" style="1" hidden="1" customWidth="1"/>
    <col min="6" max="6" width="59.7109375" style="1" customWidth="1"/>
    <col min="7" max="7" width="63.28515625" style="1" customWidth="1"/>
    <col min="8" max="8" width="41.85546875" style="1" customWidth="1"/>
    <col min="9" max="9" width="57.28515625" style="50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6.28515625" style="50" customWidth="1"/>
    <col min="15" max="15" width="66.42578125" style="5" hidden="1" customWidth="1"/>
    <col min="16" max="16" width="49.28515625" style="5" hidden="1" customWidth="1"/>
    <col min="17" max="17" width="40.7109375" hidden="1" customWidth="1"/>
    <col min="18" max="18" width="43.5703125" hidden="1" customWidth="1"/>
    <col min="19" max="19" width="36.42578125" hidden="1" customWidth="1"/>
    <col min="20" max="20" width="31.42578125" hidden="1" customWidth="1"/>
    <col min="21" max="21" width="33.5703125" hidden="1" customWidth="1"/>
    <col min="22" max="22" width="28.5703125" hidden="1" customWidth="1"/>
    <col min="23" max="23" width="23.5703125" hidden="1" customWidth="1"/>
    <col min="27" max="27" width="145.5703125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163" t="s">
        <v>450</v>
      </c>
      <c r="L2" s="164"/>
      <c r="M2" s="164"/>
      <c r="N2" s="164"/>
      <c r="O2" s="51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165" t="s">
        <v>451</v>
      </c>
      <c r="K3" s="166"/>
      <c r="L3" s="166"/>
      <c r="M3" s="166"/>
      <c r="N3" s="166"/>
      <c r="O3" s="52"/>
    </row>
    <row r="4" spans="1:16" ht="40.700000000000003" customHeight="1" x14ac:dyDescent="0.2">
      <c r="A4" s="2"/>
      <c r="B4" s="2"/>
      <c r="C4" s="2"/>
      <c r="D4" s="2"/>
      <c r="E4" s="4"/>
      <c r="F4" s="3"/>
      <c r="G4" s="3"/>
      <c r="H4" s="3"/>
      <c r="I4" s="3"/>
      <c r="J4" s="3"/>
      <c r="K4" s="3"/>
      <c r="L4" s="3"/>
      <c r="M4" s="163"/>
      <c r="N4" s="163"/>
    </row>
    <row r="5" spans="1:16" ht="45.75" hidden="1" x14ac:dyDescent="0.2">
      <c r="A5" s="2"/>
      <c r="B5" s="2"/>
      <c r="C5" s="2"/>
      <c r="D5" s="2"/>
      <c r="E5" s="4"/>
      <c r="F5" s="3"/>
      <c r="G5" s="3"/>
      <c r="H5" s="3"/>
      <c r="I5" s="3"/>
      <c r="J5" s="3"/>
      <c r="K5" s="3"/>
      <c r="L5" s="3"/>
      <c r="M5" s="2"/>
      <c r="N5" s="4"/>
    </row>
    <row r="6" spans="1:16" ht="45" x14ac:dyDescent="0.2">
      <c r="A6" s="183" t="s">
        <v>452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6" ht="45" x14ac:dyDescent="0.2">
      <c r="A7" s="183" t="s">
        <v>531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</row>
    <row r="8" spans="1:16" ht="4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33.75" customHeight="1" x14ac:dyDescent="0.65">
      <c r="A9" s="184">
        <v>22564000000</v>
      </c>
      <c r="B9" s="18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6" ht="45.75" hidden="1" x14ac:dyDescent="0.2">
      <c r="A10" s="167" t="s">
        <v>0</v>
      </c>
      <c r="B10" s="168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6" ht="53.45" customHeight="1" thickBot="1" x14ac:dyDescent="0.25">
      <c r="A11" s="3"/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  <c r="N11" s="6" t="s">
        <v>1</v>
      </c>
    </row>
    <row r="12" spans="1:16" ht="62.45" customHeight="1" thickTop="1" thickBot="1" x14ac:dyDescent="0.25">
      <c r="A12" s="169" t="s">
        <v>2</v>
      </c>
      <c r="B12" s="169" t="s">
        <v>3</v>
      </c>
      <c r="C12" s="169" t="s">
        <v>4</v>
      </c>
      <c r="D12" s="169" t="s">
        <v>453</v>
      </c>
      <c r="E12" s="170" t="s">
        <v>5</v>
      </c>
      <c r="F12" s="170"/>
      <c r="G12" s="170"/>
      <c r="H12" s="170"/>
      <c r="I12" s="170" t="s">
        <v>6</v>
      </c>
      <c r="J12" s="170"/>
      <c r="K12" s="170"/>
      <c r="L12" s="170"/>
      <c r="M12" s="174"/>
      <c r="N12" s="169" t="s">
        <v>532</v>
      </c>
    </row>
    <row r="13" spans="1:16" ht="96" customHeight="1" thickTop="1" thickBot="1" x14ac:dyDescent="0.25">
      <c r="A13" s="170"/>
      <c r="B13" s="171"/>
      <c r="C13" s="171"/>
      <c r="D13" s="170"/>
      <c r="E13" s="169" t="s">
        <v>454</v>
      </c>
      <c r="F13" s="169" t="s">
        <v>534</v>
      </c>
      <c r="G13" s="169" t="s">
        <v>533</v>
      </c>
      <c r="H13" s="172" t="s">
        <v>455</v>
      </c>
      <c r="I13" s="169" t="s">
        <v>534</v>
      </c>
      <c r="J13" s="169" t="s">
        <v>533</v>
      </c>
      <c r="K13" s="172" t="s">
        <v>455</v>
      </c>
      <c r="L13" s="7"/>
      <c r="M13" s="172"/>
      <c r="N13" s="169"/>
    </row>
    <row r="14" spans="1:16" ht="208.5" customHeight="1" thickTop="1" thickBot="1" x14ac:dyDescent="0.25">
      <c r="A14" s="171"/>
      <c r="B14" s="171"/>
      <c r="C14" s="171"/>
      <c r="D14" s="171"/>
      <c r="E14" s="169"/>
      <c r="F14" s="169"/>
      <c r="G14" s="169"/>
      <c r="H14" s="173"/>
      <c r="I14" s="169"/>
      <c r="J14" s="169"/>
      <c r="K14" s="173"/>
      <c r="L14" s="7"/>
      <c r="M14" s="173"/>
      <c r="N14" s="169"/>
    </row>
    <row r="15" spans="1:16" s="11" customFormat="1" ht="47.25" thickTop="1" thickBot="1" x14ac:dyDescent="0.25">
      <c r="A15" s="8" t="s">
        <v>7</v>
      </c>
      <c r="B15" s="8" t="s">
        <v>7</v>
      </c>
      <c r="C15" s="8" t="s">
        <v>8</v>
      </c>
      <c r="D15" s="8" t="s">
        <v>9</v>
      </c>
      <c r="E15" s="8" t="s">
        <v>9</v>
      </c>
      <c r="F15" s="8" t="s">
        <v>10</v>
      </c>
      <c r="G15" s="8" t="s">
        <v>11</v>
      </c>
      <c r="H15" s="8" t="s">
        <v>12</v>
      </c>
      <c r="I15" s="8" t="s">
        <v>527</v>
      </c>
      <c r="J15" s="8" t="s">
        <v>528</v>
      </c>
      <c r="K15" s="8" t="s">
        <v>529</v>
      </c>
      <c r="L15" s="8"/>
      <c r="M15" s="8"/>
      <c r="N15" s="8" t="s">
        <v>530</v>
      </c>
      <c r="O15" s="9"/>
      <c r="P15" s="10"/>
    </row>
    <row r="16" spans="1:16" s="14" customFormat="1" ht="88.5" customHeight="1" thickTop="1" thickBot="1" x14ac:dyDescent="0.25">
      <c r="A16" s="8" t="s">
        <v>13</v>
      </c>
      <c r="B16" s="70" t="s">
        <v>14</v>
      </c>
      <c r="C16" s="70"/>
      <c r="D16" s="71" t="s">
        <v>15</v>
      </c>
      <c r="E16" s="72">
        <f>SUM(E17:E20)</f>
        <v>218470434</v>
      </c>
      <c r="F16" s="72">
        <f>SUM(F17:F20)</f>
        <v>220260907</v>
      </c>
      <c r="G16" s="72">
        <f t="shared" ref="G16:J16" si="0">SUM(G17:G20)</f>
        <v>216830073.68999997</v>
      </c>
      <c r="H16" s="73">
        <f t="shared" ref="H16:H30" si="1">G16/F16</f>
        <v>0.98442377561806715</v>
      </c>
      <c r="I16" s="72">
        <f t="shared" si="0"/>
        <v>5338830.4600000009</v>
      </c>
      <c r="J16" s="72">
        <f t="shared" si="0"/>
        <v>4900643.26</v>
      </c>
      <c r="K16" s="73">
        <f>J16/I16</f>
        <v>0.91792449614517235</v>
      </c>
      <c r="L16" s="72"/>
      <c r="M16" s="72"/>
      <c r="N16" s="74">
        <f t="shared" ref="N16:N30" si="2">G16+J16</f>
        <v>221730716.94999996</v>
      </c>
      <c r="O16" s="67" t="b">
        <f>N16=N17+N18+N19+N20</f>
        <v>1</v>
      </c>
      <c r="P16" s="13"/>
    </row>
    <row r="17" spans="1:18" ht="321.75" thickTop="1" thickBot="1" x14ac:dyDescent="0.25">
      <c r="A17" s="15" t="s">
        <v>16</v>
      </c>
      <c r="B17" s="76" t="s">
        <v>17</v>
      </c>
      <c r="C17" s="76" t="s">
        <v>18</v>
      </c>
      <c r="D17" s="76" t="s">
        <v>19</v>
      </c>
      <c r="E17" s="60">
        <v>102582000</v>
      </c>
      <c r="F17" s="60">
        <v>109487900</v>
      </c>
      <c r="G17" s="60">
        <v>107953813.52</v>
      </c>
      <c r="H17" s="61">
        <f t="shared" si="1"/>
        <v>0.98598852950874016</v>
      </c>
      <c r="I17" s="60">
        <v>3226406.47</v>
      </c>
      <c r="J17" s="109">
        <v>2831610.74</v>
      </c>
      <c r="K17" s="61">
        <f t="shared" ref="K17:K20" si="3">J17/I17</f>
        <v>0.87763608408583438</v>
      </c>
      <c r="L17" s="110"/>
      <c r="M17" s="104"/>
      <c r="N17" s="62">
        <f t="shared" si="2"/>
        <v>110785424.25999999</v>
      </c>
      <c r="O17" s="16"/>
      <c r="P17" s="17"/>
    </row>
    <row r="18" spans="1:18" ht="230.25" thickTop="1" thickBot="1" x14ac:dyDescent="0.25">
      <c r="A18" s="15" t="s">
        <v>20</v>
      </c>
      <c r="B18" s="76" t="s">
        <v>21</v>
      </c>
      <c r="C18" s="76" t="s">
        <v>18</v>
      </c>
      <c r="D18" s="76" t="s">
        <v>22</v>
      </c>
      <c r="E18" s="60">
        <f>6253540+2447825+52443540+7544995+8390737+3309607+6728615+3586430+5979385+7074725+8609205</f>
        <v>112368604</v>
      </c>
      <c r="F18" s="60">
        <v>107466107</v>
      </c>
      <c r="G18" s="60">
        <v>105731022.94</v>
      </c>
      <c r="H18" s="61">
        <f t="shared" si="1"/>
        <v>0.983854592778726</v>
      </c>
      <c r="I18" s="60">
        <f>1232515.34+163248+144000+239700+36000+64000+100000+65000</f>
        <v>2044463.34</v>
      </c>
      <c r="J18" s="109">
        <v>2003744.34</v>
      </c>
      <c r="K18" s="61">
        <f t="shared" si="3"/>
        <v>0.98008328190418914</v>
      </c>
      <c r="L18" s="110"/>
      <c r="M18" s="104"/>
      <c r="N18" s="62">
        <f t="shared" si="2"/>
        <v>107734767.28</v>
      </c>
      <c r="O18" s="16"/>
      <c r="P18" s="17"/>
    </row>
    <row r="19" spans="1:18" ht="184.5" thickTop="1" thickBot="1" x14ac:dyDescent="0.25">
      <c r="A19" s="18" t="s">
        <v>23</v>
      </c>
      <c r="B19" s="58" t="s">
        <v>24</v>
      </c>
      <c r="C19" s="58" t="s">
        <v>25</v>
      </c>
      <c r="D19" s="58" t="s">
        <v>26</v>
      </c>
      <c r="E19" s="60">
        <f>49000+10000+12000+8000+5000+7000+5080+5000+3000</f>
        <v>104080</v>
      </c>
      <c r="F19" s="60">
        <v>91150</v>
      </c>
      <c r="G19" s="60">
        <v>66593</v>
      </c>
      <c r="H19" s="61">
        <f t="shared" si="1"/>
        <v>0.73058694459681839</v>
      </c>
      <c r="I19" s="95"/>
      <c r="J19" s="111"/>
      <c r="K19" s="110"/>
      <c r="L19" s="110"/>
      <c r="M19" s="104"/>
      <c r="N19" s="62">
        <f t="shared" si="2"/>
        <v>66593</v>
      </c>
      <c r="O19" s="16"/>
      <c r="P19" s="19"/>
    </row>
    <row r="20" spans="1:18" ht="111" customHeight="1" thickTop="1" thickBot="1" x14ac:dyDescent="0.25">
      <c r="A20" s="18" t="s">
        <v>27</v>
      </c>
      <c r="B20" s="58" t="s">
        <v>28</v>
      </c>
      <c r="C20" s="58" t="s">
        <v>29</v>
      </c>
      <c r="D20" s="58" t="s">
        <v>30</v>
      </c>
      <c r="E20" s="62">
        <f>3135750+30000+100000+150000</f>
        <v>3415750</v>
      </c>
      <c r="F20" s="62">
        <v>3215750</v>
      </c>
      <c r="G20" s="62">
        <v>3078644.23</v>
      </c>
      <c r="H20" s="61">
        <f t="shared" si="1"/>
        <v>0.95736429448806659</v>
      </c>
      <c r="I20" s="62">
        <v>67960.649999999994</v>
      </c>
      <c r="J20" s="62">
        <v>65288.18</v>
      </c>
      <c r="K20" s="61">
        <f t="shared" si="3"/>
        <v>0.96067621483902821</v>
      </c>
      <c r="L20" s="100"/>
      <c r="M20" s="104"/>
      <c r="N20" s="62">
        <f t="shared" si="2"/>
        <v>3143932.41</v>
      </c>
      <c r="O20" s="16"/>
      <c r="P20" s="19"/>
    </row>
    <row r="21" spans="1:18" ht="83.25" customHeight="1" thickTop="1" thickBot="1" x14ac:dyDescent="0.25">
      <c r="A21" s="8" t="s">
        <v>64</v>
      </c>
      <c r="B21" s="70" t="s">
        <v>65</v>
      </c>
      <c r="C21" s="70"/>
      <c r="D21" s="71" t="s">
        <v>66</v>
      </c>
      <c r="E21" s="72">
        <f>SUM(E22:E53)-E23-E27-E36-E39-E42-E46-E51-E31</f>
        <v>1670532397.9499996</v>
      </c>
      <c r="F21" s="72">
        <f>SUM(F22:F53)-F23-F27-F36-F39-F42-F46-F51-F31</f>
        <v>1687011889.29</v>
      </c>
      <c r="G21" s="72">
        <f>SUM(G22:G53)-G23-G27-G36-G39-G42-G46-G51-G31</f>
        <v>1669652727.1900003</v>
      </c>
      <c r="H21" s="73">
        <f t="shared" si="1"/>
        <v>0.98971011276790377</v>
      </c>
      <c r="I21" s="72">
        <f>SUM(I22:I53)-I23-I27-I36-I39-I42-I46-I51-I31</f>
        <v>202675732.74999991</v>
      </c>
      <c r="J21" s="72">
        <f>SUM(J22:J53)-J23-J27-J36-J39-J42-J46-J51-J31</f>
        <v>188648666.48999998</v>
      </c>
      <c r="K21" s="73">
        <f>J21/I21</f>
        <v>0.93079059801746322</v>
      </c>
      <c r="L21" s="72"/>
      <c r="M21" s="72"/>
      <c r="N21" s="74">
        <f>G21+J21</f>
        <v>1858301393.6800003</v>
      </c>
      <c r="O21" s="66" t="b">
        <f>N21=N22+N24+N25+N26+N28+N34+N35+N37+N38+N40+N41+N43+N44+N45+N47+N48+N49+N50+N53+N33+N52+N29+N30</f>
        <v>1</v>
      </c>
      <c r="P21" s="12"/>
    </row>
    <row r="22" spans="1:18" ht="99" customHeight="1" thickTop="1" thickBot="1" x14ac:dyDescent="0.6">
      <c r="A22" s="15" t="s">
        <v>67</v>
      </c>
      <c r="B22" s="76" t="s">
        <v>68</v>
      </c>
      <c r="C22" s="76" t="s">
        <v>69</v>
      </c>
      <c r="D22" s="76" t="s">
        <v>70</v>
      </c>
      <c r="E22" s="62">
        <v>469872991</v>
      </c>
      <c r="F22" s="62">
        <v>467866315</v>
      </c>
      <c r="G22" s="62">
        <v>464430729.44</v>
      </c>
      <c r="H22" s="61">
        <f t="shared" si="1"/>
        <v>0.99265690764679226</v>
      </c>
      <c r="I22" s="62">
        <v>61210109.009999998</v>
      </c>
      <c r="J22" s="62">
        <v>54843870.439999998</v>
      </c>
      <c r="K22" s="61">
        <f t="shared" ref="K22:K25" si="4">J22/I22</f>
        <v>0.89599367370902838</v>
      </c>
      <c r="L22" s="62"/>
      <c r="M22" s="113"/>
      <c r="N22" s="62">
        <f t="shared" si="2"/>
        <v>519274599.88</v>
      </c>
      <c r="O22" s="22"/>
      <c r="P22" s="12"/>
    </row>
    <row r="23" spans="1:18" s="20" customFormat="1" ht="138.75" thickTop="1" thickBot="1" x14ac:dyDescent="0.65">
      <c r="A23" s="23" t="s">
        <v>71</v>
      </c>
      <c r="B23" s="57" t="s">
        <v>72</v>
      </c>
      <c r="C23" s="57"/>
      <c r="D23" s="57" t="s">
        <v>73</v>
      </c>
      <c r="E23" s="63">
        <f>E24+E25+E26</f>
        <v>316411279.95999998</v>
      </c>
      <c r="F23" s="63">
        <f>F24+F25+F26</f>
        <v>326816325.95999998</v>
      </c>
      <c r="G23" s="63">
        <f>G24+G25+G26</f>
        <v>321063949.06000006</v>
      </c>
      <c r="H23" s="64">
        <f t="shared" si="1"/>
        <v>0.98239874680953376</v>
      </c>
      <c r="I23" s="63">
        <f>I24+I25+I26</f>
        <v>83145532.460000008</v>
      </c>
      <c r="J23" s="63">
        <f>J24+J25+J26</f>
        <v>78238717.780000001</v>
      </c>
      <c r="K23" s="64">
        <f t="shared" si="4"/>
        <v>0.94098522753028735</v>
      </c>
      <c r="L23" s="63"/>
      <c r="M23" s="114"/>
      <c r="N23" s="63">
        <f>G23+J23</f>
        <v>399302666.84000003</v>
      </c>
      <c r="O23" s="130"/>
      <c r="P23" s="131"/>
    </row>
    <row r="24" spans="1:18" ht="138.75" thickTop="1" thickBot="1" x14ac:dyDescent="0.6">
      <c r="A24" s="15" t="s">
        <v>74</v>
      </c>
      <c r="B24" s="76" t="s">
        <v>75</v>
      </c>
      <c r="C24" s="76" t="s">
        <v>76</v>
      </c>
      <c r="D24" s="76" t="s">
        <v>77</v>
      </c>
      <c r="E24" s="62">
        <v>289134512.13999999</v>
      </c>
      <c r="F24" s="62">
        <v>296784261.13999999</v>
      </c>
      <c r="G24" s="62">
        <v>293046323.23000002</v>
      </c>
      <c r="H24" s="61">
        <f t="shared" si="1"/>
        <v>0.98740520169215884</v>
      </c>
      <c r="I24" s="62">
        <v>82205109.680000007</v>
      </c>
      <c r="J24" s="62">
        <v>77339747.140000001</v>
      </c>
      <c r="K24" s="61">
        <f t="shared" si="4"/>
        <v>0.94081435376779599</v>
      </c>
      <c r="L24" s="62"/>
      <c r="M24" s="113"/>
      <c r="N24" s="62">
        <f t="shared" si="2"/>
        <v>370386070.37</v>
      </c>
      <c r="O24" s="22"/>
      <c r="P24" s="13"/>
      <c r="R24" s="24"/>
    </row>
    <row r="25" spans="1:18" ht="276" thickTop="1" thickBot="1" x14ac:dyDescent="0.25">
      <c r="A25" s="15" t="s">
        <v>78</v>
      </c>
      <c r="B25" s="76" t="s">
        <v>79</v>
      </c>
      <c r="C25" s="76" t="s">
        <v>80</v>
      </c>
      <c r="D25" s="76" t="s">
        <v>81</v>
      </c>
      <c r="E25" s="62">
        <v>23001882</v>
      </c>
      <c r="F25" s="62">
        <v>22427332</v>
      </c>
      <c r="G25" s="62">
        <v>21470114.789999999</v>
      </c>
      <c r="H25" s="61">
        <f t="shared" si="1"/>
        <v>0.95731916707702902</v>
      </c>
      <c r="I25" s="62">
        <v>940422.78</v>
      </c>
      <c r="J25" s="62">
        <v>898970.64</v>
      </c>
      <c r="K25" s="61">
        <f t="shared" si="4"/>
        <v>0.95592180359561263</v>
      </c>
      <c r="L25" s="62"/>
      <c r="M25" s="113"/>
      <c r="N25" s="62">
        <f t="shared" si="2"/>
        <v>22369085.43</v>
      </c>
      <c r="P25" s="13"/>
    </row>
    <row r="26" spans="1:18" ht="184.5" thickTop="1" thickBot="1" x14ac:dyDescent="0.25">
      <c r="A26" s="15"/>
      <c r="B26" s="76" t="s">
        <v>478</v>
      </c>
      <c r="C26" s="76" t="s">
        <v>80</v>
      </c>
      <c r="D26" s="76" t="s">
        <v>479</v>
      </c>
      <c r="E26" s="62">
        <v>4274885.82</v>
      </c>
      <c r="F26" s="62">
        <v>7604732.8200000003</v>
      </c>
      <c r="G26" s="62">
        <v>6547511.04</v>
      </c>
      <c r="H26" s="61">
        <f t="shared" si="1"/>
        <v>0.86097844526245959</v>
      </c>
      <c r="I26" s="62"/>
      <c r="J26" s="62"/>
      <c r="K26" s="61"/>
      <c r="L26" s="62"/>
      <c r="M26" s="113"/>
      <c r="N26" s="62">
        <f t="shared" si="2"/>
        <v>6547511.04</v>
      </c>
      <c r="P26" s="13"/>
    </row>
    <row r="27" spans="1:18" s="20" customFormat="1" ht="138.75" thickTop="1" thickBot="1" x14ac:dyDescent="0.25">
      <c r="A27" s="23" t="s">
        <v>82</v>
      </c>
      <c r="B27" s="57" t="s">
        <v>83</v>
      </c>
      <c r="C27" s="57"/>
      <c r="D27" s="57" t="s">
        <v>84</v>
      </c>
      <c r="E27" s="63">
        <f>E28</f>
        <v>608795058</v>
      </c>
      <c r="F27" s="63">
        <f>SUM(F28:F30)</f>
        <v>611993858</v>
      </c>
      <c r="G27" s="63">
        <f>SUM(G28:G30)</f>
        <v>606823627.95000005</v>
      </c>
      <c r="H27" s="64">
        <f t="shared" si="1"/>
        <v>0.99155182689758314</v>
      </c>
      <c r="I27" s="63">
        <f>SUM(I28:I30)</f>
        <v>0</v>
      </c>
      <c r="J27" s="63">
        <f>SUM(J28:J30)</f>
        <v>0</v>
      </c>
      <c r="K27" s="64">
        <v>0</v>
      </c>
      <c r="L27" s="63"/>
      <c r="M27" s="63"/>
      <c r="N27" s="63">
        <f>G27+J27</f>
        <v>606823627.95000005</v>
      </c>
      <c r="O27" s="132" t="s">
        <v>456</v>
      </c>
      <c r="P27" s="133"/>
    </row>
    <row r="28" spans="1:18" ht="138.75" thickTop="1" thickBot="1" x14ac:dyDescent="0.25">
      <c r="A28" s="15" t="s">
        <v>85</v>
      </c>
      <c r="B28" s="76" t="s">
        <v>86</v>
      </c>
      <c r="C28" s="76" t="s">
        <v>76</v>
      </c>
      <c r="D28" s="76" t="s">
        <v>77</v>
      </c>
      <c r="E28" s="62">
        <v>608795058</v>
      </c>
      <c r="F28" s="62">
        <v>608795058</v>
      </c>
      <c r="G28" s="62">
        <v>605539183.61000001</v>
      </c>
      <c r="H28" s="61">
        <f t="shared" si="1"/>
        <v>0.99465193689203701</v>
      </c>
      <c r="I28" s="100"/>
      <c r="J28" s="100"/>
      <c r="K28" s="100"/>
      <c r="L28" s="100"/>
      <c r="M28" s="104"/>
      <c r="N28" s="62">
        <f t="shared" si="2"/>
        <v>605539183.61000001</v>
      </c>
      <c r="P28" s="19"/>
    </row>
    <row r="29" spans="1:18" ht="276" thickTop="1" thickBot="1" x14ac:dyDescent="0.25">
      <c r="A29" s="78"/>
      <c r="B29" s="88" t="s">
        <v>535</v>
      </c>
      <c r="C29" s="76" t="s">
        <v>80</v>
      </c>
      <c r="D29" s="76" t="s">
        <v>81</v>
      </c>
      <c r="E29" s="77"/>
      <c r="F29" s="77">
        <v>840000</v>
      </c>
      <c r="G29" s="77">
        <v>805436.14</v>
      </c>
      <c r="H29" s="61">
        <f t="shared" si="1"/>
        <v>0.95885254761904759</v>
      </c>
      <c r="I29" s="119"/>
      <c r="J29" s="119"/>
      <c r="K29" s="119"/>
      <c r="L29" s="119"/>
      <c r="M29" s="120"/>
      <c r="N29" s="62">
        <f t="shared" si="2"/>
        <v>805436.14</v>
      </c>
      <c r="P29" s="19"/>
    </row>
    <row r="30" spans="1:18" ht="184.5" thickTop="1" thickBot="1" x14ac:dyDescent="0.25">
      <c r="A30" s="78"/>
      <c r="B30" s="88" t="s">
        <v>536</v>
      </c>
      <c r="C30" s="76" t="s">
        <v>80</v>
      </c>
      <c r="D30" s="76" t="s">
        <v>479</v>
      </c>
      <c r="E30" s="77"/>
      <c r="F30" s="77">
        <v>2358800</v>
      </c>
      <c r="G30" s="77">
        <v>479008.2</v>
      </c>
      <c r="H30" s="61">
        <f t="shared" si="1"/>
        <v>0.20307283364422588</v>
      </c>
      <c r="I30" s="119"/>
      <c r="J30" s="119"/>
      <c r="K30" s="119"/>
      <c r="L30" s="119"/>
      <c r="M30" s="120"/>
      <c r="N30" s="62">
        <f t="shared" si="2"/>
        <v>479008.2</v>
      </c>
      <c r="P30" s="19"/>
    </row>
    <row r="31" spans="1:18" s="20" customFormat="1" ht="409.6" thickTop="1" x14ac:dyDescent="0.65">
      <c r="A31" s="175" t="s">
        <v>87</v>
      </c>
      <c r="B31" s="177" t="s">
        <v>88</v>
      </c>
      <c r="C31" s="177"/>
      <c r="D31" s="115" t="s">
        <v>484</v>
      </c>
      <c r="E31" s="179">
        <f t="shared" ref="E31:I31" si="5">E33</f>
        <v>0</v>
      </c>
      <c r="F31" s="179">
        <f t="shared" ref="F31" si="6">F33</f>
        <v>0</v>
      </c>
      <c r="G31" s="179">
        <f t="shared" si="5"/>
        <v>0</v>
      </c>
      <c r="H31" s="179"/>
      <c r="I31" s="179">
        <f t="shared" si="5"/>
        <v>6197509.9900000002</v>
      </c>
      <c r="J31" s="179">
        <v>6048893.2400000002</v>
      </c>
      <c r="K31" s="194">
        <f t="shared" ref="K31:K33" si="7">J31/I31</f>
        <v>0.97601992570567842</v>
      </c>
      <c r="L31" s="179"/>
      <c r="M31" s="179"/>
      <c r="N31" s="179">
        <f>J31+G31</f>
        <v>6048893.2400000002</v>
      </c>
      <c r="O31" s="21"/>
      <c r="P31" s="134"/>
    </row>
    <row r="32" spans="1:18" s="20" customFormat="1" ht="229.5" customHeight="1" thickBot="1" x14ac:dyDescent="0.25">
      <c r="A32" s="176"/>
      <c r="B32" s="178"/>
      <c r="C32" s="178"/>
      <c r="D32" s="116" t="s">
        <v>485</v>
      </c>
      <c r="E32" s="178"/>
      <c r="F32" s="178"/>
      <c r="G32" s="178"/>
      <c r="H32" s="193"/>
      <c r="I32" s="178"/>
      <c r="J32" s="178"/>
      <c r="K32" s="178"/>
      <c r="L32" s="193"/>
      <c r="M32" s="193"/>
      <c r="N32" s="178"/>
      <c r="O32" s="21"/>
      <c r="P32" s="134"/>
    </row>
    <row r="33" spans="1:16" ht="138.75" thickTop="1" thickBot="1" x14ac:dyDescent="0.25">
      <c r="A33" s="15" t="s">
        <v>89</v>
      </c>
      <c r="B33" s="101" t="s">
        <v>90</v>
      </c>
      <c r="C33" s="101" t="s">
        <v>76</v>
      </c>
      <c r="D33" s="101" t="s">
        <v>91</v>
      </c>
      <c r="E33" s="62"/>
      <c r="F33" s="62"/>
      <c r="G33" s="62"/>
      <c r="H33" s="62"/>
      <c r="I33" s="62">
        <v>6197509.9900000002</v>
      </c>
      <c r="J33" s="62">
        <v>6048893.2400000002</v>
      </c>
      <c r="K33" s="61">
        <f t="shared" si="7"/>
        <v>0.97601992570567842</v>
      </c>
      <c r="L33" s="62"/>
      <c r="M33" s="113"/>
      <c r="N33" s="62">
        <f t="shared" ref="N33:N39" si="8">G33+J33</f>
        <v>6048893.2400000002</v>
      </c>
      <c r="P33" s="12"/>
    </row>
    <row r="34" spans="1:16" ht="184.5" thickTop="1" thickBot="1" x14ac:dyDescent="0.25">
      <c r="A34" s="15" t="s">
        <v>92</v>
      </c>
      <c r="B34" s="76" t="s">
        <v>93</v>
      </c>
      <c r="C34" s="76" t="s">
        <v>94</v>
      </c>
      <c r="D34" s="76" t="s">
        <v>95</v>
      </c>
      <c r="E34" s="62">
        <v>33303488</v>
      </c>
      <c r="F34" s="62">
        <v>32384358</v>
      </c>
      <c r="G34" s="62">
        <v>32250408.5</v>
      </c>
      <c r="H34" s="61">
        <f t="shared" ref="H34:H39" si="9">G34/F34</f>
        <v>0.99586375928774007</v>
      </c>
      <c r="I34" s="62">
        <v>4568905.82</v>
      </c>
      <c r="J34" s="62">
        <v>4300054.7</v>
      </c>
      <c r="K34" s="61">
        <f t="shared" ref="K34:K40" si="10">J34/I34</f>
        <v>0.94115634451839059</v>
      </c>
      <c r="L34" s="62"/>
      <c r="M34" s="113"/>
      <c r="N34" s="62">
        <f t="shared" si="8"/>
        <v>36550463.200000003</v>
      </c>
      <c r="P34" s="12"/>
    </row>
    <row r="35" spans="1:16" ht="93" thickTop="1" thickBot="1" x14ac:dyDescent="0.25">
      <c r="A35" s="15"/>
      <c r="B35" s="76" t="s">
        <v>270</v>
      </c>
      <c r="C35" s="76" t="s">
        <v>94</v>
      </c>
      <c r="D35" s="76" t="s">
        <v>271</v>
      </c>
      <c r="E35" s="62">
        <v>69368356</v>
      </c>
      <c r="F35" s="62">
        <v>70087686</v>
      </c>
      <c r="G35" s="62">
        <v>69753849.579999998</v>
      </c>
      <c r="H35" s="61">
        <f t="shared" si="9"/>
        <v>0.99523687484845769</v>
      </c>
      <c r="I35" s="62">
        <v>10926111.109999999</v>
      </c>
      <c r="J35" s="62">
        <v>10207928.359999999</v>
      </c>
      <c r="K35" s="61">
        <f t="shared" si="10"/>
        <v>0.93426913356732288</v>
      </c>
      <c r="L35" s="62"/>
      <c r="M35" s="113"/>
      <c r="N35" s="62">
        <f t="shared" si="8"/>
        <v>79961777.939999998</v>
      </c>
      <c r="P35" s="12"/>
    </row>
    <row r="36" spans="1:16" s="20" customFormat="1" ht="184.5" thickTop="1" thickBot="1" x14ac:dyDescent="0.25">
      <c r="A36" s="23" t="s">
        <v>96</v>
      </c>
      <c r="B36" s="57" t="s">
        <v>97</v>
      </c>
      <c r="C36" s="57"/>
      <c r="D36" s="57" t="s">
        <v>98</v>
      </c>
      <c r="E36" s="63">
        <f>E37+E38</f>
        <v>121996632.98999999</v>
      </c>
      <c r="F36" s="63">
        <f>F37+F38</f>
        <v>129410930.33</v>
      </c>
      <c r="G36" s="63">
        <f>G37+G38</f>
        <v>128965470.59999999</v>
      </c>
      <c r="H36" s="64">
        <f t="shared" si="9"/>
        <v>0.99655778898378933</v>
      </c>
      <c r="I36" s="63">
        <f t="shared" ref="I36:J36" si="11">I37+I38</f>
        <v>25045333.09</v>
      </c>
      <c r="J36" s="63">
        <f t="shared" si="11"/>
        <v>24135326.690000001</v>
      </c>
      <c r="K36" s="64">
        <f t="shared" si="10"/>
        <v>0.9636656299706654</v>
      </c>
      <c r="L36" s="63"/>
      <c r="M36" s="63"/>
      <c r="N36" s="63">
        <f t="shared" si="8"/>
        <v>153100797.28999999</v>
      </c>
      <c r="O36" s="21"/>
      <c r="P36" s="133"/>
    </row>
    <row r="37" spans="1:16" ht="230.25" thickTop="1" thickBot="1" x14ac:dyDescent="0.25">
      <c r="A37" s="15" t="s">
        <v>99</v>
      </c>
      <c r="B37" s="76" t="s">
        <v>100</v>
      </c>
      <c r="C37" s="76" t="s">
        <v>101</v>
      </c>
      <c r="D37" s="76" t="s">
        <v>102</v>
      </c>
      <c r="E37" s="62">
        <v>104225532.98999999</v>
      </c>
      <c r="F37" s="62">
        <v>111639830.33</v>
      </c>
      <c r="G37" s="62">
        <v>111276829.7</v>
      </c>
      <c r="H37" s="61">
        <f t="shared" si="9"/>
        <v>0.99674846666349282</v>
      </c>
      <c r="I37" s="62">
        <v>25045333.09</v>
      </c>
      <c r="J37" s="62">
        <v>24135326.690000001</v>
      </c>
      <c r="K37" s="61">
        <f t="shared" si="10"/>
        <v>0.9636656299706654</v>
      </c>
      <c r="L37" s="62"/>
      <c r="M37" s="113"/>
      <c r="N37" s="62">
        <f t="shared" si="8"/>
        <v>135412156.39000002</v>
      </c>
      <c r="P37" s="12"/>
    </row>
    <row r="38" spans="1:16" ht="230.25" thickTop="1" thickBot="1" x14ac:dyDescent="0.25">
      <c r="A38" s="15" t="s">
        <v>103</v>
      </c>
      <c r="B38" s="76" t="s">
        <v>104</v>
      </c>
      <c r="C38" s="76" t="s">
        <v>101</v>
      </c>
      <c r="D38" s="76" t="s">
        <v>105</v>
      </c>
      <c r="E38" s="62">
        <v>17771100</v>
      </c>
      <c r="F38" s="62">
        <v>17771100</v>
      </c>
      <c r="G38" s="62">
        <v>17688640.899999999</v>
      </c>
      <c r="H38" s="61">
        <f t="shared" si="9"/>
        <v>0.99535993269972023</v>
      </c>
      <c r="I38" s="62"/>
      <c r="J38" s="62"/>
      <c r="K38" s="62"/>
      <c r="L38" s="62"/>
      <c r="M38" s="113"/>
      <c r="N38" s="62">
        <f t="shared" si="8"/>
        <v>17688640.899999999</v>
      </c>
      <c r="P38" s="19"/>
    </row>
    <row r="39" spans="1:16" s="20" customFormat="1" ht="93" thickTop="1" thickBot="1" x14ac:dyDescent="0.25">
      <c r="A39" s="23" t="s">
        <v>106</v>
      </c>
      <c r="B39" s="57" t="s">
        <v>107</v>
      </c>
      <c r="C39" s="57"/>
      <c r="D39" s="57" t="s">
        <v>108</v>
      </c>
      <c r="E39" s="63">
        <f t="shared" ref="E39:J39" si="12">E40+E41</f>
        <v>28298072</v>
      </c>
      <c r="F39" s="63">
        <f t="shared" ref="F39" si="13">F40+F41</f>
        <v>27067782</v>
      </c>
      <c r="G39" s="63">
        <f t="shared" si="12"/>
        <v>26610138.079999998</v>
      </c>
      <c r="H39" s="64">
        <f t="shared" si="9"/>
        <v>0.98309267009760892</v>
      </c>
      <c r="I39" s="63">
        <f t="shared" si="12"/>
        <v>732443.27</v>
      </c>
      <c r="J39" s="63">
        <f t="shared" si="12"/>
        <v>654811.87</v>
      </c>
      <c r="K39" s="64">
        <f t="shared" si="10"/>
        <v>0.89401035796260364</v>
      </c>
      <c r="L39" s="63"/>
      <c r="M39" s="63"/>
      <c r="N39" s="63">
        <f t="shared" si="8"/>
        <v>27264949.949999999</v>
      </c>
      <c r="O39" s="21"/>
      <c r="P39" s="133"/>
    </row>
    <row r="40" spans="1:16" ht="93" thickTop="1" thickBot="1" x14ac:dyDescent="0.25">
      <c r="A40" s="15" t="s">
        <v>109</v>
      </c>
      <c r="B40" s="76" t="s">
        <v>110</v>
      </c>
      <c r="C40" s="76" t="s">
        <v>111</v>
      </c>
      <c r="D40" s="76" t="s">
        <v>112</v>
      </c>
      <c r="E40" s="62">
        <v>28090832</v>
      </c>
      <c r="F40" s="62">
        <v>26860542</v>
      </c>
      <c r="G40" s="62">
        <v>26412328.859999999</v>
      </c>
      <c r="H40" s="61">
        <f t="shared" ref="H40:H49" si="14">G40/F40</f>
        <v>0.98331332480185984</v>
      </c>
      <c r="I40" s="62">
        <v>732443.27</v>
      </c>
      <c r="J40" s="62">
        <v>654811.87</v>
      </c>
      <c r="K40" s="61">
        <f t="shared" si="10"/>
        <v>0.89401035796260364</v>
      </c>
      <c r="L40" s="62"/>
      <c r="M40" s="113"/>
      <c r="N40" s="62">
        <f t="shared" ref="N40:N49" si="15">G40+J40</f>
        <v>27067140.73</v>
      </c>
      <c r="P40" s="19"/>
    </row>
    <row r="41" spans="1:16" ht="93" thickTop="1" thickBot="1" x14ac:dyDescent="0.25">
      <c r="A41" s="15" t="s">
        <v>113</v>
      </c>
      <c r="B41" s="76" t="s">
        <v>114</v>
      </c>
      <c r="C41" s="76" t="s">
        <v>111</v>
      </c>
      <c r="D41" s="76" t="s">
        <v>115</v>
      </c>
      <c r="E41" s="62">
        <v>207240</v>
      </c>
      <c r="F41" s="62">
        <v>207240</v>
      </c>
      <c r="G41" s="62">
        <v>197809.22</v>
      </c>
      <c r="H41" s="61">
        <f t="shared" si="14"/>
        <v>0.95449343756031657</v>
      </c>
      <c r="I41" s="100"/>
      <c r="J41" s="100"/>
      <c r="K41" s="100"/>
      <c r="L41" s="100"/>
      <c r="M41" s="104"/>
      <c r="N41" s="62">
        <f t="shared" si="15"/>
        <v>197809.22</v>
      </c>
      <c r="P41" s="19"/>
    </row>
    <row r="42" spans="1:16" s="20" customFormat="1" ht="93" thickTop="1" thickBot="1" x14ac:dyDescent="0.25">
      <c r="A42" s="23" t="s">
        <v>116</v>
      </c>
      <c r="B42" s="57" t="s">
        <v>117</v>
      </c>
      <c r="C42" s="57"/>
      <c r="D42" s="57" t="s">
        <v>118</v>
      </c>
      <c r="E42" s="63">
        <f>E43+E44</f>
        <v>5034485</v>
      </c>
      <c r="F42" s="63">
        <f>F43+F44</f>
        <v>4964785</v>
      </c>
      <c r="G42" s="63">
        <f t="shared" ref="G42:J42" si="16">G43+G44</f>
        <v>3420990.44</v>
      </c>
      <c r="H42" s="64">
        <f>G42/F42</f>
        <v>0.68905107471924765</v>
      </c>
      <c r="I42" s="63">
        <f t="shared" si="16"/>
        <v>50000</v>
      </c>
      <c r="J42" s="63">
        <f t="shared" si="16"/>
        <v>49019</v>
      </c>
      <c r="K42" s="64">
        <f>J42/I42</f>
        <v>0.98038000000000003</v>
      </c>
      <c r="L42" s="63"/>
      <c r="M42" s="63"/>
      <c r="N42" s="63">
        <f t="shared" si="15"/>
        <v>3470009.44</v>
      </c>
      <c r="O42" s="132"/>
      <c r="P42" s="133"/>
    </row>
    <row r="43" spans="1:16" ht="184.5" thickTop="1" thickBot="1" x14ac:dyDescent="0.25">
      <c r="A43" s="15" t="s">
        <v>119</v>
      </c>
      <c r="B43" s="76" t="s">
        <v>120</v>
      </c>
      <c r="C43" s="76" t="s">
        <v>111</v>
      </c>
      <c r="D43" s="76" t="s">
        <v>121</v>
      </c>
      <c r="E43" s="62">
        <v>1147685</v>
      </c>
      <c r="F43" s="62">
        <v>1077985</v>
      </c>
      <c r="G43" s="62">
        <v>1013789.98</v>
      </c>
      <c r="H43" s="61">
        <f t="shared" si="14"/>
        <v>0.94044906005185602</v>
      </c>
      <c r="I43" s="62">
        <v>50000</v>
      </c>
      <c r="J43" s="62">
        <v>49019</v>
      </c>
      <c r="K43" s="61">
        <f>J43/I43</f>
        <v>0.98038000000000003</v>
      </c>
      <c r="L43" s="62"/>
      <c r="M43" s="113"/>
      <c r="N43" s="62">
        <f>G43+J43</f>
        <v>1062808.98</v>
      </c>
      <c r="P43" s="12"/>
    </row>
    <row r="44" spans="1:16" ht="138.75" thickTop="1" thickBot="1" x14ac:dyDescent="0.25">
      <c r="A44" s="15" t="s">
        <v>122</v>
      </c>
      <c r="B44" s="76" t="s">
        <v>123</v>
      </c>
      <c r="C44" s="76" t="s">
        <v>111</v>
      </c>
      <c r="D44" s="76" t="s">
        <v>124</v>
      </c>
      <c r="E44" s="62">
        <v>3886800</v>
      </c>
      <c r="F44" s="62">
        <v>3886800</v>
      </c>
      <c r="G44" s="62">
        <v>2407200.46</v>
      </c>
      <c r="H44" s="61">
        <f t="shared" si="14"/>
        <v>0.61932707111248331</v>
      </c>
      <c r="I44" s="62"/>
      <c r="J44" s="62"/>
      <c r="K44" s="62"/>
      <c r="L44" s="62"/>
      <c r="M44" s="113"/>
      <c r="N44" s="62">
        <f t="shared" si="15"/>
        <v>2407200.46</v>
      </c>
      <c r="P44" s="19"/>
    </row>
    <row r="45" spans="1:16" ht="138.75" thickTop="1" thickBot="1" x14ac:dyDescent="0.25">
      <c r="A45" s="15" t="s">
        <v>125</v>
      </c>
      <c r="B45" s="76" t="s">
        <v>126</v>
      </c>
      <c r="C45" s="76" t="s">
        <v>111</v>
      </c>
      <c r="D45" s="76" t="s">
        <v>127</v>
      </c>
      <c r="E45" s="62">
        <v>2060415</v>
      </c>
      <c r="F45" s="62">
        <v>1282865</v>
      </c>
      <c r="G45" s="62">
        <v>1205558.8400000001</v>
      </c>
      <c r="H45" s="61">
        <f t="shared" si="14"/>
        <v>0.93973944257579722</v>
      </c>
      <c r="I45" s="62">
        <v>50000</v>
      </c>
      <c r="J45" s="62">
        <v>49528</v>
      </c>
      <c r="K45" s="61">
        <f>J45/I45</f>
        <v>0.99056</v>
      </c>
      <c r="L45" s="62"/>
      <c r="M45" s="113"/>
      <c r="N45" s="62">
        <f t="shared" si="15"/>
        <v>1255086.8400000001</v>
      </c>
      <c r="O45" s="54"/>
      <c r="P45" s="12"/>
    </row>
    <row r="46" spans="1:16" s="20" customFormat="1" ht="230.25" thickTop="1" thickBot="1" x14ac:dyDescent="0.25">
      <c r="A46" s="23" t="s">
        <v>128</v>
      </c>
      <c r="B46" s="57" t="s">
        <v>129</v>
      </c>
      <c r="C46" s="57"/>
      <c r="D46" s="57" t="s">
        <v>130</v>
      </c>
      <c r="E46" s="63">
        <f>E47+E48</f>
        <v>9043301</v>
      </c>
      <c r="F46" s="63">
        <f>F47+F48</f>
        <v>9043301</v>
      </c>
      <c r="G46" s="63">
        <f>G47+G48</f>
        <v>9041846.7899999991</v>
      </c>
      <c r="H46" s="64">
        <f t="shared" si="14"/>
        <v>0.99983919478075534</v>
      </c>
      <c r="I46" s="63">
        <f>I47+I48</f>
        <v>3500200</v>
      </c>
      <c r="J46" s="63">
        <f>J47+J48</f>
        <v>3498410</v>
      </c>
      <c r="K46" s="64">
        <f t="shared" ref="K46:K48" si="17">J46/I46</f>
        <v>0.99948860065139133</v>
      </c>
      <c r="L46" s="63"/>
      <c r="M46" s="63"/>
      <c r="N46" s="63">
        <f t="shared" si="15"/>
        <v>12540256.789999999</v>
      </c>
      <c r="O46" s="132"/>
      <c r="P46" s="131"/>
    </row>
    <row r="47" spans="1:16" s="20" customFormat="1" ht="367.5" thickTop="1" thickBot="1" x14ac:dyDescent="0.25">
      <c r="A47" s="15" t="s">
        <v>131</v>
      </c>
      <c r="B47" s="76" t="s">
        <v>132</v>
      </c>
      <c r="C47" s="76" t="s">
        <v>111</v>
      </c>
      <c r="D47" s="76" t="s">
        <v>133</v>
      </c>
      <c r="E47" s="62">
        <v>4362735</v>
      </c>
      <c r="F47" s="62">
        <v>4362735</v>
      </c>
      <c r="G47" s="62">
        <v>4362164.28</v>
      </c>
      <c r="H47" s="61">
        <f t="shared" si="14"/>
        <v>0.99986918297810901</v>
      </c>
      <c r="I47" s="62">
        <v>2117071</v>
      </c>
      <c r="J47" s="62">
        <v>2116531.2000000002</v>
      </c>
      <c r="K47" s="61">
        <f t="shared" si="17"/>
        <v>0.99974502508418484</v>
      </c>
      <c r="L47" s="62"/>
      <c r="M47" s="113"/>
      <c r="N47" s="62">
        <f t="shared" si="15"/>
        <v>6478695.4800000004</v>
      </c>
      <c r="O47" s="54"/>
      <c r="P47" s="12"/>
    </row>
    <row r="48" spans="1:16" s="20" customFormat="1" ht="321.75" customHeight="1" thickTop="1" thickBot="1" x14ac:dyDescent="0.25">
      <c r="A48" s="15"/>
      <c r="B48" s="76" t="s">
        <v>476</v>
      </c>
      <c r="C48" s="76" t="s">
        <v>111</v>
      </c>
      <c r="D48" s="76" t="s">
        <v>477</v>
      </c>
      <c r="E48" s="62">
        <v>4680566</v>
      </c>
      <c r="F48" s="62">
        <v>4680566</v>
      </c>
      <c r="G48" s="62">
        <v>4679682.51</v>
      </c>
      <c r="H48" s="61">
        <f t="shared" si="14"/>
        <v>0.99981124291378431</v>
      </c>
      <c r="I48" s="62">
        <v>1383129</v>
      </c>
      <c r="J48" s="62">
        <v>1381878.8</v>
      </c>
      <c r="K48" s="61">
        <f t="shared" si="17"/>
        <v>0.99909610744912447</v>
      </c>
      <c r="L48" s="62"/>
      <c r="M48" s="113"/>
      <c r="N48" s="62">
        <f t="shared" si="15"/>
        <v>6061561.3099999996</v>
      </c>
      <c r="O48" s="56"/>
      <c r="P48" s="12"/>
    </row>
    <row r="49" spans="1:16" s="20" customFormat="1" ht="321.75" thickTop="1" thickBot="1" x14ac:dyDescent="0.25">
      <c r="A49" s="15" t="s">
        <v>134</v>
      </c>
      <c r="B49" s="76" t="s">
        <v>135</v>
      </c>
      <c r="C49" s="76" t="s">
        <v>111</v>
      </c>
      <c r="D49" s="76" t="s">
        <v>136</v>
      </c>
      <c r="E49" s="62">
        <f>4721984</f>
        <v>4721984</v>
      </c>
      <c r="F49" s="62">
        <v>4721984</v>
      </c>
      <c r="G49" s="62">
        <v>4714921.63</v>
      </c>
      <c r="H49" s="61">
        <f t="shared" si="14"/>
        <v>0.99850436384367247</v>
      </c>
      <c r="I49" s="62">
        <v>2396198</v>
      </c>
      <c r="J49" s="62">
        <v>2298803.77</v>
      </c>
      <c r="K49" s="61">
        <f t="shared" ref="K49:K54" si="18">J49/I49</f>
        <v>0.95935468187520401</v>
      </c>
      <c r="L49" s="62"/>
      <c r="M49" s="113"/>
      <c r="N49" s="62">
        <f t="shared" si="15"/>
        <v>7013725.4000000004</v>
      </c>
      <c r="O49" s="21"/>
      <c r="P49" s="12"/>
    </row>
    <row r="50" spans="1:16" s="20" customFormat="1" ht="289.14999999999998" customHeight="1" thickTop="1" thickBot="1" x14ac:dyDescent="0.25">
      <c r="A50" s="8"/>
      <c r="B50" s="76" t="s">
        <v>137</v>
      </c>
      <c r="C50" s="76" t="s">
        <v>111</v>
      </c>
      <c r="D50" s="76" t="s">
        <v>138</v>
      </c>
      <c r="E50" s="62">
        <v>1072435</v>
      </c>
      <c r="F50" s="62">
        <v>1371699</v>
      </c>
      <c r="G50" s="62">
        <v>1371236.28</v>
      </c>
      <c r="H50" s="61">
        <f t="shared" ref="H50" si="19">G50/F50</f>
        <v>0.999662666517946</v>
      </c>
      <c r="I50" s="62">
        <v>748890</v>
      </c>
      <c r="J50" s="62">
        <v>733175.34</v>
      </c>
      <c r="K50" s="61">
        <f t="shared" si="18"/>
        <v>0.9790160637743861</v>
      </c>
      <c r="L50" s="117"/>
      <c r="M50" s="117"/>
      <c r="N50" s="62">
        <f t="shared" ref="N50:N53" si="20">G50+J50</f>
        <v>2104411.62</v>
      </c>
      <c r="O50" s="21"/>
      <c r="P50" s="12"/>
    </row>
    <row r="51" spans="1:16" s="20" customFormat="1" ht="230.25" thickTop="1" thickBot="1" x14ac:dyDescent="0.25">
      <c r="A51" s="135"/>
      <c r="B51" s="57" t="s">
        <v>480</v>
      </c>
      <c r="C51" s="57"/>
      <c r="D51" s="57" t="s">
        <v>481</v>
      </c>
      <c r="E51" s="63">
        <f>E53+E52</f>
        <v>553900</v>
      </c>
      <c r="F51" s="63">
        <f>F53+F52</f>
        <v>0</v>
      </c>
      <c r="G51" s="63">
        <f>G53+G52</f>
        <v>0</v>
      </c>
      <c r="H51" s="64">
        <v>0</v>
      </c>
      <c r="I51" s="63">
        <f>I53+I52</f>
        <v>4104500</v>
      </c>
      <c r="J51" s="63">
        <f>J53+J52</f>
        <v>3590127.3</v>
      </c>
      <c r="K51" s="64">
        <f t="shared" si="18"/>
        <v>0.87468078937751248</v>
      </c>
      <c r="L51" s="118"/>
      <c r="M51" s="118"/>
      <c r="N51" s="63">
        <f>G51+J51</f>
        <v>3590127.3</v>
      </c>
      <c r="O51" s="132" t="s">
        <v>456</v>
      </c>
      <c r="P51" s="13"/>
    </row>
    <row r="52" spans="1:16" s="20" customFormat="1" ht="367.5" thickTop="1" thickBot="1" x14ac:dyDescent="0.25">
      <c r="A52" s="8"/>
      <c r="B52" s="101" t="s">
        <v>497</v>
      </c>
      <c r="C52" s="101" t="s">
        <v>111</v>
      </c>
      <c r="D52" s="101" t="s">
        <v>498</v>
      </c>
      <c r="E52" s="62"/>
      <c r="F52" s="62"/>
      <c r="G52" s="62"/>
      <c r="H52" s="61"/>
      <c r="I52" s="62">
        <v>1584500</v>
      </c>
      <c r="J52" s="62">
        <v>1070127.3</v>
      </c>
      <c r="K52" s="61">
        <f t="shared" si="18"/>
        <v>0.67537223098769328</v>
      </c>
      <c r="L52" s="117"/>
      <c r="M52" s="117"/>
      <c r="N52" s="62">
        <f>G52+J52</f>
        <v>1070127.3</v>
      </c>
      <c r="O52" s="54"/>
      <c r="P52" s="12"/>
    </row>
    <row r="53" spans="1:16" s="20" customFormat="1" ht="337.5" customHeight="1" thickTop="1" thickBot="1" x14ac:dyDescent="0.25">
      <c r="A53" s="8"/>
      <c r="B53" s="101" t="s">
        <v>482</v>
      </c>
      <c r="C53" s="101" t="s">
        <v>111</v>
      </c>
      <c r="D53" s="101" t="s">
        <v>483</v>
      </c>
      <c r="E53" s="62">
        <v>553900</v>
      </c>
      <c r="F53" s="62">
        <v>0</v>
      </c>
      <c r="G53" s="62">
        <v>0</v>
      </c>
      <c r="H53" s="61">
        <v>0</v>
      </c>
      <c r="I53" s="62">
        <v>2520000</v>
      </c>
      <c r="J53" s="62">
        <v>2520000</v>
      </c>
      <c r="K53" s="61">
        <f t="shared" si="18"/>
        <v>1</v>
      </c>
      <c r="L53" s="117"/>
      <c r="M53" s="117"/>
      <c r="N53" s="62">
        <f t="shared" si="20"/>
        <v>2520000</v>
      </c>
      <c r="O53" s="54" t="s">
        <v>456</v>
      </c>
      <c r="P53" s="12"/>
    </row>
    <row r="54" spans="1:16" ht="103.7" customHeight="1" thickTop="1" thickBot="1" x14ac:dyDescent="0.25">
      <c r="A54" s="8" t="s">
        <v>142</v>
      </c>
      <c r="B54" s="70" t="s">
        <v>143</v>
      </c>
      <c r="C54" s="70"/>
      <c r="D54" s="71" t="s">
        <v>144</v>
      </c>
      <c r="E54" s="72">
        <f t="shared" ref="E54:J54" si="21">SUM(E55:E66)-E60-E62-E64</f>
        <v>77313027</v>
      </c>
      <c r="F54" s="72">
        <f t="shared" ref="F54" si="22">SUM(F55:F66)-F60-F62-F64</f>
        <v>81388577</v>
      </c>
      <c r="G54" s="72">
        <f t="shared" si="21"/>
        <v>78006194.689999998</v>
      </c>
      <c r="H54" s="73">
        <f>G54/F54</f>
        <v>0.95844155980267354</v>
      </c>
      <c r="I54" s="72">
        <f t="shared" si="21"/>
        <v>81197.27</v>
      </c>
      <c r="J54" s="72">
        <f t="shared" si="21"/>
        <v>57255.67</v>
      </c>
      <c r="K54" s="73">
        <f t="shared" si="18"/>
        <v>0.70514279605705954</v>
      </c>
      <c r="L54" s="72"/>
      <c r="M54" s="72"/>
      <c r="N54" s="74">
        <f>J54+G54</f>
        <v>78063450.359999999</v>
      </c>
      <c r="O54" s="66" t="b">
        <f>N54=N55+N56+N57+N58+N59+N61+N63+N65+N66</f>
        <v>1</v>
      </c>
      <c r="P54" s="25"/>
    </row>
    <row r="55" spans="1:16" ht="93" thickTop="1" thickBot="1" x14ac:dyDescent="0.25">
      <c r="A55" s="15" t="s">
        <v>145</v>
      </c>
      <c r="B55" s="76" t="s">
        <v>146</v>
      </c>
      <c r="C55" s="76" t="s">
        <v>147</v>
      </c>
      <c r="D55" s="76" t="s">
        <v>148</v>
      </c>
      <c r="E55" s="62">
        <v>15249455</v>
      </c>
      <c r="F55" s="62">
        <v>18361455</v>
      </c>
      <c r="G55" s="62">
        <v>18340334.960000001</v>
      </c>
      <c r="H55" s="61">
        <f t="shared" ref="H55:H110" si="23">G55/F55</f>
        <v>0.99884976217843302</v>
      </c>
      <c r="I55" s="100"/>
      <c r="J55" s="100"/>
      <c r="K55" s="100"/>
      <c r="L55" s="100"/>
      <c r="M55" s="104"/>
      <c r="N55" s="62">
        <f t="shared" ref="N55:N110" si="24">G55+J55</f>
        <v>18340334.960000001</v>
      </c>
      <c r="P55" s="19"/>
    </row>
    <row r="56" spans="1:16" ht="93" thickTop="1" thickBot="1" x14ac:dyDescent="0.25">
      <c r="A56" s="15" t="s">
        <v>149</v>
      </c>
      <c r="B56" s="76" t="s">
        <v>150</v>
      </c>
      <c r="C56" s="76" t="s">
        <v>151</v>
      </c>
      <c r="D56" s="76" t="s">
        <v>152</v>
      </c>
      <c r="E56" s="62">
        <v>7747407</v>
      </c>
      <c r="F56" s="62">
        <v>7867407</v>
      </c>
      <c r="G56" s="62">
        <v>7805191.3200000003</v>
      </c>
      <c r="H56" s="61">
        <f t="shared" si="23"/>
        <v>0.99209197134456117</v>
      </c>
      <c r="I56" s="62"/>
      <c r="J56" s="62"/>
      <c r="K56" s="62"/>
      <c r="L56" s="62"/>
      <c r="M56" s="113"/>
      <c r="N56" s="62">
        <f t="shared" si="24"/>
        <v>7805191.3200000003</v>
      </c>
      <c r="P56" s="25"/>
    </row>
    <row r="57" spans="1:16" ht="138.75" thickTop="1" thickBot="1" x14ac:dyDescent="0.25">
      <c r="A57" s="15" t="s">
        <v>153</v>
      </c>
      <c r="B57" s="76" t="s">
        <v>154</v>
      </c>
      <c r="C57" s="76" t="s">
        <v>155</v>
      </c>
      <c r="D57" s="76" t="s">
        <v>156</v>
      </c>
      <c r="E57" s="62">
        <v>5291200</v>
      </c>
      <c r="F57" s="62">
        <v>6699850</v>
      </c>
      <c r="G57" s="62">
        <v>6692793.8300000001</v>
      </c>
      <c r="H57" s="61">
        <f t="shared" si="23"/>
        <v>0.99894681671977736</v>
      </c>
      <c r="I57" s="62"/>
      <c r="J57" s="62"/>
      <c r="K57" s="62"/>
      <c r="L57" s="62"/>
      <c r="M57" s="113"/>
      <c r="N57" s="62">
        <f t="shared" si="24"/>
        <v>6692793.8300000001</v>
      </c>
      <c r="P57" s="25"/>
    </row>
    <row r="58" spans="1:16" ht="138.75" thickTop="1" thickBot="1" x14ac:dyDescent="0.25">
      <c r="A58" s="15" t="s">
        <v>157</v>
      </c>
      <c r="B58" s="76" t="s">
        <v>158</v>
      </c>
      <c r="C58" s="76" t="s">
        <v>159</v>
      </c>
      <c r="D58" s="76" t="s">
        <v>160</v>
      </c>
      <c r="E58" s="62">
        <v>10996090</v>
      </c>
      <c r="F58" s="62">
        <v>9602590</v>
      </c>
      <c r="G58" s="62">
        <v>8781914.4800000004</v>
      </c>
      <c r="H58" s="61">
        <f t="shared" si="23"/>
        <v>0.91453602413515522</v>
      </c>
      <c r="I58" s="62"/>
      <c r="J58" s="62"/>
      <c r="K58" s="62"/>
      <c r="L58" s="62"/>
      <c r="M58" s="113"/>
      <c r="N58" s="62">
        <f t="shared" si="24"/>
        <v>8781914.4800000004</v>
      </c>
      <c r="P58" s="25"/>
    </row>
    <row r="59" spans="1:16" ht="93" thickTop="1" thickBot="1" x14ac:dyDescent="0.25">
      <c r="A59" s="15" t="s">
        <v>161</v>
      </c>
      <c r="B59" s="76" t="s">
        <v>162</v>
      </c>
      <c r="C59" s="76" t="s">
        <v>163</v>
      </c>
      <c r="D59" s="76" t="s">
        <v>164</v>
      </c>
      <c r="E59" s="62">
        <v>6881935</v>
      </c>
      <c r="F59" s="62">
        <v>7063935</v>
      </c>
      <c r="G59" s="62">
        <v>6979701.21</v>
      </c>
      <c r="H59" s="61">
        <f t="shared" si="23"/>
        <v>0.98807551456801346</v>
      </c>
      <c r="I59" s="62"/>
      <c r="J59" s="62"/>
      <c r="K59" s="62"/>
      <c r="L59" s="62"/>
      <c r="M59" s="113"/>
      <c r="N59" s="62">
        <f t="shared" si="24"/>
        <v>6979701.21</v>
      </c>
      <c r="P59" s="25"/>
    </row>
    <row r="60" spans="1:16" s="20" customFormat="1" ht="123" thickTop="1" thickBot="1" x14ac:dyDescent="0.25">
      <c r="A60" s="23" t="s">
        <v>165</v>
      </c>
      <c r="B60" s="57" t="s">
        <v>166</v>
      </c>
      <c r="C60" s="57"/>
      <c r="D60" s="57" t="s">
        <v>167</v>
      </c>
      <c r="E60" s="63">
        <f>E61</f>
        <v>10247515</v>
      </c>
      <c r="F60" s="63">
        <f>F61</f>
        <v>10853915</v>
      </c>
      <c r="G60" s="63">
        <f t="shared" ref="G60" si="25">G61</f>
        <v>10567677.26</v>
      </c>
      <c r="H60" s="64">
        <f t="shared" si="23"/>
        <v>0.97362815721331886</v>
      </c>
      <c r="I60" s="121"/>
      <c r="J60" s="121"/>
      <c r="K60" s="122"/>
      <c r="L60" s="121"/>
      <c r="M60" s="121"/>
      <c r="N60" s="63">
        <f t="shared" si="24"/>
        <v>10567677.26</v>
      </c>
      <c r="O60" s="132" t="s">
        <v>456</v>
      </c>
      <c r="P60" s="136"/>
    </row>
    <row r="61" spans="1:16" ht="184.5" thickTop="1" thickBot="1" x14ac:dyDescent="0.25">
      <c r="A61" s="15" t="s">
        <v>168</v>
      </c>
      <c r="B61" s="76" t="s">
        <v>169</v>
      </c>
      <c r="C61" s="76" t="s">
        <v>170</v>
      </c>
      <c r="D61" s="76" t="s">
        <v>171</v>
      </c>
      <c r="E61" s="62">
        <v>10247515</v>
      </c>
      <c r="F61" s="62">
        <v>10853915</v>
      </c>
      <c r="G61" s="62">
        <v>10567677.26</v>
      </c>
      <c r="H61" s="61">
        <f t="shared" si="23"/>
        <v>0.97362815721331886</v>
      </c>
      <c r="I61" s="100"/>
      <c r="J61" s="100"/>
      <c r="K61" s="100"/>
      <c r="L61" s="100"/>
      <c r="M61" s="104"/>
      <c r="N61" s="62">
        <f t="shared" si="24"/>
        <v>10567677.26</v>
      </c>
      <c r="P61" s="25"/>
    </row>
    <row r="62" spans="1:16" s="20" customFormat="1" ht="138.75" thickTop="1" thickBot="1" x14ac:dyDescent="0.25">
      <c r="A62" s="23" t="s">
        <v>172</v>
      </c>
      <c r="B62" s="57" t="s">
        <v>173</v>
      </c>
      <c r="C62" s="57"/>
      <c r="D62" s="57" t="s">
        <v>174</v>
      </c>
      <c r="E62" s="63">
        <f t="shared" ref="E62:G62" si="26">E63</f>
        <v>14254000</v>
      </c>
      <c r="F62" s="63">
        <f t="shared" si="26"/>
        <v>14254000</v>
      </c>
      <c r="G62" s="63">
        <f t="shared" si="26"/>
        <v>12461523.91</v>
      </c>
      <c r="H62" s="64">
        <f t="shared" si="23"/>
        <v>0.87424750315700861</v>
      </c>
      <c r="I62" s="63"/>
      <c r="J62" s="63"/>
      <c r="K62" s="64"/>
      <c r="L62" s="63"/>
      <c r="M62" s="63"/>
      <c r="N62" s="63">
        <f t="shared" si="24"/>
        <v>12461523.91</v>
      </c>
      <c r="O62" s="132" t="s">
        <v>456</v>
      </c>
      <c r="P62" s="136"/>
    </row>
    <row r="63" spans="1:16" ht="138.75" thickTop="1" thickBot="1" x14ac:dyDescent="0.25">
      <c r="A63" s="15" t="s">
        <v>175</v>
      </c>
      <c r="B63" s="76" t="s">
        <v>176</v>
      </c>
      <c r="C63" s="76" t="s">
        <v>177</v>
      </c>
      <c r="D63" s="76" t="s">
        <v>178</v>
      </c>
      <c r="E63" s="62">
        <v>14254000</v>
      </c>
      <c r="F63" s="62">
        <v>14254000</v>
      </c>
      <c r="G63" s="62">
        <v>12461523.91</v>
      </c>
      <c r="H63" s="61">
        <f t="shared" si="23"/>
        <v>0.87424750315700861</v>
      </c>
      <c r="I63" s="62"/>
      <c r="J63" s="62"/>
      <c r="K63" s="62"/>
      <c r="L63" s="62"/>
      <c r="M63" s="113"/>
      <c r="N63" s="62">
        <f t="shared" si="24"/>
        <v>12461523.91</v>
      </c>
      <c r="P63" s="25"/>
    </row>
    <row r="64" spans="1:16" s="20" customFormat="1" ht="138.75" thickTop="1" thickBot="1" x14ac:dyDescent="0.25">
      <c r="A64" s="23" t="s">
        <v>179</v>
      </c>
      <c r="B64" s="57" t="s">
        <v>180</v>
      </c>
      <c r="C64" s="57"/>
      <c r="D64" s="57" t="s">
        <v>181</v>
      </c>
      <c r="E64" s="63">
        <f t="shared" ref="E64:J64" si="27">SUM(E65:E66)</f>
        <v>6645425</v>
      </c>
      <c r="F64" s="63">
        <f t="shared" ref="F64" si="28">SUM(F65:F66)</f>
        <v>6685425</v>
      </c>
      <c r="G64" s="63">
        <f t="shared" si="27"/>
        <v>6377057.7199999997</v>
      </c>
      <c r="H64" s="64">
        <f t="shared" si="23"/>
        <v>0.95387469308233952</v>
      </c>
      <c r="I64" s="63">
        <f t="shared" si="27"/>
        <v>81197.27</v>
      </c>
      <c r="J64" s="63">
        <f t="shared" si="27"/>
        <v>57255.67</v>
      </c>
      <c r="K64" s="64">
        <f>J64/I64</f>
        <v>0.70514279605705954</v>
      </c>
      <c r="L64" s="63"/>
      <c r="M64" s="63"/>
      <c r="N64" s="63">
        <f t="shared" si="24"/>
        <v>6434313.3899999997</v>
      </c>
      <c r="O64" s="21"/>
      <c r="P64" s="136"/>
    </row>
    <row r="65" spans="1:18" s="20" customFormat="1" ht="138.75" thickTop="1" thickBot="1" x14ac:dyDescent="0.25">
      <c r="A65" s="15" t="s">
        <v>182</v>
      </c>
      <c r="B65" s="76" t="s">
        <v>183</v>
      </c>
      <c r="C65" s="76" t="s">
        <v>177</v>
      </c>
      <c r="D65" s="89" t="s">
        <v>184</v>
      </c>
      <c r="E65" s="62">
        <f>(2365000+520300+93000+157000+3220+90905)</f>
        <v>3229425</v>
      </c>
      <c r="F65" s="62">
        <f>(2365000+520300+93000+157000+3220+90905)</f>
        <v>3229425</v>
      </c>
      <c r="G65" s="62">
        <v>3094785.57</v>
      </c>
      <c r="H65" s="61">
        <f t="shared" si="23"/>
        <v>0.95830854409066624</v>
      </c>
      <c r="I65" s="62">
        <v>81197.27</v>
      </c>
      <c r="J65" s="62">
        <v>57255.67</v>
      </c>
      <c r="K65" s="61">
        <f>J65/I65</f>
        <v>0.70514279605705954</v>
      </c>
      <c r="L65" s="62"/>
      <c r="M65" s="113"/>
      <c r="N65" s="62">
        <f t="shared" si="24"/>
        <v>3152041.2399999998</v>
      </c>
      <c r="O65" s="21"/>
      <c r="P65" s="25"/>
    </row>
    <row r="66" spans="1:18" s="20" customFormat="1" ht="93" thickTop="1" thickBot="1" x14ac:dyDescent="0.25">
      <c r="A66" s="15" t="s">
        <v>185</v>
      </c>
      <c r="B66" s="76" t="s">
        <v>186</v>
      </c>
      <c r="C66" s="76" t="s">
        <v>177</v>
      </c>
      <c r="D66" s="89" t="s">
        <v>187</v>
      </c>
      <c r="E66" s="62">
        <v>3416000</v>
      </c>
      <c r="F66" s="62">
        <v>3456000</v>
      </c>
      <c r="G66" s="62">
        <v>3282272.15</v>
      </c>
      <c r="H66" s="61">
        <f t="shared" si="23"/>
        <v>0.94973152488425927</v>
      </c>
      <c r="I66" s="62"/>
      <c r="J66" s="62"/>
      <c r="K66" s="62"/>
      <c r="L66" s="62"/>
      <c r="M66" s="113"/>
      <c r="N66" s="62">
        <f t="shared" si="24"/>
        <v>3282272.15</v>
      </c>
      <c r="O66" s="21"/>
      <c r="P66" s="25"/>
    </row>
    <row r="67" spans="1:18" ht="99" customHeight="1" thickTop="1" thickBot="1" x14ac:dyDescent="0.25">
      <c r="A67" s="8" t="s">
        <v>190</v>
      </c>
      <c r="B67" s="70" t="s">
        <v>139</v>
      </c>
      <c r="C67" s="70"/>
      <c r="D67" s="71" t="s">
        <v>140</v>
      </c>
      <c r="E67" s="72">
        <f>SUM(E68:E110)-E68-E77-E90-E92-E108-E87-E80-E83-E94</f>
        <v>172165066</v>
      </c>
      <c r="F67" s="72">
        <f>SUM(F68:F110)-F68-F77-F90-F92-F108-F87-F80-F83-F94</f>
        <v>176593564</v>
      </c>
      <c r="G67" s="72">
        <f>SUM(G68:G110)-G68-G77-G90-G92-G108-G87-G80-G83-G94</f>
        <v>174362272.05000001</v>
      </c>
      <c r="H67" s="73">
        <f>G67/F67</f>
        <v>0.9873648172704641</v>
      </c>
      <c r="I67" s="72">
        <f>SUM(I68:I110)-I68-I77-I90-I92-I108-I87-I80-I83-I94</f>
        <v>27127659.75</v>
      </c>
      <c r="J67" s="72">
        <f>SUM(J68:J110)-J68-J77-J90-J92-J108-J87-J80-J83-J94</f>
        <v>26967380.169999998</v>
      </c>
      <c r="K67" s="73">
        <f>J67/I67</f>
        <v>0.99409165473626959</v>
      </c>
      <c r="L67" s="72"/>
      <c r="M67" s="72"/>
      <c r="N67" s="74">
        <f>J67+G67</f>
        <v>201329652.22</v>
      </c>
      <c r="O67" s="66" t="b">
        <f>N67=N69+N70+N71+N72+N73+N74+N76+N78+N79+N81+N84+N85+N86+N88+N89+N91+N93+N109+N110+N82+N75+N95+N98+N102+N105</f>
        <v>1</v>
      </c>
      <c r="P67" s="27"/>
      <c r="R67" s="26"/>
    </row>
    <row r="68" spans="1:18" s="20" customFormat="1" ht="276" customHeight="1" thickTop="1" thickBot="1" x14ac:dyDescent="0.25">
      <c r="A68" s="23" t="s">
        <v>191</v>
      </c>
      <c r="B68" s="57" t="s">
        <v>192</v>
      </c>
      <c r="C68" s="57"/>
      <c r="D68" s="57" t="s">
        <v>193</v>
      </c>
      <c r="E68" s="63">
        <f t="shared" ref="E68:J68" si="29">SUM(E69:E73)</f>
        <v>74624700</v>
      </c>
      <c r="F68" s="63">
        <f t="shared" ref="F68" si="30">SUM(F69:F73)</f>
        <v>77334700</v>
      </c>
      <c r="G68" s="63">
        <f t="shared" si="29"/>
        <v>77245026.700000003</v>
      </c>
      <c r="H68" s="64">
        <f t="shared" si="23"/>
        <v>0.99884045195753013</v>
      </c>
      <c r="I68" s="63">
        <f t="shared" si="29"/>
        <v>115090</v>
      </c>
      <c r="J68" s="63">
        <f t="shared" si="29"/>
        <v>81766.94</v>
      </c>
      <c r="K68" s="64">
        <f t="shared" ref="K68:K69" si="31">J68/I68</f>
        <v>0.71046085672082715</v>
      </c>
      <c r="L68" s="63"/>
      <c r="M68" s="63"/>
      <c r="N68" s="63">
        <f t="shared" si="24"/>
        <v>77326793.640000001</v>
      </c>
      <c r="O68" s="137"/>
      <c r="P68" s="30"/>
      <c r="R68" s="138"/>
    </row>
    <row r="69" spans="1:18" s="20" customFormat="1" ht="138.75" thickTop="1" thickBot="1" x14ac:dyDescent="0.25">
      <c r="A69" s="15" t="s">
        <v>194</v>
      </c>
      <c r="B69" s="101" t="s">
        <v>195</v>
      </c>
      <c r="C69" s="101" t="s">
        <v>83</v>
      </c>
      <c r="D69" s="90" t="s">
        <v>196</v>
      </c>
      <c r="E69" s="62">
        <v>270000</v>
      </c>
      <c r="F69" s="62">
        <v>270000</v>
      </c>
      <c r="G69" s="62">
        <v>240190.88</v>
      </c>
      <c r="H69" s="61">
        <f t="shared" si="23"/>
        <v>0.88959585185185186</v>
      </c>
      <c r="I69" s="62">
        <v>115090</v>
      </c>
      <c r="J69" s="62">
        <v>81766.94</v>
      </c>
      <c r="K69" s="61">
        <f t="shared" si="31"/>
        <v>0.71046085672082715</v>
      </c>
      <c r="L69" s="62"/>
      <c r="M69" s="113"/>
      <c r="N69" s="62">
        <f t="shared" si="24"/>
        <v>321957.82</v>
      </c>
      <c r="O69" s="21"/>
      <c r="P69" s="27"/>
    </row>
    <row r="70" spans="1:18" s="20" customFormat="1" ht="138.75" thickTop="1" thickBot="1" x14ac:dyDescent="0.25">
      <c r="A70" s="15" t="s">
        <v>197</v>
      </c>
      <c r="B70" s="76" t="s">
        <v>198</v>
      </c>
      <c r="C70" s="76" t="s">
        <v>93</v>
      </c>
      <c r="D70" s="76" t="s">
        <v>199</v>
      </c>
      <c r="E70" s="62">
        <v>1350000</v>
      </c>
      <c r="F70" s="62">
        <v>950000</v>
      </c>
      <c r="G70" s="62">
        <v>890135.82</v>
      </c>
      <c r="H70" s="61">
        <f t="shared" si="23"/>
        <v>0.93698507368421047</v>
      </c>
      <c r="I70" s="62"/>
      <c r="J70" s="62"/>
      <c r="K70" s="62"/>
      <c r="L70" s="62"/>
      <c r="M70" s="113"/>
      <c r="N70" s="62">
        <f t="shared" si="24"/>
        <v>890135.82</v>
      </c>
      <c r="O70" s="21"/>
      <c r="P70" s="28"/>
    </row>
    <row r="71" spans="1:18" s="20" customFormat="1" ht="184.5" thickTop="1" thickBot="1" x14ac:dyDescent="0.25">
      <c r="A71" s="15" t="s">
        <v>200</v>
      </c>
      <c r="B71" s="76" t="s">
        <v>201</v>
      </c>
      <c r="C71" s="76" t="s">
        <v>93</v>
      </c>
      <c r="D71" s="76" t="s">
        <v>202</v>
      </c>
      <c r="E71" s="62">
        <v>14700000</v>
      </c>
      <c r="F71" s="62">
        <v>14700000</v>
      </c>
      <c r="G71" s="62">
        <v>14700000</v>
      </c>
      <c r="H71" s="61">
        <f t="shared" si="23"/>
        <v>1</v>
      </c>
      <c r="I71" s="62"/>
      <c r="J71" s="62"/>
      <c r="K71" s="62"/>
      <c r="L71" s="62"/>
      <c r="M71" s="113"/>
      <c r="N71" s="62">
        <f t="shared" si="24"/>
        <v>14700000</v>
      </c>
      <c r="O71" s="21"/>
      <c r="P71" s="28"/>
    </row>
    <row r="72" spans="1:18" s="20" customFormat="1" ht="184.5" thickTop="1" thickBot="1" x14ac:dyDescent="0.25">
      <c r="A72" s="15" t="s">
        <v>203</v>
      </c>
      <c r="B72" s="76" t="s">
        <v>204</v>
      </c>
      <c r="C72" s="76" t="s">
        <v>93</v>
      </c>
      <c r="D72" s="76" t="s">
        <v>205</v>
      </c>
      <c r="E72" s="62">
        <v>500000</v>
      </c>
      <c r="F72" s="62">
        <v>610000</v>
      </c>
      <c r="G72" s="62">
        <v>610000</v>
      </c>
      <c r="H72" s="61">
        <f t="shared" si="23"/>
        <v>1</v>
      </c>
      <c r="I72" s="62"/>
      <c r="J72" s="62"/>
      <c r="K72" s="62"/>
      <c r="L72" s="62"/>
      <c r="M72" s="113"/>
      <c r="N72" s="62">
        <f t="shared" si="24"/>
        <v>610000</v>
      </c>
      <c r="O72" s="54"/>
      <c r="P72" s="28"/>
    </row>
    <row r="73" spans="1:18" s="20" customFormat="1" ht="184.5" thickTop="1" thickBot="1" x14ac:dyDescent="0.25">
      <c r="A73" s="15" t="s">
        <v>206</v>
      </c>
      <c r="B73" s="76" t="s">
        <v>207</v>
      </c>
      <c r="C73" s="76" t="s">
        <v>93</v>
      </c>
      <c r="D73" s="76" t="s">
        <v>208</v>
      </c>
      <c r="E73" s="62">
        <v>57804700</v>
      </c>
      <c r="F73" s="62">
        <v>60804700</v>
      </c>
      <c r="G73" s="62">
        <v>60804700</v>
      </c>
      <c r="H73" s="61">
        <f t="shared" si="23"/>
        <v>1</v>
      </c>
      <c r="I73" s="62"/>
      <c r="J73" s="62"/>
      <c r="K73" s="62"/>
      <c r="L73" s="62"/>
      <c r="M73" s="113"/>
      <c r="N73" s="62">
        <f t="shared" si="24"/>
        <v>60804700</v>
      </c>
      <c r="O73" s="21"/>
      <c r="P73" s="28"/>
    </row>
    <row r="74" spans="1:18" s="20" customFormat="1" ht="184.5" thickTop="1" thickBot="1" x14ac:dyDescent="0.25">
      <c r="A74" s="15" t="s">
        <v>209</v>
      </c>
      <c r="B74" s="76" t="s">
        <v>210</v>
      </c>
      <c r="C74" s="76" t="s">
        <v>93</v>
      </c>
      <c r="D74" s="76" t="s">
        <v>211</v>
      </c>
      <c r="E74" s="62">
        <v>206796</v>
      </c>
      <c r="F74" s="62">
        <v>206796</v>
      </c>
      <c r="G74" s="62">
        <v>206796</v>
      </c>
      <c r="H74" s="61">
        <f t="shared" si="23"/>
        <v>1</v>
      </c>
      <c r="I74" s="62"/>
      <c r="J74" s="62"/>
      <c r="K74" s="62"/>
      <c r="L74" s="62"/>
      <c r="M74" s="113"/>
      <c r="N74" s="62">
        <f t="shared" si="24"/>
        <v>206796</v>
      </c>
      <c r="O74" s="21"/>
      <c r="P74" s="28"/>
    </row>
    <row r="75" spans="1:18" s="20" customFormat="1" ht="165" customHeight="1" thickTop="1" thickBot="1" x14ac:dyDescent="0.25">
      <c r="A75" s="15"/>
      <c r="B75" s="76" t="s">
        <v>212</v>
      </c>
      <c r="C75" s="76" t="s">
        <v>93</v>
      </c>
      <c r="D75" s="76" t="s">
        <v>213</v>
      </c>
      <c r="E75" s="62">
        <v>180000</v>
      </c>
      <c r="F75" s="62">
        <v>180000</v>
      </c>
      <c r="G75" s="62">
        <v>155439</v>
      </c>
      <c r="H75" s="61">
        <f t="shared" si="23"/>
        <v>0.86355000000000004</v>
      </c>
      <c r="I75" s="100"/>
      <c r="J75" s="100"/>
      <c r="K75" s="100"/>
      <c r="L75" s="100"/>
      <c r="M75" s="104"/>
      <c r="N75" s="62">
        <f t="shared" si="24"/>
        <v>155439</v>
      </c>
      <c r="O75" s="21"/>
      <c r="P75" s="28"/>
    </row>
    <row r="76" spans="1:18" ht="138.75" thickTop="1" thickBot="1" x14ac:dyDescent="0.25">
      <c r="A76" s="15" t="s">
        <v>214</v>
      </c>
      <c r="B76" s="76" t="s">
        <v>215</v>
      </c>
      <c r="C76" s="76" t="s">
        <v>83</v>
      </c>
      <c r="D76" s="76" t="s">
        <v>216</v>
      </c>
      <c r="E76" s="62">
        <v>353047</v>
      </c>
      <c r="F76" s="62">
        <v>353047</v>
      </c>
      <c r="G76" s="62">
        <v>225746</v>
      </c>
      <c r="H76" s="61">
        <f t="shared" si="23"/>
        <v>0.63942194665299523</v>
      </c>
      <c r="I76" s="62"/>
      <c r="J76" s="62"/>
      <c r="K76" s="62"/>
      <c r="L76" s="62"/>
      <c r="M76" s="113"/>
      <c r="N76" s="62">
        <f t="shared" si="24"/>
        <v>225746</v>
      </c>
      <c r="P76" s="28"/>
    </row>
    <row r="77" spans="1:18" s="20" customFormat="1" ht="276" thickTop="1" thickBot="1" x14ac:dyDescent="0.25">
      <c r="A77" s="23" t="s">
        <v>217</v>
      </c>
      <c r="B77" s="57" t="s">
        <v>218</v>
      </c>
      <c r="C77" s="57"/>
      <c r="D77" s="57" t="s">
        <v>219</v>
      </c>
      <c r="E77" s="63">
        <f t="shared" ref="E77:J77" si="32">SUM(E78:E79)</f>
        <v>36030285</v>
      </c>
      <c r="F77" s="63">
        <f t="shared" ref="F77" si="33">SUM(F78:F79)</f>
        <v>36137600</v>
      </c>
      <c r="G77" s="63">
        <f t="shared" si="32"/>
        <v>35956532.259999998</v>
      </c>
      <c r="H77" s="64">
        <f t="shared" si="23"/>
        <v>0.99498949183122287</v>
      </c>
      <c r="I77" s="63">
        <f t="shared" si="32"/>
        <v>1057685.28</v>
      </c>
      <c r="J77" s="63">
        <f t="shared" si="32"/>
        <v>1032422.52</v>
      </c>
      <c r="K77" s="64">
        <f t="shared" ref="K77:K82" si="34">J77/I77</f>
        <v>0.97611505002697962</v>
      </c>
      <c r="L77" s="63"/>
      <c r="M77" s="63"/>
      <c r="N77" s="63">
        <f t="shared" si="24"/>
        <v>36988954.780000001</v>
      </c>
      <c r="O77" s="21"/>
      <c r="P77" s="29"/>
    </row>
    <row r="78" spans="1:18" ht="276" thickTop="1" thickBot="1" x14ac:dyDescent="0.25">
      <c r="A78" s="15" t="s">
        <v>220</v>
      </c>
      <c r="B78" s="76" t="s">
        <v>221</v>
      </c>
      <c r="C78" s="76" t="s">
        <v>72</v>
      </c>
      <c r="D78" s="76" t="s">
        <v>222</v>
      </c>
      <c r="E78" s="62">
        <v>28469120</v>
      </c>
      <c r="F78" s="62">
        <v>28467620</v>
      </c>
      <c r="G78" s="62">
        <v>28443292.66</v>
      </c>
      <c r="H78" s="61">
        <f t="shared" si="23"/>
        <v>0.99914543822068724</v>
      </c>
      <c r="I78" s="62">
        <v>903493.26</v>
      </c>
      <c r="J78" s="62">
        <v>884034.11</v>
      </c>
      <c r="K78" s="61">
        <f t="shared" si="34"/>
        <v>0.9784623185788901</v>
      </c>
      <c r="L78" s="62"/>
      <c r="M78" s="113"/>
      <c r="N78" s="62">
        <f t="shared" si="24"/>
        <v>29327326.77</v>
      </c>
      <c r="P78" s="27"/>
    </row>
    <row r="79" spans="1:18" ht="138.75" thickTop="1" thickBot="1" x14ac:dyDescent="0.25">
      <c r="A79" s="15" t="s">
        <v>223</v>
      </c>
      <c r="B79" s="76" t="s">
        <v>224</v>
      </c>
      <c r="C79" s="76" t="s">
        <v>68</v>
      </c>
      <c r="D79" s="76" t="s">
        <v>225</v>
      </c>
      <c r="E79" s="62">
        <v>7561165</v>
      </c>
      <c r="F79" s="62">
        <v>7669980</v>
      </c>
      <c r="G79" s="62">
        <v>7513239.5999999996</v>
      </c>
      <c r="H79" s="61">
        <f t="shared" si="23"/>
        <v>0.97956443171950902</v>
      </c>
      <c r="I79" s="62">
        <v>154192.01999999999</v>
      </c>
      <c r="J79" s="62">
        <v>148388.41</v>
      </c>
      <c r="K79" s="61">
        <f t="shared" si="34"/>
        <v>0.96236115202330197</v>
      </c>
      <c r="L79" s="62"/>
      <c r="M79" s="113"/>
      <c r="N79" s="62">
        <f t="shared" si="24"/>
        <v>7661628.0099999998</v>
      </c>
      <c r="P79" s="27"/>
    </row>
    <row r="80" spans="1:18" s="20" customFormat="1" ht="138.75" thickTop="1" thickBot="1" x14ac:dyDescent="0.25">
      <c r="A80" s="23"/>
      <c r="B80" s="57" t="s">
        <v>300</v>
      </c>
      <c r="C80" s="57"/>
      <c r="D80" s="57" t="s">
        <v>301</v>
      </c>
      <c r="E80" s="91">
        <f>E81+E82</f>
        <v>5576056</v>
      </c>
      <c r="F80" s="91">
        <f>F81+F82</f>
        <v>5618491</v>
      </c>
      <c r="G80" s="91">
        <f>G81+G82</f>
        <v>5609409.7800000003</v>
      </c>
      <c r="H80" s="64">
        <f t="shared" si="23"/>
        <v>0.99838369056744958</v>
      </c>
      <c r="I80" s="91">
        <f>I81+I82</f>
        <v>2304215</v>
      </c>
      <c r="J80" s="91">
        <f>J81+J82</f>
        <v>2290569.0099999998</v>
      </c>
      <c r="K80" s="64">
        <f>J80/I80</f>
        <v>0.99407781391927397</v>
      </c>
      <c r="L80" s="91"/>
      <c r="M80" s="91"/>
      <c r="N80" s="63">
        <f>G80+J80</f>
        <v>7899978.79</v>
      </c>
      <c r="O80" s="132"/>
      <c r="P80" s="34"/>
    </row>
    <row r="81" spans="1:16" ht="138.75" thickTop="1" thickBot="1" x14ac:dyDescent="0.25">
      <c r="A81" s="15"/>
      <c r="B81" s="76" t="s">
        <v>302</v>
      </c>
      <c r="C81" s="76" t="s">
        <v>141</v>
      </c>
      <c r="D81" s="76" t="s">
        <v>303</v>
      </c>
      <c r="E81" s="60">
        <v>5308676</v>
      </c>
      <c r="F81" s="60">
        <v>5351111</v>
      </c>
      <c r="G81" s="60">
        <v>5342069.54</v>
      </c>
      <c r="H81" s="61">
        <f t="shared" si="23"/>
        <v>0.99831035835362036</v>
      </c>
      <c r="I81" s="60"/>
      <c r="J81" s="109"/>
      <c r="K81" s="61"/>
      <c r="L81" s="109"/>
      <c r="M81" s="113"/>
      <c r="N81" s="62">
        <f t="shared" si="24"/>
        <v>5342069.54</v>
      </c>
      <c r="P81" s="27"/>
    </row>
    <row r="82" spans="1:16" ht="276" thickTop="1" thickBot="1" x14ac:dyDescent="0.25">
      <c r="A82" s="15"/>
      <c r="B82" s="76" t="s">
        <v>486</v>
      </c>
      <c r="C82" s="76" t="s">
        <v>141</v>
      </c>
      <c r="D82" s="76" t="s">
        <v>487</v>
      </c>
      <c r="E82" s="60">
        <v>267380</v>
      </c>
      <c r="F82" s="60">
        <v>267380</v>
      </c>
      <c r="G82" s="60">
        <v>267340.24</v>
      </c>
      <c r="H82" s="61">
        <f t="shared" si="23"/>
        <v>0.99985129777844262</v>
      </c>
      <c r="I82" s="60">
        <v>2304215</v>
      </c>
      <c r="J82" s="109">
        <v>2290569.0099999998</v>
      </c>
      <c r="K82" s="61">
        <f t="shared" si="34"/>
        <v>0.99407781391927397</v>
      </c>
      <c r="L82" s="109"/>
      <c r="M82" s="113"/>
      <c r="N82" s="62">
        <f t="shared" si="24"/>
        <v>2557909.25</v>
      </c>
      <c r="P82" s="27"/>
    </row>
    <row r="83" spans="1:16" s="20" customFormat="1" ht="93" thickTop="1" thickBot="1" x14ac:dyDescent="0.25">
      <c r="A83" s="23"/>
      <c r="B83" s="57" t="s">
        <v>304</v>
      </c>
      <c r="C83" s="57"/>
      <c r="D83" s="57" t="s">
        <v>305</v>
      </c>
      <c r="E83" s="92">
        <f t="shared" ref="E83:G83" si="35">SUM(E84:E85)</f>
        <v>11475096</v>
      </c>
      <c r="F83" s="92">
        <f t="shared" ref="F83" si="36">SUM(F84:F85)</f>
        <v>11661104</v>
      </c>
      <c r="G83" s="92">
        <f t="shared" si="35"/>
        <v>11594319.289999999</v>
      </c>
      <c r="H83" s="64">
        <f t="shared" si="23"/>
        <v>0.99427286558802663</v>
      </c>
      <c r="I83" s="92">
        <f t="shared" ref="I83:J83" si="37">SUM(I84:I85)</f>
        <v>2146088.12</v>
      </c>
      <c r="J83" s="92">
        <f t="shared" si="37"/>
        <v>2081660.85</v>
      </c>
      <c r="K83" s="64">
        <f t="shared" ref="K83:K85" si="38">J83/I83</f>
        <v>0.96997920570009022</v>
      </c>
      <c r="L83" s="123"/>
      <c r="M83" s="123"/>
      <c r="N83" s="63">
        <f t="shared" si="24"/>
        <v>13675980.139999999</v>
      </c>
      <c r="O83" s="21"/>
      <c r="P83" s="34"/>
    </row>
    <row r="84" spans="1:16" ht="93" thickTop="1" thickBot="1" x14ac:dyDescent="0.25">
      <c r="A84" s="15"/>
      <c r="B84" s="76" t="s">
        <v>306</v>
      </c>
      <c r="C84" s="76" t="s">
        <v>141</v>
      </c>
      <c r="D84" s="76" t="s">
        <v>307</v>
      </c>
      <c r="E84" s="60">
        <v>4435310</v>
      </c>
      <c r="F84" s="60">
        <v>4469233</v>
      </c>
      <c r="G84" s="60">
        <v>4410633.79</v>
      </c>
      <c r="H84" s="61">
        <f t="shared" si="23"/>
        <v>0.98688830723303078</v>
      </c>
      <c r="I84" s="60">
        <v>1231197.47</v>
      </c>
      <c r="J84" s="109">
        <v>1170459.29</v>
      </c>
      <c r="K84" s="61">
        <f t="shared" si="38"/>
        <v>0.95066739375284781</v>
      </c>
      <c r="L84" s="111"/>
      <c r="M84" s="104"/>
      <c r="N84" s="62">
        <f t="shared" si="24"/>
        <v>5581093.0800000001</v>
      </c>
      <c r="P84" s="27"/>
    </row>
    <row r="85" spans="1:16" ht="93" thickTop="1" thickBot="1" x14ac:dyDescent="0.25">
      <c r="A85" s="15"/>
      <c r="B85" s="76" t="s">
        <v>308</v>
      </c>
      <c r="C85" s="76" t="s">
        <v>141</v>
      </c>
      <c r="D85" s="76" t="s">
        <v>309</v>
      </c>
      <c r="E85" s="60">
        <v>7039786</v>
      </c>
      <c r="F85" s="60">
        <v>7191871</v>
      </c>
      <c r="G85" s="60">
        <v>7183685.5</v>
      </c>
      <c r="H85" s="61">
        <f t="shared" si="23"/>
        <v>0.99886183998572831</v>
      </c>
      <c r="I85" s="60">
        <v>914890.65</v>
      </c>
      <c r="J85" s="109">
        <v>911201.56</v>
      </c>
      <c r="K85" s="61">
        <f t="shared" si="38"/>
        <v>0.99596772576045023</v>
      </c>
      <c r="L85" s="111"/>
      <c r="M85" s="104"/>
      <c r="N85" s="62">
        <f t="shared" si="24"/>
        <v>8094887.0600000005</v>
      </c>
      <c r="P85" s="27"/>
    </row>
    <row r="86" spans="1:16" ht="409.6" thickTop="1" thickBot="1" x14ac:dyDescent="0.25">
      <c r="A86" s="15" t="s">
        <v>226</v>
      </c>
      <c r="B86" s="76" t="s">
        <v>227</v>
      </c>
      <c r="C86" s="76" t="s">
        <v>68</v>
      </c>
      <c r="D86" s="76" t="s">
        <v>228</v>
      </c>
      <c r="E86" s="62">
        <v>2246695</v>
      </c>
      <c r="F86" s="62">
        <v>2246695</v>
      </c>
      <c r="G86" s="62">
        <v>2125373.9700000002</v>
      </c>
      <c r="H86" s="61">
        <f t="shared" si="23"/>
        <v>0.94600022254912219</v>
      </c>
      <c r="I86" s="107"/>
      <c r="J86" s="62"/>
      <c r="K86" s="62"/>
      <c r="L86" s="62"/>
      <c r="M86" s="113"/>
      <c r="N86" s="62">
        <f t="shared" si="24"/>
        <v>2125373.9700000002</v>
      </c>
      <c r="P86" s="28"/>
    </row>
    <row r="87" spans="1:16" ht="138.75" thickTop="1" thickBot="1" x14ac:dyDescent="0.25">
      <c r="A87" s="23" t="s">
        <v>229</v>
      </c>
      <c r="B87" s="57" t="s">
        <v>230</v>
      </c>
      <c r="C87" s="57"/>
      <c r="D87" s="57" t="s">
        <v>231</v>
      </c>
      <c r="E87" s="63">
        <f>E88</f>
        <v>147491</v>
      </c>
      <c r="F87" s="63">
        <f>F88</f>
        <v>147491</v>
      </c>
      <c r="G87" s="63">
        <f t="shared" ref="G87" si="39">G88</f>
        <v>138399.18</v>
      </c>
      <c r="H87" s="64">
        <f t="shared" si="23"/>
        <v>0.9383567810917276</v>
      </c>
      <c r="I87" s="63"/>
      <c r="J87" s="63"/>
      <c r="K87" s="64"/>
      <c r="L87" s="63"/>
      <c r="M87" s="63"/>
      <c r="N87" s="63">
        <f t="shared" si="24"/>
        <v>138399.18</v>
      </c>
      <c r="O87" s="54"/>
      <c r="P87" s="28"/>
    </row>
    <row r="88" spans="1:16" ht="276" thickTop="1" thickBot="1" x14ac:dyDescent="0.25">
      <c r="A88" s="15" t="s">
        <v>232</v>
      </c>
      <c r="B88" s="76" t="s">
        <v>233</v>
      </c>
      <c r="C88" s="76" t="s">
        <v>68</v>
      </c>
      <c r="D88" s="76" t="s">
        <v>234</v>
      </c>
      <c r="E88" s="62">
        <v>147491</v>
      </c>
      <c r="F88" s="62">
        <v>147491</v>
      </c>
      <c r="G88" s="62">
        <v>138399.18</v>
      </c>
      <c r="H88" s="61">
        <f t="shared" si="23"/>
        <v>0.9383567810917276</v>
      </c>
      <c r="I88" s="107"/>
      <c r="J88" s="62"/>
      <c r="K88" s="62"/>
      <c r="L88" s="62"/>
      <c r="M88" s="113"/>
      <c r="N88" s="62">
        <f t="shared" si="24"/>
        <v>138399.18</v>
      </c>
      <c r="P88" s="28"/>
    </row>
    <row r="89" spans="1:16" ht="367.5" thickTop="1" thickBot="1" x14ac:dyDescent="0.25">
      <c r="A89" s="15" t="s">
        <v>235</v>
      </c>
      <c r="B89" s="76" t="s">
        <v>236</v>
      </c>
      <c r="C89" s="76" t="s">
        <v>88</v>
      </c>
      <c r="D89" s="76" t="s">
        <v>237</v>
      </c>
      <c r="E89" s="62">
        <v>2625425</v>
      </c>
      <c r="F89" s="62">
        <v>2625425</v>
      </c>
      <c r="G89" s="62">
        <v>2565476.56</v>
      </c>
      <c r="H89" s="61">
        <f t="shared" si="23"/>
        <v>0.97716619594922727</v>
      </c>
      <c r="I89" s="107"/>
      <c r="J89" s="62"/>
      <c r="K89" s="62"/>
      <c r="L89" s="62"/>
      <c r="M89" s="113"/>
      <c r="N89" s="62">
        <f t="shared" si="24"/>
        <v>2565476.56</v>
      </c>
      <c r="P89" s="28"/>
    </row>
    <row r="90" spans="1:16" s="20" customFormat="1" ht="93" thickTop="1" thickBot="1" x14ac:dyDescent="0.25">
      <c r="A90" s="23" t="s">
        <v>238</v>
      </c>
      <c r="B90" s="57" t="s">
        <v>239</v>
      </c>
      <c r="C90" s="57"/>
      <c r="D90" s="57" t="s">
        <v>240</v>
      </c>
      <c r="E90" s="63">
        <f t="shared" ref="E90:G90" si="40">E91</f>
        <v>500000</v>
      </c>
      <c r="F90" s="63">
        <f t="shared" si="40"/>
        <v>530000</v>
      </c>
      <c r="G90" s="63">
        <f t="shared" si="40"/>
        <v>529959.12</v>
      </c>
      <c r="H90" s="64">
        <f t="shared" si="23"/>
        <v>0.99992286792452834</v>
      </c>
      <c r="I90" s="63"/>
      <c r="J90" s="63"/>
      <c r="K90" s="64"/>
      <c r="L90" s="63"/>
      <c r="M90" s="63"/>
      <c r="N90" s="63">
        <f>G90+J90</f>
        <v>529959.12</v>
      </c>
      <c r="O90" s="54"/>
      <c r="P90" s="29"/>
    </row>
    <row r="91" spans="1:16" ht="230.25" thickTop="1" thickBot="1" x14ac:dyDescent="0.25">
      <c r="A91" s="15" t="s">
        <v>241</v>
      </c>
      <c r="B91" s="76" t="s">
        <v>242</v>
      </c>
      <c r="C91" s="76" t="s">
        <v>83</v>
      </c>
      <c r="D91" s="76" t="s">
        <v>243</v>
      </c>
      <c r="E91" s="62">
        <f>(500000)</f>
        <v>500000</v>
      </c>
      <c r="F91" s="62">
        <v>530000</v>
      </c>
      <c r="G91" s="62">
        <v>529959.12</v>
      </c>
      <c r="H91" s="61">
        <f t="shared" si="23"/>
        <v>0.99992286792452834</v>
      </c>
      <c r="I91" s="62"/>
      <c r="J91" s="62"/>
      <c r="K91" s="62"/>
      <c r="L91" s="62"/>
      <c r="M91" s="113"/>
      <c r="N91" s="62">
        <f t="shared" si="24"/>
        <v>529959.12</v>
      </c>
      <c r="P91" s="28"/>
    </row>
    <row r="92" spans="1:16" s="20" customFormat="1" ht="184.5" thickTop="1" thickBot="1" x14ac:dyDescent="0.25">
      <c r="A92" s="23" t="s">
        <v>244</v>
      </c>
      <c r="B92" s="57" t="s">
        <v>245</v>
      </c>
      <c r="C92" s="57"/>
      <c r="D92" s="57" t="s">
        <v>246</v>
      </c>
      <c r="E92" s="63">
        <f t="shared" ref="E92:J92" si="41">E93</f>
        <v>100040</v>
      </c>
      <c r="F92" s="63">
        <f t="shared" si="41"/>
        <v>100040</v>
      </c>
      <c r="G92" s="63">
        <f t="shared" si="41"/>
        <v>78903.59</v>
      </c>
      <c r="H92" s="64">
        <f>G92/F92</f>
        <v>0.78872041183526587</v>
      </c>
      <c r="I92" s="63">
        <f t="shared" si="41"/>
        <v>78903.570000000007</v>
      </c>
      <c r="J92" s="63">
        <f t="shared" si="41"/>
        <v>78903.570000000007</v>
      </c>
      <c r="K92" s="64">
        <f>J92/I92</f>
        <v>1</v>
      </c>
      <c r="L92" s="63"/>
      <c r="M92" s="63"/>
      <c r="N92" s="63">
        <f>G92+J92</f>
        <v>157807.16</v>
      </c>
      <c r="O92" s="54"/>
      <c r="P92" s="29"/>
    </row>
    <row r="93" spans="1:16" ht="93" thickTop="1" thickBot="1" x14ac:dyDescent="0.25">
      <c r="A93" s="15" t="s">
        <v>247</v>
      </c>
      <c r="B93" s="76" t="s">
        <v>248</v>
      </c>
      <c r="C93" s="76" t="s">
        <v>249</v>
      </c>
      <c r="D93" s="76" t="s">
        <v>250</v>
      </c>
      <c r="E93" s="62">
        <v>100040</v>
      </c>
      <c r="F93" s="62">
        <v>100040</v>
      </c>
      <c r="G93" s="62">
        <v>78903.59</v>
      </c>
      <c r="H93" s="61">
        <f t="shared" si="23"/>
        <v>0.78872041183526587</v>
      </c>
      <c r="I93" s="62">
        <v>78903.570000000007</v>
      </c>
      <c r="J93" s="62">
        <v>78903.570000000007</v>
      </c>
      <c r="K93" s="61">
        <f t="shared" ref="K93:K110" si="42">J93/I93</f>
        <v>1</v>
      </c>
      <c r="L93" s="62"/>
      <c r="M93" s="113"/>
      <c r="N93" s="62">
        <f>G93+J93</f>
        <v>157807.16</v>
      </c>
      <c r="P93" s="28"/>
    </row>
    <row r="94" spans="1:16" ht="230.25" thickTop="1" thickBot="1" x14ac:dyDescent="0.25">
      <c r="A94" s="15"/>
      <c r="B94" s="57" t="s">
        <v>499</v>
      </c>
      <c r="C94" s="57"/>
      <c r="D94" s="57" t="s">
        <v>500</v>
      </c>
      <c r="E94" s="63">
        <f>E95+E98+E102+E105</f>
        <v>0</v>
      </c>
      <c r="F94" s="63">
        <f>F95+F98+F102+F105</f>
        <v>0</v>
      </c>
      <c r="G94" s="63">
        <f t="shared" ref="G94" si="43">G95+G98+G102+G105</f>
        <v>0</v>
      </c>
      <c r="H94" s="64">
        <v>0</v>
      </c>
      <c r="I94" s="63">
        <f>I95+I98+I102+I105</f>
        <v>19837000.829999998</v>
      </c>
      <c r="J94" s="63">
        <f>J95+J98+J102+J105</f>
        <v>19836999.970000003</v>
      </c>
      <c r="K94" s="64">
        <f>J94/I94</f>
        <v>0.99999995664667241</v>
      </c>
      <c r="L94" s="63"/>
      <c r="M94" s="114"/>
      <c r="N94" s="63">
        <f>G94+J94</f>
        <v>19836999.970000003</v>
      </c>
      <c r="O94" s="54" t="s">
        <v>456</v>
      </c>
      <c r="P94" s="28"/>
    </row>
    <row r="95" spans="1:16" ht="409.6" thickTop="1" thickBot="1" x14ac:dyDescent="0.7">
      <c r="A95" s="15"/>
      <c r="B95" s="158" t="s">
        <v>501</v>
      </c>
      <c r="C95" s="158" t="s">
        <v>88</v>
      </c>
      <c r="D95" s="124" t="s">
        <v>502</v>
      </c>
      <c r="E95" s="161"/>
      <c r="F95" s="161"/>
      <c r="G95" s="161"/>
      <c r="H95" s="161"/>
      <c r="I95" s="161">
        <v>11298891.529999999</v>
      </c>
      <c r="J95" s="161">
        <v>11298891.529999999</v>
      </c>
      <c r="K95" s="162">
        <f>J95/I95</f>
        <v>1</v>
      </c>
      <c r="L95" s="62"/>
      <c r="M95" s="113"/>
      <c r="N95" s="161">
        <f>G95+J95</f>
        <v>11298891.529999999</v>
      </c>
      <c r="P95" s="28"/>
    </row>
    <row r="96" spans="1:16" ht="409.6" thickTop="1" thickBot="1" x14ac:dyDescent="0.25">
      <c r="A96" s="15"/>
      <c r="B96" s="159"/>
      <c r="C96" s="159"/>
      <c r="D96" s="125" t="s">
        <v>503</v>
      </c>
      <c r="E96" s="159"/>
      <c r="F96" s="159"/>
      <c r="G96" s="159"/>
      <c r="H96" s="159"/>
      <c r="I96" s="159"/>
      <c r="J96" s="159"/>
      <c r="K96" s="159"/>
      <c r="L96" s="62"/>
      <c r="M96" s="113"/>
      <c r="N96" s="159"/>
      <c r="P96" s="28"/>
    </row>
    <row r="97" spans="1:16" ht="409.6" thickTop="1" thickBot="1" x14ac:dyDescent="0.25">
      <c r="A97" s="15"/>
      <c r="B97" s="160"/>
      <c r="C97" s="160"/>
      <c r="D97" s="126" t="s">
        <v>504</v>
      </c>
      <c r="E97" s="160"/>
      <c r="F97" s="160"/>
      <c r="G97" s="160"/>
      <c r="H97" s="160"/>
      <c r="I97" s="160"/>
      <c r="J97" s="160"/>
      <c r="K97" s="160"/>
      <c r="L97" s="62"/>
      <c r="M97" s="113"/>
      <c r="N97" s="160"/>
      <c r="P97" s="28"/>
    </row>
    <row r="98" spans="1:16" ht="409.6" thickTop="1" thickBot="1" x14ac:dyDescent="0.7">
      <c r="A98" s="15"/>
      <c r="B98" s="158" t="s">
        <v>505</v>
      </c>
      <c r="C98" s="158" t="s">
        <v>88</v>
      </c>
      <c r="D98" s="124" t="s">
        <v>506</v>
      </c>
      <c r="E98" s="161"/>
      <c r="F98" s="161"/>
      <c r="G98" s="161"/>
      <c r="H98" s="161"/>
      <c r="I98" s="161">
        <v>5015358.5199999996</v>
      </c>
      <c r="J98" s="161">
        <v>5015358.38</v>
      </c>
      <c r="K98" s="162">
        <f>J98/I98</f>
        <v>0.99999997208574443</v>
      </c>
      <c r="L98" s="62"/>
      <c r="M98" s="113"/>
      <c r="N98" s="161">
        <f>G98+J98</f>
        <v>5015358.38</v>
      </c>
      <c r="P98" s="28"/>
    </row>
    <row r="99" spans="1:16" ht="409.6" thickTop="1" thickBot="1" x14ac:dyDescent="0.25">
      <c r="A99" s="15"/>
      <c r="B99" s="159"/>
      <c r="C99" s="159"/>
      <c r="D99" s="125" t="s">
        <v>507</v>
      </c>
      <c r="E99" s="159"/>
      <c r="F99" s="159"/>
      <c r="G99" s="159"/>
      <c r="H99" s="159"/>
      <c r="I99" s="159"/>
      <c r="J99" s="159"/>
      <c r="K99" s="159"/>
      <c r="L99" s="62"/>
      <c r="M99" s="113"/>
      <c r="N99" s="159"/>
      <c r="P99" s="28"/>
    </row>
    <row r="100" spans="1:16" ht="409.6" thickTop="1" thickBot="1" x14ac:dyDescent="0.25">
      <c r="A100" s="15"/>
      <c r="B100" s="159"/>
      <c r="C100" s="159"/>
      <c r="D100" s="125" t="s">
        <v>508</v>
      </c>
      <c r="E100" s="159"/>
      <c r="F100" s="159"/>
      <c r="G100" s="159"/>
      <c r="H100" s="159"/>
      <c r="I100" s="159"/>
      <c r="J100" s="159"/>
      <c r="K100" s="159"/>
      <c r="L100" s="62"/>
      <c r="M100" s="113"/>
      <c r="N100" s="159"/>
      <c r="P100" s="28"/>
    </row>
    <row r="101" spans="1:16" ht="184.5" thickTop="1" thickBot="1" x14ac:dyDescent="0.25">
      <c r="A101" s="15"/>
      <c r="B101" s="160"/>
      <c r="C101" s="160"/>
      <c r="D101" s="126" t="s">
        <v>509</v>
      </c>
      <c r="E101" s="160"/>
      <c r="F101" s="160"/>
      <c r="G101" s="160"/>
      <c r="H101" s="160"/>
      <c r="I101" s="160"/>
      <c r="J101" s="160"/>
      <c r="K101" s="160"/>
      <c r="L101" s="62"/>
      <c r="M101" s="113"/>
      <c r="N101" s="160"/>
      <c r="P101" s="28"/>
    </row>
    <row r="102" spans="1:16" ht="409.6" thickTop="1" thickBot="1" x14ac:dyDescent="0.7">
      <c r="A102" s="15"/>
      <c r="B102" s="158" t="s">
        <v>510</v>
      </c>
      <c r="C102" s="158" t="s">
        <v>88</v>
      </c>
      <c r="D102" s="124" t="s">
        <v>511</v>
      </c>
      <c r="E102" s="161"/>
      <c r="F102" s="161"/>
      <c r="G102" s="161"/>
      <c r="H102" s="161"/>
      <c r="I102" s="161">
        <v>1093438.78</v>
      </c>
      <c r="J102" s="161">
        <v>1093438.78</v>
      </c>
      <c r="K102" s="162">
        <f>J102/I102</f>
        <v>1</v>
      </c>
      <c r="L102" s="62"/>
      <c r="M102" s="113"/>
      <c r="N102" s="161">
        <f>G102+J102</f>
        <v>1093438.78</v>
      </c>
      <c r="P102" s="28"/>
    </row>
    <row r="103" spans="1:16" ht="409.6" thickTop="1" thickBot="1" x14ac:dyDescent="0.25">
      <c r="A103" s="15"/>
      <c r="B103" s="159"/>
      <c r="C103" s="159"/>
      <c r="D103" s="125" t="s">
        <v>512</v>
      </c>
      <c r="E103" s="159"/>
      <c r="F103" s="159"/>
      <c r="G103" s="159"/>
      <c r="H103" s="159"/>
      <c r="I103" s="159"/>
      <c r="J103" s="159"/>
      <c r="K103" s="159"/>
      <c r="L103" s="62"/>
      <c r="M103" s="113"/>
      <c r="N103" s="159"/>
      <c r="P103" s="28"/>
    </row>
    <row r="104" spans="1:16" ht="138.75" thickTop="1" thickBot="1" x14ac:dyDescent="0.25">
      <c r="A104" s="15"/>
      <c r="B104" s="160"/>
      <c r="C104" s="160"/>
      <c r="D104" s="126" t="s">
        <v>513</v>
      </c>
      <c r="E104" s="159"/>
      <c r="F104" s="159"/>
      <c r="G104" s="159"/>
      <c r="H104" s="159"/>
      <c r="I104" s="159"/>
      <c r="J104" s="159"/>
      <c r="K104" s="160"/>
      <c r="L104" s="62"/>
      <c r="M104" s="113"/>
      <c r="N104" s="159"/>
      <c r="P104" s="28"/>
    </row>
    <row r="105" spans="1:16" ht="409.6" thickTop="1" thickBot="1" x14ac:dyDescent="0.7">
      <c r="A105" s="15"/>
      <c r="B105" s="158" t="s">
        <v>514</v>
      </c>
      <c r="C105" s="158" t="s">
        <v>88</v>
      </c>
      <c r="D105" s="124" t="s">
        <v>515</v>
      </c>
      <c r="E105" s="161"/>
      <c r="F105" s="161"/>
      <c r="G105" s="161"/>
      <c r="H105" s="161"/>
      <c r="I105" s="161">
        <v>2429312</v>
      </c>
      <c r="J105" s="161">
        <v>2429311.2799999998</v>
      </c>
      <c r="K105" s="162">
        <f>J105/I105</f>
        <v>0.99999970361979018</v>
      </c>
      <c r="L105" s="62"/>
      <c r="M105" s="113"/>
      <c r="N105" s="161">
        <f t="shared" si="24"/>
        <v>2429311.2799999998</v>
      </c>
      <c r="P105" s="28"/>
    </row>
    <row r="106" spans="1:16" ht="367.5" customHeight="1" thickTop="1" thickBot="1" x14ac:dyDescent="0.25">
      <c r="A106" s="15"/>
      <c r="B106" s="159"/>
      <c r="C106" s="159"/>
      <c r="D106" s="125" t="s">
        <v>516</v>
      </c>
      <c r="E106" s="159"/>
      <c r="F106" s="159"/>
      <c r="G106" s="159"/>
      <c r="H106" s="159"/>
      <c r="I106" s="159"/>
      <c r="J106" s="159"/>
      <c r="K106" s="159"/>
      <c r="L106" s="62"/>
      <c r="M106" s="113"/>
      <c r="N106" s="159"/>
      <c r="P106" s="28"/>
    </row>
    <row r="107" spans="1:16" ht="93" thickTop="1" thickBot="1" x14ac:dyDescent="0.25">
      <c r="A107" s="15"/>
      <c r="B107" s="160"/>
      <c r="C107" s="160"/>
      <c r="D107" s="126" t="s">
        <v>517</v>
      </c>
      <c r="E107" s="159"/>
      <c r="F107" s="159"/>
      <c r="G107" s="159"/>
      <c r="H107" s="159"/>
      <c r="I107" s="159"/>
      <c r="J107" s="159"/>
      <c r="K107" s="160"/>
      <c r="L107" s="62"/>
      <c r="M107" s="113"/>
      <c r="N107" s="159"/>
      <c r="P107" s="28"/>
    </row>
    <row r="108" spans="1:16" s="20" customFormat="1" ht="48" thickTop="1" thickBot="1" x14ac:dyDescent="0.25">
      <c r="A108" s="23" t="s">
        <v>251</v>
      </c>
      <c r="B108" s="57" t="s">
        <v>252</v>
      </c>
      <c r="C108" s="57"/>
      <c r="D108" s="57" t="s">
        <v>253</v>
      </c>
      <c r="E108" s="63">
        <f t="shared" ref="E108:J108" si="44">SUM(E109:E110)</f>
        <v>38099435</v>
      </c>
      <c r="F108" s="63">
        <f t="shared" ref="F108" si="45">SUM(F109:F110)</f>
        <v>39452175</v>
      </c>
      <c r="G108" s="63">
        <f t="shared" si="44"/>
        <v>37930890.600000001</v>
      </c>
      <c r="H108" s="64">
        <f t="shared" si="23"/>
        <v>0.96143978373815897</v>
      </c>
      <c r="I108" s="63">
        <f t="shared" si="44"/>
        <v>1588676.95</v>
      </c>
      <c r="J108" s="63">
        <f t="shared" si="44"/>
        <v>1565057.31</v>
      </c>
      <c r="K108" s="64">
        <f t="shared" si="42"/>
        <v>0.98513250916116091</v>
      </c>
      <c r="L108" s="63"/>
      <c r="M108" s="63"/>
      <c r="N108" s="63">
        <f t="shared" si="24"/>
        <v>39495947.910000004</v>
      </c>
      <c r="O108" s="21"/>
      <c r="P108" s="29"/>
    </row>
    <row r="109" spans="1:16" ht="184.5" thickTop="1" thickBot="1" x14ac:dyDescent="0.25">
      <c r="A109" s="15" t="s">
        <v>254</v>
      </c>
      <c r="B109" s="101" t="s">
        <v>255</v>
      </c>
      <c r="C109" s="101" t="s">
        <v>97</v>
      </c>
      <c r="D109" s="89" t="s">
        <v>256</v>
      </c>
      <c r="E109" s="62">
        <v>7868312</v>
      </c>
      <c r="F109" s="62">
        <v>7334512</v>
      </c>
      <c r="G109" s="60">
        <v>7249409.9900000002</v>
      </c>
      <c r="H109" s="61">
        <f t="shared" si="23"/>
        <v>0.98839704536579942</v>
      </c>
      <c r="I109" s="62">
        <v>1354766.95</v>
      </c>
      <c r="J109" s="62">
        <v>1332380.44</v>
      </c>
      <c r="K109" s="61">
        <f t="shared" si="42"/>
        <v>0.98347574835657159</v>
      </c>
      <c r="L109" s="62"/>
      <c r="M109" s="113"/>
      <c r="N109" s="62">
        <f t="shared" si="24"/>
        <v>8581790.4299999997</v>
      </c>
      <c r="P109" s="27"/>
    </row>
    <row r="110" spans="1:16" ht="138.75" thickTop="1" thickBot="1" x14ac:dyDescent="0.25">
      <c r="A110" s="15" t="s">
        <v>257</v>
      </c>
      <c r="B110" s="101" t="s">
        <v>258</v>
      </c>
      <c r="C110" s="101" t="s">
        <v>97</v>
      </c>
      <c r="D110" s="89" t="s">
        <v>259</v>
      </c>
      <c r="E110" s="62">
        <v>30231123</v>
      </c>
      <c r="F110" s="62">
        <v>32117663</v>
      </c>
      <c r="G110" s="62">
        <v>30681480.609999999</v>
      </c>
      <c r="H110" s="61">
        <f t="shared" si="23"/>
        <v>0.9552837206741972</v>
      </c>
      <c r="I110" s="62">
        <v>233910</v>
      </c>
      <c r="J110" s="62">
        <v>232676.87</v>
      </c>
      <c r="K110" s="61">
        <f t="shared" si="42"/>
        <v>0.99472818605446534</v>
      </c>
      <c r="L110" s="62"/>
      <c r="M110" s="113"/>
      <c r="N110" s="62">
        <f t="shared" si="24"/>
        <v>30914157.48</v>
      </c>
      <c r="P110" s="27"/>
    </row>
    <row r="111" spans="1:16" s="11" customFormat="1" ht="92.25" customHeight="1" thickTop="1" thickBot="1" x14ac:dyDescent="0.25">
      <c r="A111" s="8" t="s">
        <v>272</v>
      </c>
      <c r="B111" s="70" t="s">
        <v>273</v>
      </c>
      <c r="C111" s="70"/>
      <c r="D111" s="71" t="s">
        <v>274</v>
      </c>
      <c r="E111" s="72">
        <f>SUM(E112:E118)-E116</f>
        <v>55747535</v>
      </c>
      <c r="F111" s="72">
        <f>SUM(F112:F118)-F116</f>
        <v>56248695</v>
      </c>
      <c r="G111" s="72">
        <f t="shared" ref="G111:J111" si="46">SUM(G112:G118)-G116</f>
        <v>55973385.659999989</v>
      </c>
      <c r="H111" s="73">
        <f>G111/F111</f>
        <v>0.99510549818089089</v>
      </c>
      <c r="I111" s="72">
        <f t="shared" si="46"/>
        <v>7773090.6900000004</v>
      </c>
      <c r="J111" s="72">
        <f t="shared" si="46"/>
        <v>7589122.9399999995</v>
      </c>
      <c r="K111" s="73">
        <f>J111/I111</f>
        <v>0.97633274107599521</v>
      </c>
      <c r="L111" s="72"/>
      <c r="M111" s="72"/>
      <c r="N111" s="74">
        <f>J111+G111</f>
        <v>63562508.599999987</v>
      </c>
      <c r="O111" s="66" t="b">
        <f>N111=N112+N113+N114+N115+N117+N118</f>
        <v>1</v>
      </c>
      <c r="P111" s="28"/>
    </row>
    <row r="112" spans="1:16" ht="48" thickTop="1" thickBot="1" x14ac:dyDescent="0.25">
      <c r="A112" s="15" t="s">
        <v>275</v>
      </c>
      <c r="B112" s="76" t="s">
        <v>276</v>
      </c>
      <c r="C112" s="76" t="s">
        <v>277</v>
      </c>
      <c r="D112" s="76" t="s">
        <v>278</v>
      </c>
      <c r="E112" s="62">
        <v>1030790</v>
      </c>
      <c r="F112" s="62">
        <v>1030790</v>
      </c>
      <c r="G112" s="62">
        <v>1030728.56</v>
      </c>
      <c r="H112" s="61">
        <f t="shared" ref="H112:H133" si="47">G112/F112</f>
        <v>0.99994039523084244</v>
      </c>
      <c r="I112" s="100"/>
      <c r="J112" s="100"/>
      <c r="K112" s="100"/>
      <c r="L112" s="100"/>
      <c r="M112" s="104"/>
      <c r="N112" s="62">
        <f t="shared" ref="N112:N133" si="48">G112+J112</f>
        <v>1030728.56</v>
      </c>
      <c r="P112" s="28"/>
    </row>
    <row r="113" spans="1:16" ht="93" thickTop="1" thickBot="1" x14ac:dyDescent="0.25">
      <c r="A113" s="15" t="s">
        <v>279</v>
      </c>
      <c r="B113" s="76" t="s">
        <v>280</v>
      </c>
      <c r="C113" s="76" t="s">
        <v>281</v>
      </c>
      <c r="D113" s="76" t="s">
        <v>282</v>
      </c>
      <c r="E113" s="62">
        <v>13805895</v>
      </c>
      <c r="F113" s="62">
        <v>13982025</v>
      </c>
      <c r="G113" s="62">
        <v>13923026.220000001</v>
      </c>
      <c r="H113" s="61">
        <f t="shared" si="47"/>
        <v>0.99578038374269828</v>
      </c>
      <c r="I113" s="62">
        <v>1321119.1599999999</v>
      </c>
      <c r="J113" s="62">
        <v>1204448.69</v>
      </c>
      <c r="K113" s="61">
        <f t="shared" ref="K113:K117" si="49">J113/I113</f>
        <v>0.91168815536669678</v>
      </c>
      <c r="L113" s="62"/>
      <c r="M113" s="113"/>
      <c r="N113" s="62">
        <f t="shared" si="48"/>
        <v>15127474.91</v>
      </c>
      <c r="P113" s="27"/>
    </row>
    <row r="114" spans="1:16" ht="93" thickTop="1" thickBot="1" x14ac:dyDescent="0.25">
      <c r="A114" s="15" t="s">
        <v>283</v>
      </c>
      <c r="B114" s="76" t="s">
        <v>284</v>
      </c>
      <c r="C114" s="76" t="s">
        <v>281</v>
      </c>
      <c r="D114" s="76" t="s">
        <v>285</v>
      </c>
      <c r="E114" s="62">
        <f>(1328500+292270+14055+20330+139800+4305+53715+3980)</f>
        <v>1856955</v>
      </c>
      <c r="F114" s="62">
        <v>1948435</v>
      </c>
      <c r="G114" s="62">
        <v>1911574.08</v>
      </c>
      <c r="H114" s="61">
        <f t="shared" si="47"/>
        <v>0.98108178101912569</v>
      </c>
      <c r="I114" s="62">
        <v>5234012.34</v>
      </c>
      <c r="J114" s="62">
        <v>5227007.26</v>
      </c>
      <c r="K114" s="61">
        <f t="shared" si="49"/>
        <v>0.99866162333121289</v>
      </c>
      <c r="L114" s="62"/>
      <c r="M114" s="113"/>
      <c r="N114" s="62">
        <f t="shared" si="48"/>
        <v>7138581.3399999999</v>
      </c>
      <c r="P114" s="27"/>
    </row>
    <row r="115" spans="1:16" ht="184.5" thickTop="1" thickBot="1" x14ac:dyDescent="0.25">
      <c r="A115" s="15" t="s">
        <v>286</v>
      </c>
      <c r="B115" s="76" t="s">
        <v>287</v>
      </c>
      <c r="C115" s="76" t="s">
        <v>288</v>
      </c>
      <c r="D115" s="76" t="s">
        <v>289</v>
      </c>
      <c r="E115" s="62">
        <v>13555465</v>
      </c>
      <c r="F115" s="62">
        <v>13729115</v>
      </c>
      <c r="G115" s="62">
        <v>13669110.76</v>
      </c>
      <c r="H115" s="61">
        <f t="shared" si="47"/>
        <v>0.99562941675410244</v>
      </c>
      <c r="I115" s="62">
        <v>471435.41</v>
      </c>
      <c r="J115" s="62">
        <v>425949.42</v>
      </c>
      <c r="K115" s="61">
        <f t="shared" si="49"/>
        <v>0.90351596626990749</v>
      </c>
      <c r="L115" s="62"/>
      <c r="M115" s="113"/>
      <c r="N115" s="62">
        <f t="shared" si="48"/>
        <v>14095060.18</v>
      </c>
      <c r="P115" s="27"/>
    </row>
    <row r="116" spans="1:16" ht="93" thickTop="1" thickBot="1" x14ac:dyDescent="0.25">
      <c r="A116" s="23" t="s">
        <v>290</v>
      </c>
      <c r="B116" s="57" t="s">
        <v>291</v>
      </c>
      <c r="C116" s="57"/>
      <c r="D116" s="57" t="s">
        <v>292</v>
      </c>
      <c r="E116" s="63">
        <f t="shared" ref="E116:J116" si="50">SUM(E117:E118)</f>
        <v>25498430</v>
      </c>
      <c r="F116" s="63">
        <f t="shared" ref="F116" si="51">SUM(F117:F118)</f>
        <v>25558330</v>
      </c>
      <c r="G116" s="63">
        <f t="shared" si="50"/>
        <v>25438946.039999999</v>
      </c>
      <c r="H116" s="64">
        <f t="shared" si="47"/>
        <v>0.99532896085151101</v>
      </c>
      <c r="I116" s="63">
        <f t="shared" si="50"/>
        <v>746523.78</v>
      </c>
      <c r="J116" s="63">
        <f t="shared" si="50"/>
        <v>731717.57</v>
      </c>
      <c r="K116" s="64">
        <f t="shared" si="49"/>
        <v>0.98016645899746146</v>
      </c>
      <c r="L116" s="121"/>
      <c r="M116" s="121"/>
      <c r="N116" s="63">
        <f t="shared" si="48"/>
        <v>26170663.609999999</v>
      </c>
      <c r="P116" s="27"/>
    </row>
    <row r="117" spans="1:16" ht="138.75" thickTop="1" thickBot="1" x14ac:dyDescent="0.25">
      <c r="A117" s="15" t="s">
        <v>293</v>
      </c>
      <c r="B117" s="76" t="s">
        <v>294</v>
      </c>
      <c r="C117" s="76" t="s">
        <v>295</v>
      </c>
      <c r="D117" s="76" t="s">
        <v>296</v>
      </c>
      <c r="E117" s="62">
        <v>19182270</v>
      </c>
      <c r="F117" s="62">
        <v>19192170</v>
      </c>
      <c r="G117" s="62">
        <v>19083286.539999999</v>
      </c>
      <c r="H117" s="61">
        <f t="shared" si="47"/>
        <v>0.99432667280458642</v>
      </c>
      <c r="I117" s="62">
        <v>746523.78</v>
      </c>
      <c r="J117" s="62">
        <v>731717.57</v>
      </c>
      <c r="K117" s="61">
        <f t="shared" si="49"/>
        <v>0.98016645899746146</v>
      </c>
      <c r="L117" s="62"/>
      <c r="M117" s="113"/>
      <c r="N117" s="62">
        <f t="shared" si="48"/>
        <v>19815004.109999999</v>
      </c>
      <c r="P117" s="28"/>
    </row>
    <row r="118" spans="1:16" ht="93" thickTop="1" thickBot="1" x14ac:dyDescent="0.25">
      <c r="A118" s="15" t="s">
        <v>297</v>
      </c>
      <c r="B118" s="76" t="s">
        <v>298</v>
      </c>
      <c r="C118" s="76" t="s">
        <v>295</v>
      </c>
      <c r="D118" s="76" t="s">
        <v>299</v>
      </c>
      <c r="E118" s="62">
        <v>6316160</v>
      </c>
      <c r="F118" s="62">
        <v>6366160</v>
      </c>
      <c r="G118" s="62">
        <v>6355659.5</v>
      </c>
      <c r="H118" s="61">
        <f t="shared" si="47"/>
        <v>0.99835057554318463</v>
      </c>
      <c r="I118" s="100"/>
      <c r="J118" s="100"/>
      <c r="K118" s="100"/>
      <c r="L118" s="100"/>
      <c r="M118" s="104"/>
      <c r="N118" s="62">
        <f t="shared" si="48"/>
        <v>6355659.5</v>
      </c>
      <c r="P118" s="28"/>
    </row>
    <row r="119" spans="1:16" ht="77.25" customHeight="1" thickTop="1" thickBot="1" x14ac:dyDescent="0.25">
      <c r="A119" s="8" t="s">
        <v>310</v>
      </c>
      <c r="B119" s="70" t="s">
        <v>311</v>
      </c>
      <c r="C119" s="70"/>
      <c r="D119" s="71" t="s">
        <v>312</v>
      </c>
      <c r="E119" s="72">
        <f>SUM(E120:E133)-E120-E123-E125-E130-E128</f>
        <v>77681852</v>
      </c>
      <c r="F119" s="72">
        <f>SUM(F120:F133)-F120-F123-F125-F130-F128</f>
        <v>81346685</v>
      </c>
      <c r="G119" s="72">
        <f>SUM(G120:G133)-G120-G123-G125-G130-G128</f>
        <v>80954265.519999966</v>
      </c>
      <c r="H119" s="73">
        <f>G119/F119</f>
        <v>0.99517596224111615</v>
      </c>
      <c r="I119" s="72">
        <f>SUM(I120:I133)-I120-I123-I125-I130-I128</f>
        <v>177959581.87000006</v>
      </c>
      <c r="J119" s="72">
        <f>SUM(J120:J133)-J120-J123-J125-J130-J128</f>
        <v>177490873.09000003</v>
      </c>
      <c r="K119" s="73">
        <f>J119/I119</f>
        <v>0.99736620655614694</v>
      </c>
      <c r="L119" s="72"/>
      <c r="M119" s="72"/>
      <c r="N119" s="74">
        <f>J119+G119</f>
        <v>258445138.61000001</v>
      </c>
      <c r="O119" s="66" t="b">
        <f>N119=N121+N122+N124+N126+N127+N129+N131+N132+N133</f>
        <v>1</v>
      </c>
      <c r="P119" s="27"/>
    </row>
    <row r="120" spans="1:16" s="20" customFormat="1" ht="123" thickTop="1" thickBot="1" x14ac:dyDescent="0.25">
      <c r="A120" s="23" t="s">
        <v>313</v>
      </c>
      <c r="B120" s="57" t="s">
        <v>314</v>
      </c>
      <c r="C120" s="57"/>
      <c r="D120" s="57" t="s">
        <v>315</v>
      </c>
      <c r="E120" s="92">
        <f t="shared" ref="E120:G120" si="52">SUM(E121:E122)</f>
        <v>17074487</v>
      </c>
      <c r="F120" s="92">
        <f t="shared" ref="F120" si="53">SUM(F121:F122)</f>
        <v>20318487</v>
      </c>
      <c r="G120" s="92">
        <f t="shared" si="52"/>
        <v>20312033.25</v>
      </c>
      <c r="H120" s="64">
        <f t="shared" si="47"/>
        <v>0.99968237054264919</v>
      </c>
      <c r="I120" s="123"/>
      <c r="J120" s="123"/>
      <c r="K120" s="122"/>
      <c r="L120" s="123"/>
      <c r="M120" s="123"/>
      <c r="N120" s="63">
        <f t="shared" si="48"/>
        <v>20312033.25</v>
      </c>
      <c r="O120" s="54" t="s">
        <v>456</v>
      </c>
      <c r="P120" s="30"/>
    </row>
    <row r="121" spans="1:16" s="33" customFormat="1" ht="138.75" thickTop="1" thickBot="1" x14ac:dyDescent="0.25">
      <c r="A121" s="15" t="s">
        <v>316</v>
      </c>
      <c r="B121" s="76" t="s">
        <v>317</v>
      </c>
      <c r="C121" s="76" t="s">
        <v>318</v>
      </c>
      <c r="D121" s="76" t="s">
        <v>319</v>
      </c>
      <c r="E121" s="60">
        <v>15164902</v>
      </c>
      <c r="F121" s="60">
        <v>17930902</v>
      </c>
      <c r="G121" s="62">
        <v>17929106.100000001</v>
      </c>
      <c r="H121" s="61">
        <f t="shared" si="47"/>
        <v>0.99989984329845771</v>
      </c>
      <c r="I121" s="100"/>
      <c r="J121" s="100"/>
      <c r="K121" s="100"/>
      <c r="L121" s="100"/>
      <c r="M121" s="104"/>
      <c r="N121" s="62">
        <f t="shared" si="48"/>
        <v>17929106.100000001</v>
      </c>
      <c r="O121" s="31"/>
      <c r="P121" s="32"/>
    </row>
    <row r="122" spans="1:16" s="33" customFormat="1" ht="138.75" thickTop="1" thickBot="1" x14ac:dyDescent="0.25">
      <c r="A122" s="15" t="s">
        <v>320</v>
      </c>
      <c r="B122" s="76" t="s">
        <v>321</v>
      </c>
      <c r="C122" s="76" t="s">
        <v>318</v>
      </c>
      <c r="D122" s="76" t="s">
        <v>322</v>
      </c>
      <c r="E122" s="60">
        <v>1909585</v>
      </c>
      <c r="F122" s="60">
        <v>2387585</v>
      </c>
      <c r="G122" s="62">
        <v>2382927.15</v>
      </c>
      <c r="H122" s="61">
        <f t="shared" si="47"/>
        <v>0.99804913751761715</v>
      </c>
      <c r="I122" s="62"/>
      <c r="J122" s="62"/>
      <c r="K122" s="62"/>
      <c r="L122" s="62"/>
      <c r="M122" s="113"/>
      <c r="N122" s="62">
        <f t="shared" si="48"/>
        <v>2382927.15</v>
      </c>
      <c r="O122" s="31"/>
      <c r="P122" s="32"/>
    </row>
    <row r="123" spans="1:16" s="20" customFormat="1" ht="184.5" thickTop="1" thickBot="1" x14ac:dyDescent="0.25">
      <c r="A123" s="23" t="s">
        <v>323</v>
      </c>
      <c r="B123" s="57" t="s">
        <v>324</v>
      </c>
      <c r="C123" s="57"/>
      <c r="D123" s="57" t="s">
        <v>325</v>
      </c>
      <c r="E123" s="92">
        <f t="shared" ref="E123:G123" si="54">E124</f>
        <v>60300</v>
      </c>
      <c r="F123" s="92">
        <f t="shared" si="54"/>
        <v>14300</v>
      </c>
      <c r="G123" s="92">
        <f t="shared" si="54"/>
        <v>8715</v>
      </c>
      <c r="H123" s="64">
        <f t="shared" si="47"/>
        <v>0.60944055944055942</v>
      </c>
      <c r="I123" s="92"/>
      <c r="J123" s="92"/>
      <c r="K123" s="64"/>
      <c r="L123" s="92"/>
      <c r="M123" s="92"/>
      <c r="N123" s="63">
        <f t="shared" si="48"/>
        <v>8715</v>
      </c>
      <c r="O123" s="54" t="s">
        <v>456</v>
      </c>
      <c r="P123" s="34"/>
    </row>
    <row r="124" spans="1:16" s="33" customFormat="1" ht="184.5" thickTop="1" thickBot="1" x14ac:dyDescent="0.25">
      <c r="A124" s="15" t="s">
        <v>326</v>
      </c>
      <c r="B124" s="76" t="s">
        <v>327</v>
      </c>
      <c r="C124" s="76" t="s">
        <v>318</v>
      </c>
      <c r="D124" s="76" t="s">
        <v>328</v>
      </c>
      <c r="E124" s="60">
        <f>(4295+56005)</f>
        <v>60300</v>
      </c>
      <c r="F124" s="60">
        <v>14300</v>
      </c>
      <c r="G124" s="60">
        <v>8715</v>
      </c>
      <c r="H124" s="61">
        <f t="shared" si="47"/>
        <v>0.60944055944055942</v>
      </c>
      <c r="I124" s="62"/>
      <c r="J124" s="60"/>
      <c r="K124" s="60"/>
      <c r="L124" s="60"/>
      <c r="M124" s="113"/>
      <c r="N124" s="62">
        <f t="shared" si="48"/>
        <v>8715</v>
      </c>
      <c r="O124" s="31"/>
      <c r="P124" s="32"/>
    </row>
    <row r="125" spans="1:16" ht="93" thickTop="1" thickBot="1" x14ac:dyDescent="0.25">
      <c r="A125" s="23" t="s">
        <v>329</v>
      </c>
      <c r="B125" s="57" t="s">
        <v>330</v>
      </c>
      <c r="C125" s="57"/>
      <c r="D125" s="57" t="s">
        <v>331</v>
      </c>
      <c r="E125" s="92">
        <f t="shared" ref="E125:J125" si="55">SUM(E126:E127)</f>
        <v>56032394</v>
      </c>
      <c r="F125" s="92">
        <f t="shared" ref="F125" si="56">SUM(F126:F127)</f>
        <v>56862227</v>
      </c>
      <c r="G125" s="92">
        <f t="shared" si="55"/>
        <v>56616658.039999999</v>
      </c>
      <c r="H125" s="64">
        <f t="shared" si="47"/>
        <v>0.99568133411306592</v>
      </c>
      <c r="I125" s="92">
        <f t="shared" si="55"/>
        <v>12723468.210000001</v>
      </c>
      <c r="J125" s="92">
        <f t="shared" si="55"/>
        <v>12541994.529999999</v>
      </c>
      <c r="K125" s="64">
        <f t="shared" ref="K125:K130" si="57">J125/I125</f>
        <v>0.9857370901546032</v>
      </c>
      <c r="L125" s="123"/>
      <c r="M125" s="123"/>
      <c r="N125" s="63">
        <f t="shared" si="48"/>
        <v>69158652.569999993</v>
      </c>
      <c r="P125" s="27"/>
    </row>
    <row r="126" spans="1:16" s="33" customFormat="1" ht="184.5" thickTop="1" thickBot="1" x14ac:dyDescent="0.25">
      <c r="A126" s="15" t="s">
        <v>332</v>
      </c>
      <c r="B126" s="76" t="s">
        <v>333</v>
      </c>
      <c r="C126" s="76" t="s">
        <v>318</v>
      </c>
      <c r="D126" s="76" t="s">
        <v>334</v>
      </c>
      <c r="E126" s="60">
        <v>46954824</v>
      </c>
      <c r="F126" s="60">
        <v>47309077</v>
      </c>
      <c r="G126" s="60">
        <v>47083956.869999997</v>
      </c>
      <c r="H126" s="61">
        <f t="shared" si="47"/>
        <v>0.99524150238652931</v>
      </c>
      <c r="I126" s="60">
        <v>12459268.210000001</v>
      </c>
      <c r="J126" s="60">
        <v>12277794.529999999</v>
      </c>
      <c r="K126" s="61">
        <f t="shared" si="57"/>
        <v>0.98543464375746015</v>
      </c>
      <c r="L126" s="60"/>
      <c r="M126" s="113"/>
      <c r="N126" s="62">
        <f t="shared" si="48"/>
        <v>59361751.399999999</v>
      </c>
      <c r="O126" s="31"/>
      <c r="P126" s="32"/>
    </row>
    <row r="127" spans="1:16" s="33" customFormat="1" ht="184.5" thickTop="1" thickBot="1" x14ac:dyDescent="0.25">
      <c r="A127" s="15" t="s">
        <v>335</v>
      </c>
      <c r="B127" s="76" t="s">
        <v>336</v>
      </c>
      <c r="C127" s="76" t="s">
        <v>318</v>
      </c>
      <c r="D127" s="76" t="s">
        <v>337</v>
      </c>
      <c r="E127" s="60">
        <v>9077570</v>
      </c>
      <c r="F127" s="60">
        <v>9553150</v>
      </c>
      <c r="G127" s="60">
        <v>9532701.1699999999</v>
      </c>
      <c r="H127" s="61">
        <f t="shared" si="47"/>
        <v>0.9978594672961274</v>
      </c>
      <c r="I127" s="60">
        <v>264200</v>
      </c>
      <c r="J127" s="60">
        <v>264200</v>
      </c>
      <c r="K127" s="61">
        <f t="shared" si="57"/>
        <v>1</v>
      </c>
      <c r="L127" s="60"/>
      <c r="M127" s="113"/>
      <c r="N127" s="62">
        <f t="shared" si="48"/>
        <v>9796901.1699999999</v>
      </c>
      <c r="O127" s="31"/>
      <c r="P127" s="32"/>
    </row>
    <row r="128" spans="1:16" s="33" customFormat="1" ht="93" thickTop="1" thickBot="1" x14ac:dyDescent="0.25">
      <c r="A128" s="15"/>
      <c r="B128" s="57" t="s">
        <v>396</v>
      </c>
      <c r="C128" s="57"/>
      <c r="D128" s="57" t="s">
        <v>397</v>
      </c>
      <c r="E128" s="92">
        <f t="shared" ref="E128:J128" si="58">E129</f>
        <v>0</v>
      </c>
      <c r="F128" s="92">
        <f t="shared" si="58"/>
        <v>0</v>
      </c>
      <c r="G128" s="92">
        <f t="shared" si="58"/>
        <v>0</v>
      </c>
      <c r="H128" s="64">
        <v>0</v>
      </c>
      <c r="I128" s="92">
        <f t="shared" si="58"/>
        <v>164955840</v>
      </c>
      <c r="J128" s="92">
        <f t="shared" si="58"/>
        <v>164687733.56</v>
      </c>
      <c r="K128" s="64">
        <f t="shared" si="57"/>
        <v>0.99837467748944209</v>
      </c>
      <c r="L128" s="92"/>
      <c r="M128" s="92"/>
      <c r="N128" s="63">
        <f t="shared" si="48"/>
        <v>164687733.56</v>
      </c>
      <c r="O128" s="31"/>
      <c r="P128" s="32"/>
    </row>
    <row r="129" spans="1:16" s="33" customFormat="1" ht="321.75" thickTop="1" thickBot="1" x14ac:dyDescent="0.25">
      <c r="A129" s="15"/>
      <c r="B129" s="112" t="s">
        <v>398</v>
      </c>
      <c r="C129" s="112" t="s">
        <v>318</v>
      </c>
      <c r="D129" s="112" t="s">
        <v>399</v>
      </c>
      <c r="E129" s="100"/>
      <c r="F129" s="100"/>
      <c r="G129" s="100"/>
      <c r="H129" s="127"/>
      <c r="I129" s="62">
        <v>164955840</v>
      </c>
      <c r="J129" s="62">
        <v>164687733.56</v>
      </c>
      <c r="K129" s="61">
        <f t="shared" si="57"/>
        <v>0.99837467748944209</v>
      </c>
      <c r="L129" s="62"/>
      <c r="M129" s="113"/>
      <c r="N129" s="62">
        <f t="shared" si="48"/>
        <v>164687733.56</v>
      </c>
      <c r="O129" s="31"/>
      <c r="P129" s="32"/>
    </row>
    <row r="130" spans="1:16" ht="93" thickTop="1" thickBot="1" x14ac:dyDescent="0.25">
      <c r="A130" s="35" t="s">
        <v>338</v>
      </c>
      <c r="B130" s="57" t="s">
        <v>339</v>
      </c>
      <c r="C130" s="57"/>
      <c r="D130" s="57" t="s">
        <v>340</v>
      </c>
      <c r="E130" s="92">
        <f t="shared" ref="E130:J130" si="59">SUM(E131:E133)</f>
        <v>4514671</v>
      </c>
      <c r="F130" s="92">
        <f t="shared" ref="F130" si="60">SUM(F131:F133)</f>
        <v>4151671</v>
      </c>
      <c r="G130" s="92">
        <f t="shared" si="59"/>
        <v>4016859.23</v>
      </c>
      <c r="H130" s="64">
        <f t="shared" si="47"/>
        <v>0.96752831088975977</v>
      </c>
      <c r="I130" s="92">
        <f t="shared" si="59"/>
        <v>280273.65999999997</v>
      </c>
      <c r="J130" s="92">
        <f t="shared" si="59"/>
        <v>261145</v>
      </c>
      <c r="K130" s="64">
        <f t="shared" si="57"/>
        <v>0.93175006170754693</v>
      </c>
      <c r="L130" s="123"/>
      <c r="M130" s="123"/>
      <c r="N130" s="63">
        <f t="shared" si="48"/>
        <v>4278004.2300000004</v>
      </c>
      <c r="P130" s="27"/>
    </row>
    <row r="131" spans="1:16" s="33" customFormat="1" ht="276" thickTop="1" thickBot="1" x14ac:dyDescent="0.25">
      <c r="A131" s="36" t="s">
        <v>341</v>
      </c>
      <c r="B131" s="93" t="s">
        <v>342</v>
      </c>
      <c r="C131" s="93" t="s">
        <v>318</v>
      </c>
      <c r="D131" s="76" t="s">
        <v>343</v>
      </c>
      <c r="E131" s="60">
        <v>768820</v>
      </c>
      <c r="F131" s="60">
        <v>480820</v>
      </c>
      <c r="G131" s="62">
        <v>478662.54</v>
      </c>
      <c r="H131" s="61">
        <f t="shared" si="47"/>
        <v>0.99551295703173737</v>
      </c>
      <c r="I131" s="62"/>
      <c r="J131" s="62"/>
      <c r="K131" s="62"/>
      <c r="L131" s="62"/>
      <c r="M131" s="113"/>
      <c r="N131" s="62">
        <f t="shared" si="48"/>
        <v>478662.54</v>
      </c>
      <c r="O131" s="31"/>
      <c r="P131" s="32"/>
    </row>
    <row r="132" spans="1:16" s="33" customFormat="1" ht="184.5" thickTop="1" thickBot="1" x14ac:dyDescent="0.25">
      <c r="A132" s="36" t="s">
        <v>344</v>
      </c>
      <c r="B132" s="93" t="s">
        <v>345</v>
      </c>
      <c r="C132" s="93" t="s">
        <v>318</v>
      </c>
      <c r="D132" s="76" t="s">
        <v>346</v>
      </c>
      <c r="E132" s="60">
        <v>1969086</v>
      </c>
      <c r="F132" s="60">
        <v>1894086</v>
      </c>
      <c r="G132" s="62">
        <v>1828915</v>
      </c>
      <c r="H132" s="61">
        <f t="shared" si="47"/>
        <v>0.9655923754254031</v>
      </c>
      <c r="I132" s="62"/>
      <c r="J132" s="62"/>
      <c r="K132" s="62"/>
      <c r="L132" s="62"/>
      <c r="M132" s="113"/>
      <c r="N132" s="62">
        <f t="shared" si="48"/>
        <v>1828915</v>
      </c>
      <c r="O132" s="31"/>
      <c r="P132" s="32"/>
    </row>
    <row r="133" spans="1:16" s="33" customFormat="1" ht="93" thickTop="1" thickBot="1" x14ac:dyDescent="0.25">
      <c r="A133" s="36" t="s">
        <v>347</v>
      </c>
      <c r="B133" s="93" t="s">
        <v>348</v>
      </c>
      <c r="C133" s="93" t="s">
        <v>318</v>
      </c>
      <c r="D133" s="76" t="s">
        <v>349</v>
      </c>
      <c r="E133" s="60">
        <v>1776765</v>
      </c>
      <c r="F133" s="60">
        <v>1776765</v>
      </c>
      <c r="G133" s="62">
        <v>1709281.69</v>
      </c>
      <c r="H133" s="61">
        <f t="shared" si="47"/>
        <v>0.96201900082453218</v>
      </c>
      <c r="I133" s="62">
        <v>280273.65999999997</v>
      </c>
      <c r="J133" s="62">
        <v>261145</v>
      </c>
      <c r="K133" s="61">
        <f t="shared" ref="K133:K136" si="61">J133/I133</f>
        <v>0.93175006170754693</v>
      </c>
      <c r="L133" s="62"/>
      <c r="M133" s="113"/>
      <c r="N133" s="62">
        <f t="shared" si="48"/>
        <v>1970426.69</v>
      </c>
      <c r="O133" s="31"/>
      <c r="P133" s="32"/>
    </row>
    <row r="134" spans="1:16" ht="91.5" thickTop="1" thickBot="1" x14ac:dyDescent="0.25">
      <c r="A134" s="8" t="s">
        <v>352</v>
      </c>
      <c r="B134" s="70" t="s">
        <v>260</v>
      </c>
      <c r="C134" s="70"/>
      <c r="D134" s="71" t="s">
        <v>261</v>
      </c>
      <c r="E134" s="72">
        <f>SUM(E135:E149)-E135-E146</f>
        <v>221796672.53</v>
      </c>
      <c r="F134" s="72">
        <f>SUM(F135:F150)-F135-F146-F143</f>
        <v>243833921.52999994</v>
      </c>
      <c r="G134" s="72">
        <f>SUM(G135:G150)-G135-G146-G143</f>
        <v>241665777.84999993</v>
      </c>
      <c r="H134" s="73">
        <f>G134/F134</f>
        <v>0.99110811298774415</v>
      </c>
      <c r="I134" s="72">
        <f>SUM(I135:I150)-I135-I146-I143</f>
        <v>351539591.94999999</v>
      </c>
      <c r="J134" s="72">
        <f>SUM(J135:J150)-J135-J146-J143</f>
        <v>350338021.06999999</v>
      </c>
      <c r="K134" s="73">
        <f>J134/I134</f>
        <v>0.99658197566500306</v>
      </c>
      <c r="L134" s="72"/>
      <c r="M134" s="72"/>
      <c r="N134" s="74">
        <f>J134+G134</f>
        <v>592003798.91999996</v>
      </c>
      <c r="O134" s="66" t="b">
        <f>N134=N136+N137+N138+N139+N140+N141+N142+N147+N149+N148+N144+N150</f>
        <v>1</v>
      </c>
      <c r="P134" s="37"/>
    </row>
    <row r="135" spans="1:16" s="20" customFormat="1" ht="184.5" thickTop="1" thickBot="1" x14ac:dyDescent="0.25">
      <c r="A135" s="23" t="s">
        <v>353</v>
      </c>
      <c r="B135" s="94" t="s">
        <v>354</v>
      </c>
      <c r="C135" s="94"/>
      <c r="D135" s="94" t="s">
        <v>355</v>
      </c>
      <c r="E135" s="63">
        <f t="shared" ref="E135:J135" si="62">SUM(E136:E140)</f>
        <v>36586300</v>
      </c>
      <c r="F135" s="63">
        <f t="shared" ref="F135" si="63">SUM(F136:F140)</f>
        <v>54994795</v>
      </c>
      <c r="G135" s="63">
        <f t="shared" si="62"/>
        <v>54708133.93</v>
      </c>
      <c r="H135" s="64">
        <f t="shared" ref="H135:H140" si="64">G135/F135</f>
        <v>0.99478748725220267</v>
      </c>
      <c r="I135" s="63">
        <f t="shared" si="62"/>
        <v>29353089</v>
      </c>
      <c r="J135" s="63">
        <f t="shared" si="62"/>
        <v>28939692.439999998</v>
      </c>
      <c r="K135" s="64">
        <f t="shared" si="61"/>
        <v>0.98591642058524054</v>
      </c>
      <c r="L135" s="121"/>
      <c r="M135" s="121"/>
      <c r="N135" s="63">
        <f t="shared" ref="N135:N186" si="65">G135+J135</f>
        <v>83647826.370000005</v>
      </c>
      <c r="O135" s="21"/>
      <c r="P135" s="37"/>
    </row>
    <row r="136" spans="1:16" ht="138.75" thickTop="1" thickBot="1" x14ac:dyDescent="0.25">
      <c r="A136" s="15" t="s">
        <v>356</v>
      </c>
      <c r="B136" s="76" t="s">
        <v>357</v>
      </c>
      <c r="C136" s="76" t="s">
        <v>264</v>
      </c>
      <c r="D136" s="76" t="s">
        <v>358</v>
      </c>
      <c r="E136" s="60">
        <v>1475300</v>
      </c>
      <c r="F136" s="60">
        <v>1933795</v>
      </c>
      <c r="G136" s="60">
        <v>1655233.22</v>
      </c>
      <c r="H136" s="61">
        <f t="shared" si="64"/>
        <v>0.85595071866459471</v>
      </c>
      <c r="I136" s="60">
        <v>8284628</v>
      </c>
      <c r="J136" s="109">
        <v>8134890.8600000003</v>
      </c>
      <c r="K136" s="61">
        <f t="shared" si="61"/>
        <v>0.98192590663093149</v>
      </c>
      <c r="L136" s="109"/>
      <c r="M136" s="113"/>
      <c r="N136" s="62">
        <f t="shared" si="65"/>
        <v>9790124.0800000001</v>
      </c>
      <c r="P136" s="37"/>
    </row>
    <row r="137" spans="1:16" ht="138.75" customHeight="1" thickTop="1" thickBot="1" x14ac:dyDescent="0.25">
      <c r="A137" s="15"/>
      <c r="B137" s="76" t="s">
        <v>378</v>
      </c>
      <c r="C137" s="76" t="s">
        <v>361</v>
      </c>
      <c r="D137" s="76" t="s">
        <v>379</v>
      </c>
      <c r="E137" s="60">
        <v>31000000</v>
      </c>
      <c r="F137" s="60">
        <v>49000000</v>
      </c>
      <c r="G137" s="60">
        <v>49000000</v>
      </c>
      <c r="H137" s="61">
        <f t="shared" si="64"/>
        <v>1</v>
      </c>
      <c r="I137" s="60"/>
      <c r="J137" s="109"/>
      <c r="K137" s="109"/>
      <c r="L137" s="109"/>
      <c r="M137" s="113"/>
      <c r="N137" s="62">
        <f t="shared" si="65"/>
        <v>49000000</v>
      </c>
      <c r="P137" s="37"/>
    </row>
    <row r="138" spans="1:16" ht="138.75" thickTop="1" thickBot="1" x14ac:dyDescent="0.25">
      <c r="A138" s="15"/>
      <c r="B138" s="76" t="s">
        <v>380</v>
      </c>
      <c r="C138" s="76" t="s">
        <v>361</v>
      </c>
      <c r="D138" s="76" t="s">
        <v>381</v>
      </c>
      <c r="E138" s="60">
        <v>3561000</v>
      </c>
      <c r="F138" s="60">
        <v>3511000</v>
      </c>
      <c r="G138" s="60">
        <v>3511000</v>
      </c>
      <c r="H138" s="61">
        <f t="shared" si="64"/>
        <v>1</v>
      </c>
      <c r="I138" s="60"/>
      <c r="J138" s="109"/>
      <c r="K138" s="109"/>
      <c r="L138" s="109"/>
      <c r="M138" s="113"/>
      <c r="N138" s="62">
        <f t="shared" si="65"/>
        <v>3511000</v>
      </c>
      <c r="P138" s="37"/>
    </row>
    <row r="139" spans="1:16" ht="138.75" thickTop="1" thickBot="1" x14ac:dyDescent="0.25">
      <c r="A139" s="15" t="s">
        <v>359</v>
      </c>
      <c r="B139" s="76" t="s">
        <v>360</v>
      </c>
      <c r="C139" s="76" t="s">
        <v>361</v>
      </c>
      <c r="D139" s="76" t="s">
        <v>362</v>
      </c>
      <c r="E139" s="95"/>
      <c r="F139" s="95"/>
      <c r="G139" s="95"/>
      <c r="H139" s="95"/>
      <c r="I139" s="60">
        <v>8000000</v>
      </c>
      <c r="J139" s="109">
        <v>7982126.4299999997</v>
      </c>
      <c r="K139" s="61">
        <f t="shared" ref="K139:K148" si="66">J139/I139</f>
        <v>0.99776580375000001</v>
      </c>
      <c r="L139" s="109"/>
      <c r="M139" s="113"/>
      <c r="N139" s="62">
        <f t="shared" si="65"/>
        <v>7982126.4299999997</v>
      </c>
      <c r="P139" s="37"/>
    </row>
    <row r="140" spans="1:16" ht="184.5" thickTop="1" thickBot="1" x14ac:dyDescent="0.25">
      <c r="A140" s="15" t="s">
        <v>363</v>
      </c>
      <c r="B140" s="76" t="s">
        <v>364</v>
      </c>
      <c r="C140" s="76" t="s">
        <v>361</v>
      </c>
      <c r="D140" s="76" t="s">
        <v>365</v>
      </c>
      <c r="E140" s="60">
        <v>550000</v>
      </c>
      <c r="F140" s="60">
        <v>550000</v>
      </c>
      <c r="G140" s="60">
        <v>541900.71</v>
      </c>
      <c r="H140" s="61">
        <f t="shared" si="64"/>
        <v>0.98527401818181815</v>
      </c>
      <c r="I140" s="60">
        <v>13068461</v>
      </c>
      <c r="J140" s="109">
        <v>12822675.15</v>
      </c>
      <c r="K140" s="61">
        <f t="shared" si="66"/>
        <v>0.98119244109922354</v>
      </c>
      <c r="L140" s="109"/>
      <c r="M140" s="113"/>
      <c r="N140" s="62">
        <f t="shared" si="65"/>
        <v>13364575.859999999</v>
      </c>
      <c r="P140" s="37"/>
    </row>
    <row r="141" spans="1:16" ht="230.25" thickTop="1" thickBot="1" x14ac:dyDescent="0.25">
      <c r="A141" s="15" t="s">
        <v>366</v>
      </c>
      <c r="B141" s="76" t="s">
        <v>367</v>
      </c>
      <c r="C141" s="76" t="s">
        <v>361</v>
      </c>
      <c r="D141" s="76" t="s">
        <v>368</v>
      </c>
      <c r="E141" s="60">
        <f>230000+3930000</f>
        <v>4160000</v>
      </c>
      <c r="F141" s="60">
        <v>3960000</v>
      </c>
      <c r="G141" s="60">
        <v>3941146.79</v>
      </c>
      <c r="H141" s="61">
        <f>G141/F141</f>
        <v>0.99523908838383834</v>
      </c>
      <c r="I141" s="60"/>
      <c r="J141" s="109"/>
      <c r="K141" s="109"/>
      <c r="L141" s="109"/>
      <c r="M141" s="113"/>
      <c r="N141" s="62">
        <f t="shared" si="65"/>
        <v>3941146.79</v>
      </c>
      <c r="O141" s="54"/>
      <c r="P141" s="37"/>
    </row>
    <row r="142" spans="1:16" ht="93" thickTop="1" thickBot="1" x14ac:dyDescent="0.25">
      <c r="A142" s="15"/>
      <c r="B142" s="76" t="s">
        <v>370</v>
      </c>
      <c r="C142" s="76" t="s">
        <v>361</v>
      </c>
      <c r="D142" s="76" t="s">
        <v>371</v>
      </c>
      <c r="E142" s="60">
        <f>14100000+166924948</f>
        <v>181024948</v>
      </c>
      <c r="F142" s="60">
        <v>184853702</v>
      </c>
      <c r="G142" s="60">
        <v>182991072.59999999</v>
      </c>
      <c r="H142" s="61">
        <f t="shared" ref="H142:H146" si="67">G142/F142</f>
        <v>0.98992376468608667</v>
      </c>
      <c r="I142" s="62">
        <v>16270200</v>
      </c>
      <c r="J142" s="60">
        <v>16145929.24</v>
      </c>
      <c r="K142" s="61">
        <f t="shared" si="66"/>
        <v>0.99236206315841236</v>
      </c>
      <c r="L142" s="60"/>
      <c r="M142" s="113"/>
      <c r="N142" s="62">
        <f t="shared" si="65"/>
        <v>199137001.84</v>
      </c>
      <c r="O142" s="56"/>
      <c r="P142" s="37"/>
    </row>
    <row r="143" spans="1:16" ht="123" thickTop="1" thickBot="1" x14ac:dyDescent="0.25">
      <c r="A143" s="15"/>
      <c r="B143" s="57" t="s">
        <v>540</v>
      </c>
      <c r="C143" s="57"/>
      <c r="D143" s="57" t="s">
        <v>539</v>
      </c>
      <c r="E143" s="92"/>
      <c r="F143" s="92">
        <f>F144</f>
        <v>0</v>
      </c>
      <c r="G143" s="92">
        <f>G144</f>
        <v>0</v>
      </c>
      <c r="H143" s="64">
        <v>0</v>
      </c>
      <c r="I143" s="92">
        <f>I144</f>
        <v>296441804.94999999</v>
      </c>
      <c r="J143" s="92">
        <f>J144</f>
        <v>296441804.94999999</v>
      </c>
      <c r="K143" s="64">
        <f t="shared" si="66"/>
        <v>1</v>
      </c>
      <c r="L143" s="92"/>
      <c r="M143" s="114"/>
      <c r="N143" s="63">
        <f t="shared" si="65"/>
        <v>296441804.94999999</v>
      </c>
      <c r="O143" s="54" t="s">
        <v>456</v>
      </c>
      <c r="P143" s="37"/>
    </row>
    <row r="144" spans="1:16" ht="409.6" thickTop="1" thickBot="1" x14ac:dyDescent="0.7">
      <c r="A144" s="15"/>
      <c r="B144" s="158" t="s">
        <v>541</v>
      </c>
      <c r="C144" s="158" t="s">
        <v>544</v>
      </c>
      <c r="D144" s="124" t="s">
        <v>543</v>
      </c>
      <c r="E144" s="60"/>
      <c r="F144" s="201"/>
      <c r="G144" s="201"/>
      <c r="H144" s="201"/>
      <c r="I144" s="201">
        <v>296441804.94999999</v>
      </c>
      <c r="J144" s="201">
        <v>296441804.94999999</v>
      </c>
      <c r="K144" s="162">
        <f t="shared" ref="K144" si="68">J144/I144</f>
        <v>1</v>
      </c>
      <c r="L144" s="109"/>
      <c r="M144" s="113"/>
      <c r="N144" s="201">
        <f t="shared" ref="N144" si="69">G144+J144</f>
        <v>296441804.94999999</v>
      </c>
      <c r="O144" s="56"/>
      <c r="P144" s="37"/>
    </row>
    <row r="145" spans="1:16" ht="184.5" thickTop="1" thickBot="1" x14ac:dyDescent="0.25">
      <c r="A145" s="15"/>
      <c r="B145" s="200"/>
      <c r="C145" s="200"/>
      <c r="D145" s="129" t="s">
        <v>542</v>
      </c>
      <c r="E145" s="128"/>
      <c r="F145" s="200"/>
      <c r="G145" s="200"/>
      <c r="H145" s="200"/>
      <c r="I145" s="200"/>
      <c r="J145" s="200"/>
      <c r="K145" s="200"/>
      <c r="L145" s="109"/>
      <c r="M145" s="113"/>
      <c r="N145" s="200"/>
      <c r="O145" s="56"/>
      <c r="P145" s="37"/>
    </row>
    <row r="146" spans="1:16" ht="93" thickTop="1" thickBot="1" x14ac:dyDescent="0.25">
      <c r="A146" s="15"/>
      <c r="B146" s="57" t="s">
        <v>262</v>
      </c>
      <c r="C146" s="57"/>
      <c r="D146" s="57" t="s">
        <v>457</v>
      </c>
      <c r="E146" s="92">
        <f>SUM(E147:E149)</f>
        <v>25424.53</v>
      </c>
      <c r="F146" s="92">
        <f>SUM(F147:F149)</f>
        <v>25424.53</v>
      </c>
      <c r="G146" s="92">
        <f>SUM(G147:G149)</f>
        <v>25424.53</v>
      </c>
      <c r="H146" s="64">
        <f t="shared" si="67"/>
        <v>1</v>
      </c>
      <c r="I146" s="92">
        <f>SUM(I147:I149)</f>
        <v>6196888</v>
      </c>
      <c r="J146" s="92">
        <f>SUM(J147:J149)</f>
        <v>5544683.5199999996</v>
      </c>
      <c r="K146" s="64">
        <f t="shared" si="66"/>
        <v>0.89475290177908651</v>
      </c>
      <c r="L146" s="92"/>
      <c r="M146" s="114"/>
      <c r="N146" s="63">
        <f t="shared" si="65"/>
        <v>5570108.0499999998</v>
      </c>
      <c r="O146" s="54"/>
      <c r="P146" s="37"/>
    </row>
    <row r="147" spans="1:16" ht="138.75" thickTop="1" thickBot="1" x14ac:dyDescent="0.25">
      <c r="A147" s="15" t="s">
        <v>369</v>
      </c>
      <c r="B147" s="112" t="s">
        <v>263</v>
      </c>
      <c r="C147" s="112" t="s">
        <v>264</v>
      </c>
      <c r="D147" s="112" t="s">
        <v>458</v>
      </c>
      <c r="E147" s="95"/>
      <c r="F147" s="95"/>
      <c r="G147" s="95"/>
      <c r="H147" s="127"/>
      <c r="I147" s="62">
        <v>4000000</v>
      </c>
      <c r="J147" s="60">
        <v>3347795.52</v>
      </c>
      <c r="K147" s="61">
        <f t="shared" si="66"/>
        <v>0.83694888000000001</v>
      </c>
      <c r="L147" s="60"/>
      <c r="M147" s="113"/>
      <c r="N147" s="62">
        <f t="shared" si="65"/>
        <v>3347795.52</v>
      </c>
      <c r="P147" s="28"/>
    </row>
    <row r="148" spans="1:16" ht="409.6" thickTop="1" thickBot="1" x14ac:dyDescent="0.25">
      <c r="A148" s="15"/>
      <c r="B148" s="112" t="s">
        <v>518</v>
      </c>
      <c r="C148" s="112" t="s">
        <v>264</v>
      </c>
      <c r="D148" s="112" t="s">
        <v>519</v>
      </c>
      <c r="E148" s="95"/>
      <c r="F148" s="95"/>
      <c r="G148" s="95"/>
      <c r="H148" s="127"/>
      <c r="I148" s="62">
        <v>2196888</v>
      </c>
      <c r="J148" s="60">
        <v>2196888</v>
      </c>
      <c r="K148" s="61">
        <f t="shared" si="66"/>
        <v>1</v>
      </c>
      <c r="L148" s="60"/>
      <c r="M148" s="113"/>
      <c r="N148" s="62">
        <f t="shared" si="65"/>
        <v>2196888</v>
      </c>
      <c r="P148" s="28"/>
    </row>
    <row r="149" spans="1:16" ht="276" thickTop="1" thickBot="1" x14ac:dyDescent="0.25">
      <c r="A149" s="15"/>
      <c r="B149" s="93" t="s">
        <v>350</v>
      </c>
      <c r="C149" s="93" t="s">
        <v>264</v>
      </c>
      <c r="D149" s="76" t="s">
        <v>351</v>
      </c>
      <c r="E149" s="60">
        <v>25424.53</v>
      </c>
      <c r="F149" s="60">
        <v>25424.53</v>
      </c>
      <c r="G149" s="62">
        <v>25424.53</v>
      </c>
      <c r="H149" s="61">
        <f>G149/F149</f>
        <v>1</v>
      </c>
      <c r="I149" s="62"/>
      <c r="J149" s="62"/>
      <c r="K149" s="62"/>
      <c r="L149" s="62"/>
      <c r="M149" s="113"/>
      <c r="N149" s="62">
        <f t="shared" si="65"/>
        <v>25424.53</v>
      </c>
      <c r="O149" s="54"/>
      <c r="P149" s="28"/>
    </row>
    <row r="150" spans="1:16" ht="138.75" thickTop="1" thickBot="1" x14ac:dyDescent="0.25">
      <c r="A150" s="15"/>
      <c r="B150" s="93" t="s">
        <v>546</v>
      </c>
      <c r="C150" s="93" t="s">
        <v>544</v>
      </c>
      <c r="D150" s="112" t="s">
        <v>545</v>
      </c>
      <c r="E150" s="60"/>
      <c r="F150" s="60"/>
      <c r="G150" s="62"/>
      <c r="H150" s="61"/>
      <c r="I150" s="62">
        <v>3277610</v>
      </c>
      <c r="J150" s="60">
        <v>3265910.92</v>
      </c>
      <c r="K150" s="61">
        <f t="shared" ref="K150" si="70">J150/I150</f>
        <v>0.99643060644799109</v>
      </c>
      <c r="L150" s="62"/>
      <c r="M150" s="113"/>
      <c r="N150" s="62">
        <f t="shared" ref="N150" si="71">G150+J150</f>
        <v>3265910.92</v>
      </c>
      <c r="O150" s="56"/>
      <c r="P150" s="28"/>
    </row>
    <row r="151" spans="1:16" s="38" customFormat="1" ht="101.25" customHeight="1" thickTop="1" thickBot="1" x14ac:dyDescent="0.25">
      <c r="A151" s="53" t="s">
        <v>372</v>
      </c>
      <c r="B151" s="70" t="s">
        <v>31</v>
      </c>
      <c r="C151" s="70"/>
      <c r="D151" s="71" t="s">
        <v>373</v>
      </c>
      <c r="E151" s="72">
        <f>E152+E154+E166+E174+E177</f>
        <v>158940631</v>
      </c>
      <c r="F151" s="72">
        <f>F152+F154+F166+F174+F177</f>
        <v>151316144</v>
      </c>
      <c r="G151" s="72">
        <f>G152+G154+G166+G174+G177</f>
        <v>150705813.13</v>
      </c>
      <c r="H151" s="73">
        <f>G151/F151</f>
        <v>0.9959665184833153</v>
      </c>
      <c r="I151" s="72">
        <f>I152+I154+I166+I174+I177</f>
        <v>327944977.69999999</v>
      </c>
      <c r="J151" s="72">
        <f>J152+J154+J166+J174+J177</f>
        <v>304517397.16000009</v>
      </c>
      <c r="K151" s="73">
        <f>J151/I151</f>
        <v>0.92856246586148006</v>
      </c>
      <c r="L151" s="72"/>
      <c r="M151" s="72"/>
      <c r="N151" s="74">
        <f>J151+G151</f>
        <v>455223210.29000008</v>
      </c>
      <c r="O151" s="66" t="b">
        <f>N151=N153+N155+N157+N159+N161+N165+N170+N173+N175+N178+N181+N182+N183+N184+N185+N187+N189+N168+N180+N164+N158+N162+N176+N171+N160</f>
        <v>1</v>
      </c>
      <c r="P151" s="55"/>
    </row>
    <row r="152" spans="1:16" s="38" customFormat="1" ht="91.5" thickTop="1" thickBot="1" x14ac:dyDescent="0.25">
      <c r="A152" s="53"/>
      <c r="B152" s="96" t="s">
        <v>434</v>
      </c>
      <c r="C152" s="96"/>
      <c r="D152" s="96" t="s">
        <v>435</v>
      </c>
      <c r="E152" s="118"/>
      <c r="F152" s="118"/>
      <c r="G152" s="118"/>
      <c r="H152" s="139"/>
      <c r="I152" s="106">
        <f t="shared" ref="I152:J152" si="72">SUM(I153)</f>
        <v>200000</v>
      </c>
      <c r="J152" s="106">
        <f t="shared" si="72"/>
        <v>109575</v>
      </c>
      <c r="K152" s="99">
        <f t="shared" ref="K152:K154" si="73">J152/I152</f>
        <v>0.547875</v>
      </c>
      <c r="L152" s="106"/>
      <c r="M152" s="106"/>
      <c r="N152" s="106">
        <f t="shared" si="65"/>
        <v>109575</v>
      </c>
      <c r="O152" s="39"/>
      <c r="P152" s="55"/>
    </row>
    <row r="153" spans="1:16" s="38" customFormat="1" ht="93" thickTop="1" thickBot="1" x14ac:dyDescent="0.25">
      <c r="A153" s="53"/>
      <c r="B153" s="112" t="s">
        <v>436</v>
      </c>
      <c r="C153" s="112" t="s">
        <v>437</v>
      </c>
      <c r="D153" s="112" t="s">
        <v>438</v>
      </c>
      <c r="E153" s="100"/>
      <c r="F153" s="100"/>
      <c r="G153" s="100"/>
      <c r="H153" s="100"/>
      <c r="I153" s="62">
        <v>200000</v>
      </c>
      <c r="J153" s="62">
        <v>109575</v>
      </c>
      <c r="K153" s="61">
        <f>J153/I153</f>
        <v>0.547875</v>
      </c>
      <c r="L153" s="62"/>
      <c r="M153" s="113"/>
      <c r="N153" s="62">
        <f t="shared" si="65"/>
        <v>109575</v>
      </c>
      <c r="O153" s="39"/>
      <c r="P153" s="55"/>
    </row>
    <row r="154" spans="1:16" s="38" customFormat="1" ht="91.5" thickTop="1" thickBot="1" x14ac:dyDescent="0.25">
      <c r="A154" s="53"/>
      <c r="B154" s="96" t="s">
        <v>265</v>
      </c>
      <c r="C154" s="96"/>
      <c r="D154" s="96" t="s">
        <v>266</v>
      </c>
      <c r="E154" s="98">
        <f>SUM(E155:E165)-E156-E163</f>
        <v>70000</v>
      </c>
      <c r="F154" s="98">
        <f>SUM(F155:F165)-F156-F163</f>
        <v>24357</v>
      </c>
      <c r="G154" s="98">
        <f>SUM(G155:G165)-G156-G163</f>
        <v>24357</v>
      </c>
      <c r="H154" s="99">
        <f>G154/F154</f>
        <v>1</v>
      </c>
      <c r="I154" s="98">
        <f>SUM(I155:I165)-I156-I163</f>
        <v>168572405.50999999</v>
      </c>
      <c r="J154" s="98">
        <f>SUM(J155:J165)-J156-J163</f>
        <v>150185530.28000006</v>
      </c>
      <c r="K154" s="99">
        <f t="shared" si="73"/>
        <v>0.89092594855977669</v>
      </c>
      <c r="L154" s="98"/>
      <c r="M154" s="98"/>
      <c r="N154" s="106">
        <f>G154+J154</f>
        <v>150209887.28000006</v>
      </c>
      <c r="O154" s="39"/>
      <c r="P154" s="55"/>
    </row>
    <row r="155" spans="1:16" s="38" customFormat="1" ht="99.75" thickTop="1" thickBot="1" x14ac:dyDescent="0.25">
      <c r="A155" s="53"/>
      <c r="B155" s="112" t="s">
        <v>382</v>
      </c>
      <c r="C155" s="112" t="s">
        <v>269</v>
      </c>
      <c r="D155" s="112" t="s">
        <v>383</v>
      </c>
      <c r="E155" s="95"/>
      <c r="F155" s="95"/>
      <c r="G155" s="95"/>
      <c r="H155" s="95"/>
      <c r="I155" s="62">
        <f>5950000+80574.51</f>
        <v>6030574.5099999998</v>
      </c>
      <c r="J155" s="60">
        <f>5908019.56+36872.51</f>
        <v>5944892.0699999994</v>
      </c>
      <c r="K155" s="61">
        <f>J155/I155</f>
        <v>0.9857919938045836</v>
      </c>
      <c r="L155" s="60"/>
      <c r="M155" s="113"/>
      <c r="N155" s="62">
        <f t="shared" si="65"/>
        <v>5944892.0699999994</v>
      </c>
      <c r="O155" s="39"/>
      <c r="P155" s="55"/>
    </row>
    <row r="156" spans="1:16" s="38" customFormat="1" ht="146.25" thickTop="1" thickBot="1" x14ac:dyDescent="0.25">
      <c r="A156" s="53"/>
      <c r="B156" s="57" t="s">
        <v>267</v>
      </c>
      <c r="C156" s="57"/>
      <c r="D156" s="57" t="s">
        <v>268</v>
      </c>
      <c r="E156" s="121"/>
      <c r="F156" s="121"/>
      <c r="G156" s="121"/>
      <c r="H156" s="122"/>
      <c r="I156" s="63">
        <f>SUM(I157:I160)</f>
        <v>27420045</v>
      </c>
      <c r="J156" s="63">
        <f>SUM(J157:J160)</f>
        <v>27009441.579999998</v>
      </c>
      <c r="K156" s="64">
        <f t="shared" ref="K156:K157" si="74">J156/I156</f>
        <v>0.98502542865994558</v>
      </c>
      <c r="L156" s="63"/>
      <c r="M156" s="63"/>
      <c r="N156" s="63">
        <f>G156+J156</f>
        <v>27009441.579999998</v>
      </c>
      <c r="O156" s="39"/>
      <c r="P156" s="55"/>
    </row>
    <row r="157" spans="1:16" s="38" customFormat="1" ht="99.75" thickTop="1" thickBot="1" x14ac:dyDescent="0.25">
      <c r="A157" s="53"/>
      <c r="B157" s="112" t="s">
        <v>400</v>
      </c>
      <c r="C157" s="112" t="s">
        <v>269</v>
      </c>
      <c r="D157" s="112" t="s">
        <v>401</v>
      </c>
      <c r="E157" s="100"/>
      <c r="F157" s="100"/>
      <c r="G157" s="100"/>
      <c r="H157" s="100"/>
      <c r="I157" s="62">
        <f>200000+26600045</f>
        <v>26800045</v>
      </c>
      <c r="J157" s="62">
        <f>200000+26389879.63</f>
        <v>26589879.629999999</v>
      </c>
      <c r="K157" s="61">
        <f t="shared" si="74"/>
        <v>0.99215802174959034</v>
      </c>
      <c r="L157" s="62"/>
      <c r="M157" s="113"/>
      <c r="N157" s="62">
        <f t="shared" si="65"/>
        <v>26589879.629999999</v>
      </c>
      <c r="O157" s="39"/>
      <c r="P157" s="55"/>
    </row>
    <row r="158" spans="1:16" s="38" customFormat="1" ht="93" thickTop="1" thickBot="1" x14ac:dyDescent="0.25">
      <c r="A158" s="53"/>
      <c r="B158" s="112" t="s">
        <v>471</v>
      </c>
      <c r="C158" s="112" t="s">
        <v>269</v>
      </c>
      <c r="D158" s="112" t="s">
        <v>472</v>
      </c>
      <c r="E158" s="100"/>
      <c r="F158" s="100"/>
      <c r="G158" s="100"/>
      <c r="H158" s="100"/>
      <c r="I158" s="62">
        <v>220000</v>
      </c>
      <c r="J158" s="62">
        <v>219561.95</v>
      </c>
      <c r="K158" s="61">
        <f t="shared" ref="K158:K166" si="75">J158/I158</f>
        <v>0.99800886363636365</v>
      </c>
      <c r="L158" s="62"/>
      <c r="M158" s="113"/>
      <c r="N158" s="62">
        <f t="shared" si="65"/>
        <v>219561.95</v>
      </c>
      <c r="O158" s="39"/>
      <c r="P158" s="55"/>
    </row>
    <row r="159" spans="1:16" s="38" customFormat="1" ht="99.75" thickTop="1" thickBot="1" x14ac:dyDescent="0.25">
      <c r="A159" s="53"/>
      <c r="B159" s="112" t="s">
        <v>402</v>
      </c>
      <c r="C159" s="112" t="s">
        <v>269</v>
      </c>
      <c r="D159" s="112" t="s">
        <v>403</v>
      </c>
      <c r="E159" s="100"/>
      <c r="F159" s="100"/>
      <c r="G159" s="100"/>
      <c r="H159" s="100"/>
      <c r="I159" s="62">
        <v>200000</v>
      </c>
      <c r="J159" s="62">
        <v>200000</v>
      </c>
      <c r="K159" s="61">
        <f t="shared" si="75"/>
        <v>1</v>
      </c>
      <c r="L159" s="62"/>
      <c r="M159" s="113"/>
      <c r="N159" s="62">
        <f t="shared" si="65"/>
        <v>200000</v>
      </c>
      <c r="O159" s="39"/>
      <c r="P159" s="55"/>
    </row>
    <row r="160" spans="1:16" s="38" customFormat="1" ht="145.5" thickTop="1" thickBot="1" x14ac:dyDescent="0.25">
      <c r="A160" s="53"/>
      <c r="B160" s="112" t="s">
        <v>547</v>
      </c>
      <c r="C160" s="112" t="s">
        <v>269</v>
      </c>
      <c r="D160" s="112" t="s">
        <v>548</v>
      </c>
      <c r="E160" s="100"/>
      <c r="F160" s="100"/>
      <c r="G160" s="100"/>
      <c r="H160" s="100"/>
      <c r="I160" s="62">
        <v>200000</v>
      </c>
      <c r="J160" s="62">
        <v>0</v>
      </c>
      <c r="K160" s="61">
        <f t="shared" ref="K160" si="76">J160/I160</f>
        <v>0</v>
      </c>
      <c r="L160" s="62"/>
      <c r="M160" s="113"/>
      <c r="N160" s="62">
        <f t="shared" ref="N160" si="77">G160+J160</f>
        <v>0</v>
      </c>
      <c r="O160" s="39"/>
      <c r="P160" s="55"/>
    </row>
    <row r="161" spans="1:16" s="38" customFormat="1" ht="99.75" thickTop="1" thickBot="1" x14ac:dyDescent="0.25">
      <c r="A161" s="53"/>
      <c r="B161" s="112" t="s">
        <v>404</v>
      </c>
      <c r="C161" s="112" t="s">
        <v>269</v>
      </c>
      <c r="D161" s="112" t="s">
        <v>405</v>
      </c>
      <c r="E161" s="100"/>
      <c r="F161" s="100"/>
      <c r="G161" s="100"/>
      <c r="H161" s="100"/>
      <c r="I161" s="62">
        <v>20252484</v>
      </c>
      <c r="J161" s="62">
        <v>20236367.670000002</v>
      </c>
      <c r="K161" s="61">
        <f t="shared" si="75"/>
        <v>0.99920422946637077</v>
      </c>
      <c r="L161" s="62"/>
      <c r="M161" s="113"/>
      <c r="N161" s="62">
        <f t="shared" si="65"/>
        <v>20236367.670000002</v>
      </c>
      <c r="O161" s="39"/>
      <c r="P161" s="55"/>
    </row>
    <row r="162" spans="1:16" s="38" customFormat="1" ht="138.75" thickTop="1" thickBot="1" x14ac:dyDescent="0.25">
      <c r="A162" s="53"/>
      <c r="B162" s="112" t="s">
        <v>473</v>
      </c>
      <c r="C162" s="112" t="s">
        <v>269</v>
      </c>
      <c r="D162" s="112" t="s">
        <v>549</v>
      </c>
      <c r="E162" s="100"/>
      <c r="F162" s="100"/>
      <c r="G162" s="100"/>
      <c r="H162" s="100"/>
      <c r="I162" s="62">
        <v>598000</v>
      </c>
      <c r="J162" s="62">
        <v>598000</v>
      </c>
      <c r="K162" s="61">
        <f t="shared" si="75"/>
        <v>1</v>
      </c>
      <c r="L162" s="62"/>
      <c r="M162" s="113"/>
      <c r="N162" s="62">
        <f t="shared" si="65"/>
        <v>598000</v>
      </c>
      <c r="O162" s="39"/>
      <c r="P162" s="55"/>
    </row>
    <row r="163" spans="1:16" s="38" customFormat="1" ht="123" thickTop="1" thickBot="1" x14ac:dyDescent="0.25">
      <c r="A163" s="53"/>
      <c r="B163" s="57" t="s">
        <v>520</v>
      </c>
      <c r="C163" s="57"/>
      <c r="D163" s="57" t="s">
        <v>522</v>
      </c>
      <c r="E163" s="63">
        <f>E164</f>
        <v>0</v>
      </c>
      <c r="F163" s="63">
        <f>F164</f>
        <v>0</v>
      </c>
      <c r="G163" s="63">
        <f t="shared" ref="G163" si="78">G164</f>
        <v>0</v>
      </c>
      <c r="H163" s="64">
        <v>0</v>
      </c>
      <c r="I163" s="63">
        <f>I164</f>
        <v>4190000</v>
      </c>
      <c r="J163" s="63">
        <f>J164</f>
        <v>4097408.79</v>
      </c>
      <c r="K163" s="64">
        <f t="shared" si="75"/>
        <v>0.97790185918854411</v>
      </c>
      <c r="L163" s="121"/>
      <c r="M163" s="121"/>
      <c r="N163" s="63">
        <f t="shared" si="65"/>
        <v>4097408.79</v>
      </c>
      <c r="O163" s="54" t="s">
        <v>456</v>
      </c>
      <c r="P163" s="55"/>
    </row>
    <row r="164" spans="1:16" s="38" customFormat="1" ht="230.25" thickTop="1" thickBot="1" x14ac:dyDescent="0.25">
      <c r="A164" s="53"/>
      <c r="B164" s="112" t="s">
        <v>521</v>
      </c>
      <c r="C164" s="112" t="s">
        <v>39</v>
      </c>
      <c r="D164" s="112" t="s">
        <v>523</v>
      </c>
      <c r="E164" s="100"/>
      <c r="F164" s="100"/>
      <c r="G164" s="100"/>
      <c r="H164" s="100"/>
      <c r="I164" s="62">
        <v>4190000</v>
      </c>
      <c r="J164" s="62">
        <v>4097408.79</v>
      </c>
      <c r="K164" s="61">
        <f t="shared" si="75"/>
        <v>0.97790185918854411</v>
      </c>
      <c r="L164" s="62"/>
      <c r="M164" s="113"/>
      <c r="N164" s="62">
        <f t="shared" si="65"/>
        <v>4097408.79</v>
      </c>
      <c r="O164" s="39"/>
      <c r="P164" s="55"/>
    </row>
    <row r="165" spans="1:16" s="38" customFormat="1" ht="138.75" thickTop="1" thickBot="1" x14ac:dyDescent="0.25">
      <c r="A165" s="53"/>
      <c r="B165" s="76" t="s">
        <v>406</v>
      </c>
      <c r="C165" s="76" t="s">
        <v>39</v>
      </c>
      <c r="D165" s="76" t="s">
        <v>407</v>
      </c>
      <c r="E165" s="62">
        <v>70000</v>
      </c>
      <c r="F165" s="62">
        <v>24357</v>
      </c>
      <c r="G165" s="62">
        <v>24357</v>
      </c>
      <c r="H165" s="61">
        <f t="shared" ref="H165:H182" si="79">G165/F165</f>
        <v>1</v>
      </c>
      <c r="I165" s="62">
        <v>110081302</v>
      </c>
      <c r="J165" s="62">
        <v>92299420.170000002</v>
      </c>
      <c r="K165" s="61">
        <f t="shared" si="75"/>
        <v>0.83846592012510901</v>
      </c>
      <c r="L165" s="62"/>
      <c r="M165" s="113"/>
      <c r="N165" s="62">
        <f t="shared" si="65"/>
        <v>92323777.170000002</v>
      </c>
      <c r="O165" s="39"/>
      <c r="P165" s="55"/>
    </row>
    <row r="166" spans="1:16" s="38" customFormat="1" ht="136.5" thickTop="1" thickBot="1" x14ac:dyDescent="0.25">
      <c r="A166" s="53"/>
      <c r="B166" s="96" t="s">
        <v>384</v>
      </c>
      <c r="C166" s="96"/>
      <c r="D166" s="96" t="s">
        <v>385</v>
      </c>
      <c r="E166" s="106">
        <f>SUM(E167:E173)-E169-E172-E167</f>
        <v>140814987</v>
      </c>
      <c r="F166" s="106">
        <f>SUM(F167:F173)-F169-F172-F167</f>
        <v>134418825</v>
      </c>
      <c r="G166" s="106">
        <f>SUM(G167:G173)-G169-G172-G167</f>
        <v>134332318.78999999</v>
      </c>
      <c r="H166" s="99">
        <f t="shared" si="79"/>
        <v>0.99935644274527757</v>
      </c>
      <c r="I166" s="106">
        <f>SUM(I167:I173)-I169-I172-I167</f>
        <v>62728228.030000001</v>
      </c>
      <c r="J166" s="106">
        <f>SUM(J167:J173)-J169-J172-J167</f>
        <v>62539417.18</v>
      </c>
      <c r="K166" s="99">
        <f t="shared" si="75"/>
        <v>0.99699001779693663</v>
      </c>
      <c r="L166" s="106"/>
      <c r="M166" s="106"/>
      <c r="N166" s="106">
        <f>G166+J166</f>
        <v>196871735.97</v>
      </c>
      <c r="O166" s="39"/>
      <c r="P166" s="55"/>
    </row>
    <row r="167" spans="1:16" s="38" customFormat="1" ht="138.75" hidden="1" thickTop="1" thickBot="1" x14ac:dyDescent="0.25">
      <c r="A167" s="53"/>
      <c r="B167" s="84" t="s">
        <v>488</v>
      </c>
      <c r="C167" s="84"/>
      <c r="D167" s="84" t="s">
        <v>489</v>
      </c>
      <c r="E167" s="85">
        <f>E168</f>
        <v>2093008</v>
      </c>
      <c r="F167" s="85">
        <f>F168</f>
        <v>0</v>
      </c>
      <c r="G167" s="85">
        <f>G168</f>
        <v>0</v>
      </c>
      <c r="H167" s="86" t="e">
        <f t="shared" si="79"/>
        <v>#DIV/0!</v>
      </c>
      <c r="I167" s="85">
        <f>I168</f>
        <v>0</v>
      </c>
      <c r="J167" s="85">
        <f>J168</f>
        <v>0</v>
      </c>
      <c r="K167" s="80">
        <v>0</v>
      </c>
      <c r="L167" s="87"/>
      <c r="M167" s="87"/>
      <c r="N167" s="85">
        <f t="shared" si="65"/>
        <v>0</v>
      </c>
      <c r="O167" s="54" t="s">
        <v>456</v>
      </c>
      <c r="P167" s="55"/>
    </row>
    <row r="168" spans="1:16" s="38" customFormat="1" ht="93" hidden="1" thickTop="1" thickBot="1" x14ac:dyDescent="0.25">
      <c r="A168" s="53"/>
      <c r="B168" s="79" t="s">
        <v>490</v>
      </c>
      <c r="C168" s="79" t="s">
        <v>491</v>
      </c>
      <c r="D168" s="79" t="s">
        <v>492</v>
      </c>
      <c r="E168" s="82">
        <v>2093008</v>
      </c>
      <c r="F168" s="82">
        <v>0</v>
      </c>
      <c r="G168" s="82">
        <v>0</v>
      </c>
      <c r="H168" s="80" t="e">
        <f>G168/F168</f>
        <v>#DIV/0!</v>
      </c>
      <c r="I168" s="83"/>
      <c r="J168" s="83"/>
      <c r="K168" s="83"/>
      <c r="L168" s="83"/>
      <c r="M168" s="81"/>
      <c r="N168" s="82">
        <f t="shared" si="65"/>
        <v>0</v>
      </c>
      <c r="O168" s="39"/>
      <c r="P168" s="55"/>
    </row>
    <row r="169" spans="1:16" s="38" customFormat="1" ht="138.75" thickTop="1" thickBot="1" x14ac:dyDescent="0.25">
      <c r="A169" s="53"/>
      <c r="B169" s="57" t="s">
        <v>408</v>
      </c>
      <c r="C169" s="57"/>
      <c r="D169" s="57" t="s">
        <v>409</v>
      </c>
      <c r="E169" s="63">
        <f t="shared" ref="E169:G169" si="80">E170</f>
        <v>88642613</v>
      </c>
      <c r="F169" s="63">
        <f t="shared" si="80"/>
        <v>87142613</v>
      </c>
      <c r="G169" s="63">
        <f t="shared" si="80"/>
        <v>87061916.099999994</v>
      </c>
      <c r="H169" s="64">
        <f>G169/F169</f>
        <v>0.99907396740559062</v>
      </c>
      <c r="I169" s="121"/>
      <c r="J169" s="121"/>
      <c r="K169" s="122"/>
      <c r="L169" s="121"/>
      <c r="M169" s="121"/>
      <c r="N169" s="63">
        <f t="shared" si="65"/>
        <v>87061916.099999994</v>
      </c>
      <c r="O169" s="54"/>
      <c r="P169" s="55"/>
    </row>
    <row r="170" spans="1:16" s="38" customFormat="1" ht="93" thickTop="1" thickBot="1" x14ac:dyDescent="0.25">
      <c r="A170" s="53"/>
      <c r="B170" s="76" t="s">
        <v>410</v>
      </c>
      <c r="C170" s="76" t="s">
        <v>411</v>
      </c>
      <c r="D170" s="76" t="s">
        <v>412</v>
      </c>
      <c r="E170" s="62">
        <v>88642613</v>
      </c>
      <c r="F170" s="62">
        <v>87142613</v>
      </c>
      <c r="G170" s="62">
        <v>87061916.099999994</v>
      </c>
      <c r="H170" s="61">
        <f>G170/F170</f>
        <v>0.99907396740559062</v>
      </c>
      <c r="I170" s="100"/>
      <c r="J170" s="100"/>
      <c r="K170" s="100"/>
      <c r="L170" s="100"/>
      <c r="M170" s="104"/>
      <c r="N170" s="62">
        <f t="shared" si="65"/>
        <v>87061916.099999994</v>
      </c>
      <c r="O170" s="39"/>
      <c r="P170" s="55"/>
    </row>
    <row r="171" spans="1:16" s="38" customFormat="1" ht="93" thickTop="1" thickBot="1" x14ac:dyDescent="0.25">
      <c r="A171" s="53"/>
      <c r="B171" s="76" t="s">
        <v>538</v>
      </c>
      <c r="C171" s="76" t="s">
        <v>387</v>
      </c>
      <c r="D171" s="76" t="s">
        <v>537</v>
      </c>
      <c r="E171" s="62"/>
      <c r="F171" s="62">
        <v>200000</v>
      </c>
      <c r="G171" s="62">
        <v>200000</v>
      </c>
      <c r="H171" s="61">
        <f>G171/F171</f>
        <v>1</v>
      </c>
      <c r="I171" s="100"/>
      <c r="J171" s="100"/>
      <c r="K171" s="100"/>
      <c r="L171" s="100"/>
      <c r="M171" s="104"/>
      <c r="N171" s="62">
        <f t="shared" ref="N171" si="81">G171+J171</f>
        <v>200000</v>
      </c>
      <c r="O171" s="39"/>
      <c r="P171" s="55"/>
    </row>
    <row r="172" spans="1:16" s="38" customFormat="1" ht="138.75" thickTop="1" thickBot="1" x14ac:dyDescent="0.25">
      <c r="A172" s="53"/>
      <c r="B172" s="57" t="s">
        <v>469</v>
      </c>
      <c r="C172" s="57"/>
      <c r="D172" s="57" t="s">
        <v>470</v>
      </c>
      <c r="E172" s="63">
        <f>E173</f>
        <v>50079366</v>
      </c>
      <c r="F172" s="63">
        <f>F173</f>
        <v>47076212</v>
      </c>
      <c r="G172" s="63">
        <f>G173</f>
        <v>47070402.689999998</v>
      </c>
      <c r="H172" s="64">
        <f t="shared" si="79"/>
        <v>0.99987659776024451</v>
      </c>
      <c r="I172" s="63">
        <f>I173</f>
        <v>62728228.030000001</v>
      </c>
      <c r="J172" s="63">
        <f>J173</f>
        <v>62539417.18</v>
      </c>
      <c r="K172" s="64">
        <f t="shared" ref="K172:K173" si="82">J172/I172</f>
        <v>0.99699001779693663</v>
      </c>
      <c r="L172" s="63"/>
      <c r="M172" s="114"/>
      <c r="N172" s="63">
        <f t="shared" si="65"/>
        <v>109609819.87</v>
      </c>
      <c r="O172" s="39"/>
      <c r="P172" s="55"/>
    </row>
    <row r="173" spans="1:16" s="38" customFormat="1" ht="230.25" thickTop="1" thickBot="1" x14ac:dyDescent="0.25">
      <c r="A173" s="53"/>
      <c r="B173" s="76" t="s">
        <v>386</v>
      </c>
      <c r="C173" s="76" t="s">
        <v>387</v>
      </c>
      <c r="D173" s="76" t="s">
        <v>388</v>
      </c>
      <c r="E173" s="60">
        <v>50079366</v>
      </c>
      <c r="F173" s="60">
        <v>47076212</v>
      </c>
      <c r="G173" s="60">
        <v>47070402.689999998</v>
      </c>
      <c r="H173" s="61">
        <f t="shared" si="79"/>
        <v>0.99987659776024451</v>
      </c>
      <c r="I173" s="60">
        <v>62728228.030000001</v>
      </c>
      <c r="J173" s="109">
        <v>62539417.18</v>
      </c>
      <c r="K173" s="61">
        <f t="shared" si="82"/>
        <v>0.99699001779693663</v>
      </c>
      <c r="L173" s="109"/>
      <c r="M173" s="113"/>
      <c r="N173" s="62">
        <f t="shared" si="65"/>
        <v>109609819.87</v>
      </c>
      <c r="O173" s="54"/>
      <c r="P173" s="55"/>
    </row>
    <row r="174" spans="1:16" s="38" customFormat="1" ht="91.5" thickTop="1" thickBot="1" x14ac:dyDescent="0.25">
      <c r="A174" s="53"/>
      <c r="B174" s="96" t="s">
        <v>32</v>
      </c>
      <c r="C174" s="97"/>
      <c r="D174" s="96" t="s">
        <v>33</v>
      </c>
      <c r="E174" s="98">
        <f>E175+E176</f>
        <v>4642400</v>
      </c>
      <c r="F174" s="98">
        <f>F175+F176</f>
        <v>4481401</v>
      </c>
      <c r="G174" s="98">
        <f>G175+G176</f>
        <v>4480968.55</v>
      </c>
      <c r="H174" s="99">
        <f>G174/F174</f>
        <v>0.99990350115957038</v>
      </c>
      <c r="I174" s="98">
        <f>I175+I176</f>
        <v>1500000</v>
      </c>
      <c r="J174" s="98">
        <f>J175+J176</f>
        <v>1478000</v>
      </c>
      <c r="K174" s="99">
        <f>J174/I174</f>
        <v>0.98533333333333328</v>
      </c>
      <c r="L174" s="140"/>
      <c r="M174" s="140"/>
      <c r="N174" s="106">
        <f>G174+J174</f>
        <v>5958968.5499999998</v>
      </c>
      <c r="O174" s="39"/>
      <c r="P174" s="55"/>
    </row>
    <row r="175" spans="1:16" s="38" customFormat="1" ht="93" thickTop="1" thickBot="1" x14ac:dyDescent="0.25">
      <c r="A175" s="53"/>
      <c r="B175" s="58" t="s">
        <v>34</v>
      </c>
      <c r="C175" s="76" t="s">
        <v>524</v>
      </c>
      <c r="D175" s="58" t="s">
        <v>35</v>
      </c>
      <c r="E175" s="60">
        <v>4392400</v>
      </c>
      <c r="F175" s="60">
        <v>4392400</v>
      </c>
      <c r="G175" s="60">
        <v>4391968.55</v>
      </c>
      <c r="H175" s="61">
        <f t="shared" si="79"/>
        <v>0.99990177351789455</v>
      </c>
      <c r="I175" s="60">
        <v>1500000</v>
      </c>
      <c r="J175" s="60">
        <v>1478000</v>
      </c>
      <c r="K175" s="61">
        <f>J175/I175</f>
        <v>0.98533333333333328</v>
      </c>
      <c r="L175" s="140"/>
      <c r="M175" s="140"/>
      <c r="N175" s="62">
        <f t="shared" si="65"/>
        <v>5869968.5499999998</v>
      </c>
      <c r="O175" s="39"/>
      <c r="P175" s="55"/>
    </row>
    <row r="176" spans="1:16" s="38" customFormat="1" ht="230.25" thickTop="1" thickBot="1" x14ac:dyDescent="0.25">
      <c r="A176" s="53"/>
      <c r="B176" s="112" t="s">
        <v>474</v>
      </c>
      <c r="C176" s="112" t="s">
        <v>524</v>
      </c>
      <c r="D176" s="58" t="s">
        <v>475</v>
      </c>
      <c r="E176" s="60">
        <v>250000</v>
      </c>
      <c r="F176" s="60">
        <v>89001</v>
      </c>
      <c r="G176" s="60">
        <v>89000</v>
      </c>
      <c r="H176" s="61">
        <f>G176/F176</f>
        <v>0.99998876417118909</v>
      </c>
      <c r="I176" s="60">
        <v>0</v>
      </c>
      <c r="J176" s="60">
        <v>0</v>
      </c>
      <c r="K176" s="61">
        <v>0</v>
      </c>
      <c r="L176" s="140"/>
      <c r="M176" s="140"/>
      <c r="N176" s="62">
        <f t="shared" si="65"/>
        <v>89000</v>
      </c>
      <c r="O176" s="54" t="s">
        <v>456</v>
      </c>
      <c r="P176" s="55"/>
    </row>
    <row r="177" spans="1:16" s="38" customFormat="1" ht="136.5" thickTop="1" thickBot="1" x14ac:dyDescent="0.25">
      <c r="A177" s="53"/>
      <c r="B177" s="141" t="s">
        <v>36</v>
      </c>
      <c r="C177" s="97"/>
      <c r="D177" s="141" t="s">
        <v>37</v>
      </c>
      <c r="E177" s="98">
        <f>SUM(E178:E189)-E186-E179</f>
        <v>13413244</v>
      </c>
      <c r="F177" s="98">
        <f>SUM(F178:F189)-F186-F179</f>
        <v>12391561</v>
      </c>
      <c r="G177" s="98">
        <f>SUM(G178:G189)-G186-G179</f>
        <v>11868168.789999997</v>
      </c>
      <c r="H177" s="99">
        <f t="shared" si="79"/>
        <v>0.9577622052621132</v>
      </c>
      <c r="I177" s="98">
        <f>SUM(I178:I189)-I186-I179</f>
        <v>94944344.159999996</v>
      </c>
      <c r="J177" s="98">
        <f>SUM(J178:J189)-J186-J179</f>
        <v>90204874.699999988</v>
      </c>
      <c r="K177" s="99">
        <f>J177/I177</f>
        <v>0.95008160304932898</v>
      </c>
      <c r="L177" s="140"/>
      <c r="M177" s="140"/>
      <c r="N177" s="106">
        <f t="shared" si="65"/>
        <v>102073043.48999998</v>
      </c>
      <c r="O177" s="39"/>
      <c r="P177" s="55"/>
    </row>
    <row r="178" spans="1:16" s="38" customFormat="1" ht="93" thickTop="1" thickBot="1" x14ac:dyDescent="0.25">
      <c r="A178" s="53"/>
      <c r="B178" s="76" t="s">
        <v>413</v>
      </c>
      <c r="C178" s="76" t="s">
        <v>414</v>
      </c>
      <c r="D178" s="76" t="s">
        <v>415</v>
      </c>
      <c r="E178" s="62">
        <v>4602230</v>
      </c>
      <c r="F178" s="62">
        <v>3702230</v>
      </c>
      <c r="G178" s="62">
        <v>3562290.38</v>
      </c>
      <c r="H178" s="61">
        <f t="shared" si="79"/>
        <v>0.96220126248234172</v>
      </c>
      <c r="I178" s="100"/>
      <c r="J178" s="100"/>
      <c r="K178" s="61"/>
      <c r="L178" s="100"/>
      <c r="M178" s="104"/>
      <c r="N178" s="62">
        <f t="shared" si="65"/>
        <v>3562290.38</v>
      </c>
      <c r="O178" s="39"/>
      <c r="P178" s="55"/>
    </row>
    <row r="179" spans="1:16" s="38" customFormat="1" ht="93" thickTop="1" thickBot="1" x14ac:dyDescent="0.25">
      <c r="A179" s="53"/>
      <c r="B179" s="57" t="s">
        <v>493</v>
      </c>
      <c r="C179" s="57"/>
      <c r="D179" s="57" t="s">
        <v>495</v>
      </c>
      <c r="E179" s="63">
        <f>E180</f>
        <v>150000</v>
      </c>
      <c r="F179" s="63">
        <f>F180</f>
        <v>244140</v>
      </c>
      <c r="G179" s="63">
        <f>G180</f>
        <v>244127.72</v>
      </c>
      <c r="H179" s="64">
        <f t="shared" si="79"/>
        <v>0.99994970099123459</v>
      </c>
      <c r="I179" s="63">
        <f>I180</f>
        <v>0</v>
      </c>
      <c r="J179" s="63">
        <f>J180</f>
        <v>0</v>
      </c>
      <c r="K179" s="64">
        <v>0</v>
      </c>
      <c r="L179" s="121"/>
      <c r="M179" s="142"/>
      <c r="N179" s="63">
        <f t="shared" si="65"/>
        <v>244127.72</v>
      </c>
      <c r="O179" s="186" t="s">
        <v>456</v>
      </c>
      <c r="P179" s="187"/>
    </row>
    <row r="180" spans="1:16" s="38" customFormat="1" ht="93" thickTop="1" thickBot="1" x14ac:dyDescent="0.25">
      <c r="A180" s="53"/>
      <c r="B180" s="76" t="s">
        <v>494</v>
      </c>
      <c r="C180" s="76" t="s">
        <v>375</v>
      </c>
      <c r="D180" s="76" t="s">
        <v>496</v>
      </c>
      <c r="E180" s="62">
        <v>150000</v>
      </c>
      <c r="F180" s="62">
        <v>244140</v>
      </c>
      <c r="G180" s="62">
        <v>244127.72</v>
      </c>
      <c r="H180" s="61">
        <f t="shared" si="79"/>
        <v>0.99994970099123459</v>
      </c>
      <c r="I180" s="100"/>
      <c r="J180" s="100"/>
      <c r="K180" s="61"/>
      <c r="L180" s="100"/>
      <c r="M180" s="104"/>
      <c r="N180" s="62">
        <f t="shared" si="65"/>
        <v>244127.72</v>
      </c>
      <c r="O180" s="39"/>
      <c r="P180" s="55"/>
    </row>
    <row r="181" spans="1:16" s="38" customFormat="1" ht="138.75" thickTop="1" thickBot="1" x14ac:dyDescent="0.25">
      <c r="A181" s="53"/>
      <c r="B181" s="76" t="s">
        <v>416</v>
      </c>
      <c r="C181" s="76" t="s">
        <v>375</v>
      </c>
      <c r="D181" s="76" t="s">
        <v>417</v>
      </c>
      <c r="E181" s="62">
        <v>1235000</v>
      </c>
      <c r="F181" s="62">
        <v>1235000</v>
      </c>
      <c r="G181" s="62">
        <v>1232463.1200000001</v>
      </c>
      <c r="H181" s="61">
        <f t="shared" si="79"/>
        <v>0.99794584615384629</v>
      </c>
      <c r="I181" s="62"/>
      <c r="J181" s="62"/>
      <c r="K181" s="62"/>
      <c r="L181" s="62"/>
      <c r="M181" s="113"/>
      <c r="N181" s="62">
        <f t="shared" si="65"/>
        <v>1232463.1200000001</v>
      </c>
      <c r="O181" s="39"/>
      <c r="P181" s="55"/>
    </row>
    <row r="182" spans="1:16" s="38" customFormat="1" ht="48" thickTop="1" thickBot="1" x14ac:dyDescent="0.25">
      <c r="A182" s="53"/>
      <c r="B182" s="76" t="s">
        <v>374</v>
      </c>
      <c r="C182" s="76" t="s">
        <v>375</v>
      </c>
      <c r="D182" s="76" t="s">
        <v>376</v>
      </c>
      <c r="E182" s="60">
        <v>1150000</v>
      </c>
      <c r="F182" s="60">
        <v>934177</v>
      </c>
      <c r="G182" s="60">
        <v>866585.64</v>
      </c>
      <c r="H182" s="61">
        <f t="shared" si="79"/>
        <v>0.92764608848216135</v>
      </c>
      <c r="I182" s="62">
        <f>350000+18676588.58</f>
        <v>19026588.579999998</v>
      </c>
      <c r="J182" s="60">
        <f>16497058.79</f>
        <v>16497058.789999999</v>
      </c>
      <c r="K182" s="61">
        <f>J182/I182</f>
        <v>0.86705289919082285</v>
      </c>
      <c r="L182" s="60"/>
      <c r="M182" s="113"/>
      <c r="N182" s="62">
        <f t="shared" si="65"/>
        <v>17363644.43</v>
      </c>
      <c r="O182" s="186" t="s">
        <v>456</v>
      </c>
      <c r="P182" s="187"/>
    </row>
    <row r="183" spans="1:16" s="38" customFormat="1" ht="138.75" thickTop="1" thickBot="1" x14ac:dyDescent="0.25">
      <c r="A183" s="53"/>
      <c r="B183" s="76" t="s">
        <v>439</v>
      </c>
      <c r="C183" s="76" t="s">
        <v>39</v>
      </c>
      <c r="D183" s="76" t="s">
        <v>440</v>
      </c>
      <c r="E183" s="100"/>
      <c r="F183" s="100"/>
      <c r="G183" s="100"/>
      <c r="H183" s="100"/>
      <c r="I183" s="62">
        <v>50000</v>
      </c>
      <c r="J183" s="62">
        <v>9000</v>
      </c>
      <c r="K183" s="61">
        <f>J183/I183</f>
        <v>0.18</v>
      </c>
      <c r="L183" s="62"/>
      <c r="M183" s="113"/>
      <c r="N183" s="62">
        <f t="shared" si="65"/>
        <v>9000</v>
      </c>
      <c r="O183" s="39"/>
      <c r="P183" s="55"/>
    </row>
    <row r="184" spans="1:16" s="38" customFormat="1" ht="93" thickTop="1" thickBot="1" x14ac:dyDescent="0.25">
      <c r="A184" s="53"/>
      <c r="B184" s="76" t="s">
        <v>188</v>
      </c>
      <c r="C184" s="76" t="s">
        <v>39</v>
      </c>
      <c r="D184" s="76" t="s">
        <v>189</v>
      </c>
      <c r="E184" s="95"/>
      <c r="F184" s="95"/>
      <c r="G184" s="95"/>
      <c r="H184" s="95"/>
      <c r="I184" s="62">
        <f>25373620+70000+997546+300000+40759538</f>
        <v>67500704</v>
      </c>
      <c r="J184" s="60">
        <f>25237433.92+54016.58+997402+300000+40010408.69</f>
        <v>66599261.189999998</v>
      </c>
      <c r="K184" s="61">
        <f>J184/I184</f>
        <v>0.98664543098691238</v>
      </c>
      <c r="L184" s="60"/>
      <c r="M184" s="113"/>
      <c r="N184" s="62">
        <f t="shared" si="65"/>
        <v>66599261.189999998</v>
      </c>
      <c r="O184" s="39"/>
      <c r="P184" s="55"/>
    </row>
    <row r="185" spans="1:16" s="38" customFormat="1" ht="138.75" thickTop="1" thickBot="1" x14ac:dyDescent="0.25">
      <c r="A185" s="53"/>
      <c r="B185" s="58" t="s">
        <v>38</v>
      </c>
      <c r="C185" s="76" t="s">
        <v>39</v>
      </c>
      <c r="D185" s="58" t="s">
        <v>40</v>
      </c>
      <c r="E185" s="62">
        <v>290200</v>
      </c>
      <c r="F185" s="62">
        <v>290200</v>
      </c>
      <c r="G185" s="62">
        <v>290118</v>
      </c>
      <c r="H185" s="61">
        <f t="shared" ref="H185:H186" si="83">G185/F185</f>
        <v>0.99971743625086151</v>
      </c>
      <c r="I185" s="143"/>
      <c r="J185" s="143"/>
      <c r="K185" s="143"/>
      <c r="L185" s="143"/>
      <c r="M185" s="143"/>
      <c r="N185" s="62">
        <f t="shared" si="65"/>
        <v>290118</v>
      </c>
      <c r="O185" s="39"/>
      <c r="P185" s="55"/>
    </row>
    <row r="186" spans="1:16" s="38" customFormat="1" ht="48" thickTop="1" thickBot="1" x14ac:dyDescent="0.25">
      <c r="A186" s="53"/>
      <c r="B186" s="57" t="s">
        <v>41</v>
      </c>
      <c r="C186" s="57"/>
      <c r="D186" s="57" t="s">
        <v>377</v>
      </c>
      <c r="E186" s="92">
        <f>SUM(E187:E189)</f>
        <v>5985814</v>
      </c>
      <c r="F186" s="92">
        <f>SUM(F187:F189)</f>
        <v>5985814</v>
      </c>
      <c r="G186" s="92">
        <f>SUM(G187:G189)</f>
        <v>5672583.9299999997</v>
      </c>
      <c r="H186" s="64">
        <f t="shared" si="83"/>
        <v>0.9476712657626849</v>
      </c>
      <c r="I186" s="92">
        <f>SUM(I187:I189)</f>
        <v>8367051.5800000001</v>
      </c>
      <c r="J186" s="92">
        <f>SUM(J187:J189)</f>
        <v>7099554.7199999997</v>
      </c>
      <c r="K186" s="64">
        <f>J186/I186</f>
        <v>0.84851332062661911</v>
      </c>
      <c r="L186" s="92"/>
      <c r="M186" s="92"/>
      <c r="N186" s="63">
        <f t="shared" si="65"/>
        <v>12772138.649999999</v>
      </c>
      <c r="O186" s="39"/>
      <c r="P186" s="55"/>
    </row>
    <row r="187" spans="1:16" s="38" customFormat="1" ht="409.6" thickTop="1" thickBot="1" x14ac:dyDescent="0.7">
      <c r="A187" s="53"/>
      <c r="B187" s="195" t="s">
        <v>42</v>
      </c>
      <c r="C187" s="195" t="s">
        <v>39</v>
      </c>
      <c r="D187" s="102" t="s">
        <v>43</v>
      </c>
      <c r="E187" s="196"/>
      <c r="F187" s="196"/>
      <c r="G187" s="196"/>
      <c r="H187" s="197"/>
      <c r="I187" s="192">
        <f>3674644.58+322000+990000+1670522+1500000</f>
        <v>8157166.5800000001</v>
      </c>
      <c r="J187" s="192">
        <f>3105017.92+282945.6+631273.78+1370432.42+1500000</f>
        <v>6889669.7199999997</v>
      </c>
      <c r="K187" s="199">
        <f>J187/I187</f>
        <v>0.84461554786588655</v>
      </c>
      <c r="L187" s="188"/>
      <c r="M187" s="190"/>
      <c r="N187" s="192">
        <f>J187+G187</f>
        <v>6889669.7199999997</v>
      </c>
      <c r="O187" s="39"/>
      <c r="P187" s="55"/>
    </row>
    <row r="188" spans="1:16" s="38" customFormat="1" ht="184.5" thickTop="1" thickBot="1" x14ac:dyDescent="0.25">
      <c r="A188" s="53"/>
      <c r="B188" s="195"/>
      <c r="C188" s="195"/>
      <c r="D188" s="103" t="s">
        <v>44</v>
      </c>
      <c r="E188" s="196"/>
      <c r="F188" s="196"/>
      <c r="G188" s="196"/>
      <c r="H188" s="198"/>
      <c r="I188" s="192"/>
      <c r="J188" s="192"/>
      <c r="K188" s="199"/>
      <c r="L188" s="189"/>
      <c r="M188" s="191"/>
      <c r="N188" s="192"/>
      <c r="O188" s="39"/>
      <c r="P188" s="55"/>
    </row>
    <row r="189" spans="1:16" s="38" customFormat="1" ht="93" thickTop="1" thickBot="1" x14ac:dyDescent="0.25">
      <c r="A189" s="53"/>
      <c r="B189" s="76" t="s">
        <v>45</v>
      </c>
      <c r="C189" s="76" t="s">
        <v>39</v>
      </c>
      <c r="D189" s="76" t="s">
        <v>46</v>
      </c>
      <c r="E189" s="62">
        <f>1600542.59+4385271.41</f>
        <v>5985814</v>
      </c>
      <c r="F189" s="62">
        <f>1600542.59+4385271.41</f>
        <v>5985814</v>
      </c>
      <c r="G189" s="62">
        <v>5672583.9299999997</v>
      </c>
      <c r="H189" s="61">
        <f t="shared" ref="H189:H193" si="84">G189/F189</f>
        <v>0.9476712657626849</v>
      </c>
      <c r="I189" s="62">
        <v>209885</v>
      </c>
      <c r="J189" s="62">
        <v>209885</v>
      </c>
      <c r="K189" s="61">
        <f>J189/I189</f>
        <v>1</v>
      </c>
      <c r="L189" s="62"/>
      <c r="M189" s="113"/>
      <c r="N189" s="62">
        <f t="shared" ref="N189:N210" si="85">G189+J189</f>
        <v>5882468.9299999997</v>
      </c>
      <c r="O189" s="39"/>
      <c r="P189" s="55"/>
    </row>
    <row r="190" spans="1:16" s="38" customFormat="1" ht="107.45" customHeight="1" thickTop="1" thickBot="1" x14ac:dyDescent="0.25">
      <c r="A190" s="53"/>
      <c r="B190" s="70" t="s">
        <v>47</v>
      </c>
      <c r="C190" s="70"/>
      <c r="D190" s="71" t="s">
        <v>48</v>
      </c>
      <c r="E190" s="72">
        <f>SUM(E191:E204)-E191-E194-E200-E203-E195</f>
        <v>13591854</v>
      </c>
      <c r="F190" s="72">
        <f>SUM(F191:F204)-F191-F194-F200-F203-F195</f>
        <v>13608014.18</v>
      </c>
      <c r="G190" s="72">
        <f>SUM(G191:G204)-G191-G194-G200-G203-G195</f>
        <v>10536640.680000003</v>
      </c>
      <c r="H190" s="73">
        <f>G190/F190</f>
        <v>0.77429671520227672</v>
      </c>
      <c r="I190" s="72">
        <f>SUM(I191:I204)-I191-I194-I200-I203-I195</f>
        <v>3253138.96</v>
      </c>
      <c r="J190" s="72">
        <f>SUM(J191:J204)-J191-J194-J200-J203-J195</f>
        <v>2959440.5299999993</v>
      </c>
      <c r="K190" s="73">
        <f>J190/I190</f>
        <v>0.90971844928505585</v>
      </c>
      <c r="L190" s="72"/>
      <c r="M190" s="72"/>
      <c r="N190" s="74">
        <f>J190+G190</f>
        <v>13496081.210000003</v>
      </c>
      <c r="O190" s="66" t="b">
        <f>N190=N192+N193+N196+N197+N198+N199+N201+N202+N204</f>
        <v>1</v>
      </c>
      <c r="P190" s="55"/>
    </row>
    <row r="191" spans="1:16" s="38" customFormat="1" ht="197.25" customHeight="1" thickTop="1" thickBot="1" x14ac:dyDescent="0.25">
      <c r="A191" s="53"/>
      <c r="B191" s="96" t="s">
        <v>389</v>
      </c>
      <c r="C191" s="96"/>
      <c r="D191" s="145" t="s">
        <v>390</v>
      </c>
      <c r="E191" s="106">
        <f>SUM(E192:E193)</f>
        <v>2560578</v>
      </c>
      <c r="F191" s="106">
        <f>SUM(F192:F193)</f>
        <v>2021271</v>
      </c>
      <c r="G191" s="106">
        <f>SUM(G192:G193)</f>
        <v>2017975.9</v>
      </c>
      <c r="H191" s="99">
        <f t="shared" si="84"/>
        <v>0.998369788118466</v>
      </c>
      <c r="I191" s="106">
        <f>SUM(I192:I193)</f>
        <v>68000</v>
      </c>
      <c r="J191" s="106">
        <f>SUM(J192:J193)</f>
        <v>66643.98</v>
      </c>
      <c r="K191" s="99">
        <f t="shared" ref="K191:K199" si="86">J191/I191</f>
        <v>0.98005852941176463</v>
      </c>
      <c r="L191" s="106"/>
      <c r="M191" s="106"/>
      <c r="N191" s="106">
        <f t="shared" si="85"/>
        <v>2084619.88</v>
      </c>
      <c r="O191" s="186"/>
      <c r="P191" s="187"/>
    </row>
    <row r="192" spans="1:16" s="38" customFormat="1" ht="184.5" thickTop="1" thickBot="1" x14ac:dyDescent="0.25">
      <c r="A192" s="53"/>
      <c r="B192" s="112" t="s">
        <v>391</v>
      </c>
      <c r="C192" s="112" t="s">
        <v>392</v>
      </c>
      <c r="D192" s="112" t="s">
        <v>393</v>
      </c>
      <c r="E192" s="60">
        <v>108400</v>
      </c>
      <c r="F192" s="60">
        <v>108400</v>
      </c>
      <c r="G192" s="60">
        <v>106925.9</v>
      </c>
      <c r="H192" s="61">
        <f t="shared" si="84"/>
        <v>0.98640129151291511</v>
      </c>
      <c r="I192" s="100"/>
      <c r="J192" s="95"/>
      <c r="K192" s="95"/>
      <c r="L192" s="95"/>
      <c r="M192" s="104"/>
      <c r="N192" s="62">
        <f t="shared" si="85"/>
        <v>106925.9</v>
      </c>
      <c r="O192" s="186"/>
      <c r="P192" s="187"/>
    </row>
    <row r="193" spans="1:17" s="38" customFormat="1" ht="93" thickTop="1" thickBot="1" x14ac:dyDescent="0.25">
      <c r="A193" s="53"/>
      <c r="B193" s="76" t="s">
        <v>394</v>
      </c>
      <c r="C193" s="76" t="s">
        <v>392</v>
      </c>
      <c r="D193" s="76" t="s">
        <v>395</v>
      </c>
      <c r="E193" s="60">
        <v>2452178</v>
      </c>
      <c r="F193" s="60">
        <v>1912871</v>
      </c>
      <c r="G193" s="60">
        <v>1911050</v>
      </c>
      <c r="H193" s="61">
        <f t="shared" si="84"/>
        <v>0.99904802780741619</v>
      </c>
      <c r="I193" s="62">
        <v>68000</v>
      </c>
      <c r="J193" s="62">
        <v>66643.98</v>
      </c>
      <c r="K193" s="61">
        <f t="shared" si="86"/>
        <v>0.98005852941176463</v>
      </c>
      <c r="L193" s="95"/>
      <c r="M193" s="104"/>
      <c r="N193" s="62">
        <f t="shared" si="85"/>
        <v>1977693.98</v>
      </c>
      <c r="O193" s="12"/>
      <c r="P193" s="55"/>
    </row>
    <row r="194" spans="1:17" s="38" customFormat="1" ht="91.5" thickTop="1" thickBot="1" x14ac:dyDescent="0.25">
      <c r="A194" s="53"/>
      <c r="B194" s="96" t="s">
        <v>418</v>
      </c>
      <c r="C194" s="96"/>
      <c r="D194" s="96" t="s">
        <v>419</v>
      </c>
      <c r="E194" s="98">
        <f>SUM(E195:E199)-E195</f>
        <v>0</v>
      </c>
      <c r="F194" s="98">
        <f>SUM(F195:F199)-F195</f>
        <v>0</v>
      </c>
      <c r="G194" s="98">
        <f t="shared" ref="G194" si="87">SUM(G195:G199)-G195</f>
        <v>0</v>
      </c>
      <c r="H194" s="99">
        <v>0</v>
      </c>
      <c r="I194" s="98">
        <f t="shared" ref="I194:J194" si="88">SUM(I195:I199)-I195</f>
        <v>3185138.96</v>
      </c>
      <c r="J194" s="98">
        <f t="shared" si="88"/>
        <v>2892796.55</v>
      </c>
      <c r="K194" s="99">
        <f t="shared" si="86"/>
        <v>0.90821674857162271</v>
      </c>
      <c r="L194" s="98"/>
      <c r="M194" s="98"/>
      <c r="N194" s="106">
        <f t="shared" si="85"/>
        <v>2892796.55</v>
      </c>
      <c r="O194" s="186" t="s">
        <v>456</v>
      </c>
      <c r="P194" s="187"/>
    </row>
    <row r="195" spans="1:17" s="38" customFormat="1" ht="138.75" thickTop="1" thickBot="1" x14ac:dyDescent="0.25">
      <c r="A195" s="53"/>
      <c r="B195" s="57" t="s">
        <v>420</v>
      </c>
      <c r="C195" s="57"/>
      <c r="D195" s="57" t="s">
        <v>421</v>
      </c>
      <c r="E195" s="92">
        <f t="shared" ref="E195:G195" si="89">SUM(E196:E197)</f>
        <v>0</v>
      </c>
      <c r="F195" s="92">
        <f t="shared" ref="F195" si="90">SUM(F196:F197)</f>
        <v>0</v>
      </c>
      <c r="G195" s="92">
        <f t="shared" si="89"/>
        <v>0</v>
      </c>
      <c r="H195" s="64">
        <v>0</v>
      </c>
      <c r="I195" s="92">
        <f t="shared" ref="I195:J195" si="91">SUM(I196:I197)</f>
        <v>765138.96</v>
      </c>
      <c r="J195" s="92">
        <f t="shared" si="91"/>
        <v>649303.54</v>
      </c>
      <c r="K195" s="64">
        <f t="shared" si="86"/>
        <v>0.84860865012023445</v>
      </c>
      <c r="L195" s="92"/>
      <c r="M195" s="92"/>
      <c r="N195" s="63">
        <f t="shared" si="85"/>
        <v>649303.54</v>
      </c>
      <c r="O195" s="39"/>
      <c r="P195" s="55"/>
    </row>
    <row r="196" spans="1:17" s="38" customFormat="1" ht="138.75" thickTop="1" thickBot="1" x14ac:dyDescent="0.25">
      <c r="A196" s="53"/>
      <c r="B196" s="112" t="s">
        <v>422</v>
      </c>
      <c r="C196" s="112" t="s">
        <v>423</v>
      </c>
      <c r="D196" s="112" t="s">
        <v>424</v>
      </c>
      <c r="E196" s="100"/>
      <c r="F196" s="100"/>
      <c r="G196" s="100"/>
      <c r="H196" s="100"/>
      <c r="I196" s="62">
        <v>403900</v>
      </c>
      <c r="J196" s="62">
        <v>290744.94</v>
      </c>
      <c r="K196" s="61">
        <f t="shared" si="86"/>
        <v>0.71984387224560531</v>
      </c>
      <c r="L196" s="62"/>
      <c r="M196" s="113"/>
      <c r="N196" s="62">
        <f t="shared" si="85"/>
        <v>290744.94</v>
      </c>
      <c r="O196" s="39"/>
      <c r="P196" s="55"/>
    </row>
    <row r="197" spans="1:17" s="38" customFormat="1" ht="48" thickTop="1" thickBot="1" x14ac:dyDescent="0.25">
      <c r="A197" s="53"/>
      <c r="B197" s="112" t="s">
        <v>425</v>
      </c>
      <c r="C197" s="112" t="s">
        <v>426</v>
      </c>
      <c r="D197" s="112" t="s">
        <v>427</v>
      </c>
      <c r="E197" s="100"/>
      <c r="F197" s="100"/>
      <c r="G197" s="100"/>
      <c r="H197" s="100"/>
      <c r="I197" s="62">
        <v>361238.96</v>
      </c>
      <c r="J197" s="62">
        <v>358558.6</v>
      </c>
      <c r="K197" s="61">
        <f t="shared" si="86"/>
        <v>0.99258009158259108</v>
      </c>
      <c r="L197" s="62"/>
      <c r="M197" s="113"/>
      <c r="N197" s="62">
        <f t="shared" si="85"/>
        <v>358558.6</v>
      </c>
      <c r="O197" s="39"/>
      <c r="P197" s="55"/>
    </row>
    <row r="198" spans="1:17" s="38" customFormat="1" ht="93" thickTop="1" thickBot="1" x14ac:dyDescent="0.25">
      <c r="A198" s="53"/>
      <c r="B198" s="112" t="s">
        <v>428</v>
      </c>
      <c r="C198" s="112" t="s">
        <v>429</v>
      </c>
      <c r="D198" s="112" t="s">
        <v>430</v>
      </c>
      <c r="E198" s="100"/>
      <c r="F198" s="100"/>
      <c r="G198" s="100"/>
      <c r="H198" s="100"/>
      <c r="I198" s="62">
        <v>175000</v>
      </c>
      <c r="J198" s="62">
        <v>149944.5</v>
      </c>
      <c r="K198" s="61">
        <f t="shared" si="86"/>
        <v>0.8568257142857143</v>
      </c>
      <c r="L198" s="62"/>
      <c r="M198" s="113"/>
      <c r="N198" s="62">
        <f t="shared" si="85"/>
        <v>149944.5</v>
      </c>
      <c r="O198" s="39"/>
      <c r="P198" s="55"/>
    </row>
    <row r="199" spans="1:17" s="38" customFormat="1" ht="93" customHeight="1" thickTop="1" thickBot="1" x14ac:dyDescent="0.25">
      <c r="A199" s="53"/>
      <c r="B199" s="112" t="s">
        <v>431</v>
      </c>
      <c r="C199" s="112" t="s">
        <v>432</v>
      </c>
      <c r="D199" s="112" t="s">
        <v>433</v>
      </c>
      <c r="E199" s="100"/>
      <c r="F199" s="100"/>
      <c r="G199" s="100"/>
      <c r="H199" s="100"/>
      <c r="I199" s="62">
        <v>2245000</v>
      </c>
      <c r="J199" s="62">
        <v>2093548.51</v>
      </c>
      <c r="K199" s="61">
        <f t="shared" si="86"/>
        <v>0.93253831180400892</v>
      </c>
      <c r="L199" s="62"/>
      <c r="M199" s="113"/>
      <c r="N199" s="62">
        <f t="shared" si="85"/>
        <v>2093548.51</v>
      </c>
      <c r="O199" s="39"/>
      <c r="P199" s="55"/>
    </row>
    <row r="200" spans="1:17" s="38" customFormat="1" ht="47.25" thickTop="1" thickBot="1" x14ac:dyDescent="0.25">
      <c r="A200" s="53"/>
      <c r="B200" s="96" t="s">
        <v>49</v>
      </c>
      <c r="C200" s="96"/>
      <c r="D200" s="96" t="s">
        <v>50</v>
      </c>
      <c r="E200" s="106">
        <f>SUM(E201)</f>
        <v>6359300</v>
      </c>
      <c r="F200" s="106">
        <f>SUM(F201)</f>
        <v>6359300</v>
      </c>
      <c r="G200" s="106">
        <f t="shared" ref="G200:J200" si="92">SUM(G201)</f>
        <v>6359300</v>
      </c>
      <c r="H200" s="99">
        <f t="shared" ref="H200:H202" si="93">G200/F200</f>
        <v>1</v>
      </c>
      <c r="I200" s="106">
        <f t="shared" si="92"/>
        <v>0</v>
      </c>
      <c r="J200" s="106">
        <f t="shared" si="92"/>
        <v>0</v>
      </c>
      <c r="K200" s="99">
        <v>0</v>
      </c>
      <c r="L200" s="106"/>
      <c r="M200" s="106"/>
      <c r="N200" s="106">
        <f t="shared" si="85"/>
        <v>6359300</v>
      </c>
      <c r="O200" s="186" t="s">
        <v>456</v>
      </c>
      <c r="P200" s="187"/>
    </row>
    <row r="201" spans="1:17" s="38" customFormat="1" ht="93" thickTop="1" thickBot="1" x14ac:dyDescent="0.25">
      <c r="A201" s="53"/>
      <c r="B201" s="58" t="s">
        <v>51</v>
      </c>
      <c r="C201" s="58" t="s">
        <v>52</v>
      </c>
      <c r="D201" s="58" t="s">
        <v>53</v>
      </c>
      <c r="E201" s="62">
        <v>6359300</v>
      </c>
      <c r="F201" s="62">
        <v>6359300</v>
      </c>
      <c r="G201" s="62">
        <v>6359300</v>
      </c>
      <c r="H201" s="61">
        <f t="shared" si="93"/>
        <v>1</v>
      </c>
      <c r="I201" s="100"/>
      <c r="J201" s="100"/>
      <c r="K201" s="100"/>
      <c r="L201" s="100"/>
      <c r="M201" s="104"/>
      <c r="N201" s="62">
        <f t="shared" si="85"/>
        <v>6359300</v>
      </c>
      <c r="O201" s="39"/>
      <c r="P201" s="55"/>
    </row>
    <row r="202" spans="1:17" s="38" customFormat="1" ht="91.5" thickTop="1" thickBot="1" x14ac:dyDescent="0.25">
      <c r="A202" s="53"/>
      <c r="B202" s="105">
        <v>8600</v>
      </c>
      <c r="C202" s="96" t="s">
        <v>24</v>
      </c>
      <c r="D202" s="105" t="s">
        <v>441</v>
      </c>
      <c r="E202" s="106">
        <v>3821976</v>
      </c>
      <c r="F202" s="106">
        <v>4377443.18</v>
      </c>
      <c r="G202" s="106">
        <v>2159364.7799999998</v>
      </c>
      <c r="H202" s="99">
        <f t="shared" si="93"/>
        <v>0.49329361712011988</v>
      </c>
      <c r="I202" s="118"/>
      <c r="J202" s="118"/>
      <c r="K202" s="118"/>
      <c r="L202" s="118"/>
      <c r="M202" s="144"/>
      <c r="N202" s="106">
        <f t="shared" si="85"/>
        <v>2159364.7799999998</v>
      </c>
      <c r="O202" s="39"/>
      <c r="P202" s="55"/>
    </row>
    <row r="203" spans="1:17" s="38" customFormat="1" ht="47.25" thickTop="1" thickBot="1" x14ac:dyDescent="0.25">
      <c r="A203" s="53"/>
      <c r="B203" s="105">
        <v>8700</v>
      </c>
      <c r="C203" s="96"/>
      <c r="D203" s="105" t="s">
        <v>442</v>
      </c>
      <c r="E203" s="106">
        <f t="shared" ref="E203:J203" si="94">E204</f>
        <v>850000</v>
      </c>
      <c r="F203" s="106">
        <f t="shared" si="94"/>
        <v>850000</v>
      </c>
      <c r="G203" s="106">
        <f t="shared" si="94"/>
        <v>0</v>
      </c>
      <c r="H203" s="99">
        <v>0</v>
      </c>
      <c r="I203" s="106">
        <f t="shared" si="94"/>
        <v>0</v>
      </c>
      <c r="J203" s="106">
        <f t="shared" si="94"/>
        <v>0</v>
      </c>
      <c r="K203" s="99">
        <v>0</v>
      </c>
      <c r="L203" s="106"/>
      <c r="M203" s="106"/>
      <c r="N203" s="106">
        <f t="shared" si="85"/>
        <v>0</v>
      </c>
      <c r="O203" s="186" t="s">
        <v>456</v>
      </c>
      <c r="P203" s="187"/>
    </row>
    <row r="204" spans="1:17" s="38" customFormat="1" ht="93" thickTop="1" thickBot="1" x14ac:dyDescent="0.25">
      <c r="A204" s="53"/>
      <c r="B204" s="90">
        <v>8710</v>
      </c>
      <c r="C204" s="112" t="s">
        <v>29</v>
      </c>
      <c r="D204" s="89" t="s">
        <v>443</v>
      </c>
      <c r="E204" s="62">
        <v>850000</v>
      </c>
      <c r="F204" s="62">
        <v>850000</v>
      </c>
      <c r="G204" s="62">
        <v>0</v>
      </c>
      <c r="H204" s="61">
        <v>0</v>
      </c>
      <c r="I204" s="62"/>
      <c r="J204" s="62"/>
      <c r="K204" s="62"/>
      <c r="L204" s="62"/>
      <c r="M204" s="113"/>
      <c r="N204" s="62">
        <f t="shared" si="85"/>
        <v>0</v>
      </c>
      <c r="O204" s="186" t="s">
        <v>456</v>
      </c>
      <c r="P204" s="187"/>
    </row>
    <row r="205" spans="1:17" s="38" customFormat="1" ht="103.7" customHeight="1" thickTop="1" thickBot="1" x14ac:dyDescent="0.25">
      <c r="A205" s="53"/>
      <c r="B205" s="70" t="s">
        <v>54</v>
      </c>
      <c r="C205" s="70"/>
      <c r="D205" s="71" t="s">
        <v>55</v>
      </c>
      <c r="E205" s="72">
        <f>SUM(E206:E211)-E206-E208</f>
        <v>79612137</v>
      </c>
      <c r="F205" s="72">
        <f>SUM(F206:F211)-F206-F208</f>
        <v>80072137</v>
      </c>
      <c r="G205" s="72">
        <f>SUM(G206:G211)-G206-G208</f>
        <v>79997758.730000004</v>
      </c>
      <c r="H205" s="73">
        <f>G205/F205</f>
        <v>0.99907110921742981</v>
      </c>
      <c r="I205" s="72">
        <f>SUM(I206:I211)-I206-I208</f>
        <v>8441288</v>
      </c>
      <c r="J205" s="72">
        <f>SUM(J206:J211)-J206-J208</f>
        <v>7441707.4299999997</v>
      </c>
      <c r="K205" s="73">
        <f>J205/I205</f>
        <v>0.88158435418860248</v>
      </c>
      <c r="L205" s="72"/>
      <c r="M205" s="72"/>
      <c r="N205" s="74">
        <f>J205+G205</f>
        <v>87439466.159999996</v>
      </c>
      <c r="O205" s="66" t="b">
        <f>N205=N207+N209+N210+N211</f>
        <v>1</v>
      </c>
      <c r="P205" s="186"/>
      <c r="Q205" s="187"/>
    </row>
    <row r="206" spans="1:17" s="38" customFormat="1" ht="103.7" customHeight="1" thickTop="1" thickBot="1" x14ac:dyDescent="0.25">
      <c r="A206" s="53"/>
      <c r="B206" s="96" t="s">
        <v>444</v>
      </c>
      <c r="C206" s="96"/>
      <c r="D206" s="96" t="s">
        <v>445</v>
      </c>
      <c r="E206" s="106">
        <f t="shared" ref="E206:J206" si="95">E207</f>
        <v>73303900</v>
      </c>
      <c r="F206" s="106">
        <f t="shared" si="95"/>
        <v>73303900</v>
      </c>
      <c r="G206" s="106">
        <f t="shared" si="95"/>
        <v>73303900</v>
      </c>
      <c r="H206" s="99">
        <f t="shared" ref="H206:H210" si="96">G206/F206</f>
        <v>1</v>
      </c>
      <c r="I206" s="106">
        <f t="shared" si="95"/>
        <v>0</v>
      </c>
      <c r="J206" s="106">
        <f t="shared" si="95"/>
        <v>0</v>
      </c>
      <c r="K206" s="99">
        <v>0</v>
      </c>
      <c r="L206" s="106"/>
      <c r="M206" s="106"/>
      <c r="N206" s="106">
        <f t="shared" si="85"/>
        <v>73303900</v>
      </c>
      <c r="O206" s="186" t="s">
        <v>456</v>
      </c>
      <c r="P206" s="187"/>
    </row>
    <row r="207" spans="1:17" s="38" customFormat="1" ht="103.7" customHeight="1" thickTop="1" thickBot="1" x14ac:dyDescent="0.25">
      <c r="A207" s="53"/>
      <c r="B207" s="90">
        <v>9110</v>
      </c>
      <c r="C207" s="76" t="s">
        <v>28</v>
      </c>
      <c r="D207" s="89" t="s">
        <v>446</v>
      </c>
      <c r="E207" s="62">
        <v>73303900</v>
      </c>
      <c r="F207" s="62">
        <v>73303900</v>
      </c>
      <c r="G207" s="62">
        <v>73303900</v>
      </c>
      <c r="H207" s="61">
        <f t="shared" si="96"/>
        <v>1</v>
      </c>
      <c r="I207" s="100"/>
      <c r="J207" s="100"/>
      <c r="K207" s="100"/>
      <c r="L207" s="100"/>
      <c r="M207" s="104"/>
      <c r="N207" s="62">
        <f t="shared" si="85"/>
        <v>73303900</v>
      </c>
      <c r="O207" s="12"/>
    </row>
    <row r="208" spans="1:17" s="38" customFormat="1" ht="271.5" thickTop="1" thickBot="1" x14ac:dyDescent="0.25">
      <c r="A208" s="53"/>
      <c r="B208" s="96" t="s">
        <v>56</v>
      </c>
      <c r="C208" s="96"/>
      <c r="D208" s="96" t="s">
        <v>57</v>
      </c>
      <c r="E208" s="106">
        <f>SUM(E209:E210)</f>
        <v>2678237</v>
      </c>
      <c r="F208" s="106">
        <f>SUM(F209:F210)</f>
        <v>3018237</v>
      </c>
      <c r="G208" s="106">
        <f t="shared" ref="G208" si="97">SUM(G209:G210)</f>
        <v>2966964.73</v>
      </c>
      <c r="H208" s="99">
        <f t="shared" si="96"/>
        <v>0.98301251028332104</v>
      </c>
      <c r="I208" s="106">
        <f t="shared" ref="I208:J208" si="98">SUM(I209:I210)</f>
        <v>6752888</v>
      </c>
      <c r="J208" s="106">
        <f t="shared" si="98"/>
        <v>5833307.4299999997</v>
      </c>
      <c r="K208" s="99">
        <v>0</v>
      </c>
      <c r="L208" s="106"/>
      <c r="M208" s="106"/>
      <c r="N208" s="106">
        <f t="shared" si="85"/>
        <v>8800272.1600000001</v>
      </c>
      <c r="O208" s="186" t="s">
        <v>456</v>
      </c>
      <c r="P208" s="187"/>
    </row>
    <row r="209" spans="1:27" s="38" customFormat="1" ht="276" thickTop="1" thickBot="1" x14ac:dyDescent="0.25">
      <c r="A209" s="53"/>
      <c r="B209" s="112" t="s">
        <v>58</v>
      </c>
      <c r="C209" s="112" t="s">
        <v>28</v>
      </c>
      <c r="D209" s="112" t="s">
        <v>59</v>
      </c>
      <c r="E209" s="62">
        <v>300000</v>
      </c>
      <c r="F209" s="62">
        <v>300000</v>
      </c>
      <c r="G209" s="62">
        <v>299997.40000000002</v>
      </c>
      <c r="H209" s="61">
        <f t="shared" si="96"/>
        <v>0.99999133333333345</v>
      </c>
      <c r="I209" s="100"/>
      <c r="J209" s="100"/>
      <c r="K209" s="100"/>
      <c r="L209" s="100"/>
      <c r="M209" s="104"/>
      <c r="N209" s="62">
        <f t="shared" si="85"/>
        <v>299997.40000000002</v>
      </c>
      <c r="O209" s="39"/>
      <c r="P209" s="55"/>
    </row>
    <row r="210" spans="1:27" s="38" customFormat="1" ht="93" thickTop="1" thickBot="1" x14ac:dyDescent="0.8">
      <c r="A210" s="53"/>
      <c r="B210" s="112" t="s">
        <v>60</v>
      </c>
      <c r="C210" s="112" t="s">
        <v>28</v>
      </c>
      <c r="D210" s="112" t="s">
        <v>61</v>
      </c>
      <c r="E210" s="62">
        <f>120100+558137+1700000</f>
        <v>2378237</v>
      </c>
      <c r="F210" s="62">
        <v>2718237</v>
      </c>
      <c r="G210" s="62">
        <v>2666967.33</v>
      </c>
      <c r="H210" s="61">
        <f t="shared" si="96"/>
        <v>0.98113863139969038</v>
      </c>
      <c r="I210" s="62">
        <v>6752888</v>
      </c>
      <c r="J210" s="62">
        <v>5833307.4299999997</v>
      </c>
      <c r="K210" s="61">
        <f t="shared" ref="K210" si="99">J210/I210</f>
        <v>0.86382410459050996</v>
      </c>
      <c r="L210" s="62"/>
      <c r="M210" s="113"/>
      <c r="N210" s="62">
        <f t="shared" si="85"/>
        <v>8500274.7599999998</v>
      </c>
      <c r="O210" s="68"/>
      <c r="P210" s="55"/>
    </row>
    <row r="211" spans="1:27" s="38" customFormat="1" ht="271.5" thickTop="1" thickBot="1" x14ac:dyDescent="0.25">
      <c r="A211" s="53"/>
      <c r="B211" s="96" t="s">
        <v>62</v>
      </c>
      <c r="C211" s="96" t="s">
        <v>28</v>
      </c>
      <c r="D211" s="96" t="s">
        <v>63</v>
      </c>
      <c r="E211" s="107">
        <v>3630000</v>
      </c>
      <c r="F211" s="107">
        <v>3750000</v>
      </c>
      <c r="G211" s="107">
        <v>3726894</v>
      </c>
      <c r="H211" s="108">
        <f t="shared" ref="H211" si="100">G211/F211</f>
        <v>0.99383840000000001</v>
      </c>
      <c r="I211" s="107">
        <v>1688400</v>
      </c>
      <c r="J211" s="107">
        <v>1608400</v>
      </c>
      <c r="K211" s="108">
        <f t="shared" ref="K211" si="101">J211/I211</f>
        <v>0.95261786306562424</v>
      </c>
      <c r="L211" s="118"/>
      <c r="M211" s="118"/>
      <c r="N211" s="107">
        <f t="shared" ref="N211" si="102">G211+J211</f>
        <v>5335294</v>
      </c>
      <c r="O211" s="39"/>
      <c r="P211" s="55"/>
    </row>
    <row r="212" spans="1:27" s="38" customFormat="1" ht="71.45" customHeight="1" thickTop="1" thickBot="1" x14ac:dyDescent="0.25">
      <c r="A212" s="53"/>
      <c r="B212" s="40" t="s">
        <v>447</v>
      </c>
      <c r="C212" s="40" t="s">
        <v>447</v>
      </c>
      <c r="D212" s="41" t="s">
        <v>459</v>
      </c>
      <c r="E212" s="42">
        <f>E16+E21+E54+E67+E111+E119+E134+E151+E190+E205</f>
        <v>2745851606.48</v>
      </c>
      <c r="F212" s="42">
        <f>F16+F21+F54+F67+F111+F119+F134+F151+F190+F205</f>
        <v>2791680533.9999995</v>
      </c>
      <c r="G212" s="42">
        <f>G16+G21+G54+G67+G111+G119+G134+G151+G190+G205</f>
        <v>2758684909.1900001</v>
      </c>
      <c r="H212" s="65">
        <f>G212/F212</f>
        <v>0.98818073042092591</v>
      </c>
      <c r="I212" s="42">
        <f>I16+I21+I54+I67+I111+I119+I134+I151+I190+I205</f>
        <v>1112135089.4000001</v>
      </c>
      <c r="J212" s="42">
        <f>J16+J21+J54+J67+J111+J119+J134+J151+J190+J205</f>
        <v>1070910507.8100001</v>
      </c>
      <c r="K212" s="65">
        <f>J212/I212</f>
        <v>0.96293203767876723</v>
      </c>
      <c r="L212" s="59" t="e">
        <f>#REF!+#REF!+#REF!+#REF!+#REF!+#REF!++L127+L135+L201+L159+L181+L193+L146+#REF!+#REF!</f>
        <v>#REF!</v>
      </c>
      <c r="M212" s="59" t="e">
        <f>#REF!+#REF!+#REF!+#REF!+#REF!+#REF!++M127+M135+M201+M159+M181+M193+M146+#REF!+#REF!</f>
        <v>#REF!</v>
      </c>
      <c r="N212" s="42">
        <f>N16+N21+N54+N67+N111+N119+N134+N151+N190+N205</f>
        <v>3829595417</v>
      </c>
      <c r="O212" s="66" t="b">
        <f>N212=J212+G212</f>
        <v>1</v>
      </c>
      <c r="P212" s="55"/>
    </row>
    <row r="213" spans="1:27" s="38" customFormat="1" ht="47.25" thickTop="1" thickBot="1" x14ac:dyDescent="0.25">
      <c r="A213" s="53"/>
      <c r="B213" s="97" t="s">
        <v>47</v>
      </c>
      <c r="C213" s="147"/>
      <c r="D213" s="152" t="s">
        <v>464</v>
      </c>
      <c r="E213" s="149">
        <f t="shared" ref="E213:G214" si="103">E214</f>
        <v>200000</v>
      </c>
      <c r="F213" s="149">
        <f t="shared" si="103"/>
        <v>200000</v>
      </c>
      <c r="G213" s="149">
        <f t="shared" si="103"/>
        <v>200000</v>
      </c>
      <c r="H213" s="153">
        <v>0</v>
      </c>
      <c r="I213" s="149">
        <f>I214</f>
        <v>123742.20000000001</v>
      </c>
      <c r="J213" s="149">
        <f>J214</f>
        <v>-75347.169999999984</v>
      </c>
      <c r="K213" s="108"/>
      <c r="L213" s="149"/>
      <c r="M213" s="149"/>
      <c r="N213" s="107">
        <f t="shared" ref="N213:N217" si="104">G213+J213</f>
        <v>124652.83000000002</v>
      </c>
      <c r="O213" s="186" t="s">
        <v>456</v>
      </c>
      <c r="P213" s="187"/>
    </row>
    <row r="214" spans="1:27" s="38" customFormat="1" ht="47.25" thickTop="1" thickBot="1" x14ac:dyDescent="0.25">
      <c r="A214" s="53"/>
      <c r="B214" s="96" t="s">
        <v>462</v>
      </c>
      <c r="C214" s="147"/>
      <c r="D214" s="154" t="s">
        <v>465</v>
      </c>
      <c r="E214" s="155">
        <f t="shared" si="103"/>
        <v>200000</v>
      </c>
      <c r="F214" s="155">
        <f t="shared" si="103"/>
        <v>200000</v>
      </c>
      <c r="G214" s="155">
        <f t="shared" si="103"/>
        <v>200000</v>
      </c>
      <c r="H214" s="156">
        <v>0</v>
      </c>
      <c r="I214" s="155">
        <f>I215</f>
        <v>123742.20000000001</v>
      </c>
      <c r="J214" s="155">
        <f>J215</f>
        <v>-75347.169999999984</v>
      </c>
      <c r="K214" s="99"/>
      <c r="L214" s="155"/>
      <c r="M214" s="155"/>
      <c r="N214" s="106">
        <f t="shared" si="104"/>
        <v>124652.83000000002</v>
      </c>
      <c r="O214" s="186" t="s">
        <v>456</v>
      </c>
      <c r="P214" s="187"/>
    </row>
    <row r="215" spans="1:27" s="38" customFormat="1" ht="321.75" thickTop="1" thickBot="1" x14ac:dyDescent="0.25">
      <c r="A215" s="53"/>
      <c r="B215" s="57" t="s">
        <v>463</v>
      </c>
      <c r="C215" s="147"/>
      <c r="D215" s="157" t="s">
        <v>466</v>
      </c>
      <c r="E215" s="114">
        <f>E216+E217</f>
        <v>200000</v>
      </c>
      <c r="F215" s="114">
        <f>F216+F217</f>
        <v>200000</v>
      </c>
      <c r="G215" s="114">
        <f>G216+G217</f>
        <v>200000</v>
      </c>
      <c r="H215" s="64"/>
      <c r="I215" s="114">
        <f>I216+I217</f>
        <v>123742.20000000001</v>
      </c>
      <c r="J215" s="114">
        <f>J216+J217</f>
        <v>-75347.169999999984</v>
      </c>
      <c r="K215" s="61"/>
      <c r="L215" s="114"/>
      <c r="M215" s="114"/>
      <c r="N215" s="63">
        <f t="shared" si="104"/>
        <v>124652.83000000002</v>
      </c>
      <c r="O215" s="186" t="s">
        <v>456</v>
      </c>
      <c r="P215" s="187"/>
    </row>
    <row r="216" spans="1:27" s="38" customFormat="1" ht="276" thickTop="1" thickBot="1" x14ac:dyDescent="0.25">
      <c r="A216" s="53"/>
      <c r="B216" s="146" t="s">
        <v>460</v>
      </c>
      <c r="C216" s="147"/>
      <c r="D216" s="148" t="s">
        <v>467</v>
      </c>
      <c r="E216" s="113">
        <v>200000</v>
      </c>
      <c r="F216" s="113">
        <v>200000</v>
      </c>
      <c r="G216" s="113">
        <v>200000</v>
      </c>
      <c r="H216" s="61">
        <v>0</v>
      </c>
      <c r="I216" s="113">
        <v>223742.2</v>
      </c>
      <c r="J216" s="113">
        <v>223742</v>
      </c>
      <c r="K216" s="61">
        <f t="shared" ref="K216:K217" si="105">J216/I216</f>
        <v>0.99999910611409015</v>
      </c>
      <c r="L216" s="149"/>
      <c r="M216" s="149"/>
      <c r="N216" s="62">
        <f t="shared" si="104"/>
        <v>423742</v>
      </c>
      <c r="O216" s="186" t="s">
        <v>456</v>
      </c>
      <c r="P216" s="187"/>
    </row>
    <row r="217" spans="1:27" s="38" customFormat="1" ht="321.75" thickTop="1" thickBot="1" x14ac:dyDescent="1.2">
      <c r="A217" s="53"/>
      <c r="B217" s="146" t="s">
        <v>461</v>
      </c>
      <c r="C217" s="147"/>
      <c r="D217" s="148" t="s">
        <v>468</v>
      </c>
      <c r="E217" s="150"/>
      <c r="F217" s="150"/>
      <c r="G217" s="150"/>
      <c r="H217" s="151"/>
      <c r="I217" s="113">
        <v>-100000</v>
      </c>
      <c r="J217" s="113">
        <v>-299089.17</v>
      </c>
      <c r="K217" s="61">
        <f t="shared" si="105"/>
        <v>2.9908916999999997</v>
      </c>
      <c r="L217" s="149"/>
      <c r="M217" s="149"/>
      <c r="N217" s="62">
        <f t="shared" si="104"/>
        <v>-299089.17</v>
      </c>
      <c r="O217" s="39"/>
      <c r="P217" s="55"/>
      <c r="AA217" s="75"/>
    </row>
    <row r="218" spans="1:27" s="38" customFormat="1" ht="47.25" thickTop="1" thickBot="1" x14ac:dyDescent="0.25">
      <c r="A218" s="53"/>
      <c r="B218" s="40" t="s">
        <v>447</v>
      </c>
      <c r="C218" s="40" t="s">
        <v>447</v>
      </c>
      <c r="D218" s="41" t="s">
        <v>448</v>
      </c>
      <c r="E218" s="42">
        <f>E212+E213</f>
        <v>2746051606.48</v>
      </c>
      <c r="F218" s="42">
        <f>F212+F213</f>
        <v>2791880533.9999995</v>
      </c>
      <c r="G218" s="42">
        <f>G212+G213</f>
        <v>2758884909.1900001</v>
      </c>
      <c r="H218" s="65">
        <f>G218/F218</f>
        <v>0.98818157710970322</v>
      </c>
      <c r="I218" s="42">
        <f>I212+I213</f>
        <v>1112258831.6000001</v>
      </c>
      <c r="J218" s="42">
        <f>J212+J213</f>
        <v>1070835160.6400001</v>
      </c>
      <c r="K218" s="65">
        <f>J218/I218</f>
        <v>0.96275716606321615</v>
      </c>
      <c r="L218" s="59" t="e">
        <f>#REF!+#REF!+#REF!+#REF!+#REF!+#REF!++L133+L141+L207+L173+L187+L198+L154+#REF!+#REF!</f>
        <v>#REF!</v>
      </c>
      <c r="M218" s="59" t="e">
        <f>#REF!+#REF!+#REF!+#REF!+#REF!+#REF!++M133+M141+M207+M173+M187+M198+M154+#REF!+#REF!</f>
        <v>#REF!</v>
      </c>
      <c r="N218" s="42">
        <f>N212+N213</f>
        <v>3829720069.8299999</v>
      </c>
      <c r="O218" s="66" t="b">
        <f>N218=J218+G218</f>
        <v>1</v>
      </c>
      <c r="P218" s="55"/>
    </row>
    <row r="219" spans="1:27" ht="46.5" thickTop="1" x14ac:dyDescent="0.2">
      <c r="A219" s="180" t="s">
        <v>449</v>
      </c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43"/>
    </row>
    <row r="220" spans="1:27" ht="45.75" x14ac:dyDescent="0.65">
      <c r="A220" s="44"/>
      <c r="B220" s="45"/>
      <c r="C220" s="45"/>
      <c r="D220" s="46"/>
      <c r="E220" s="47"/>
      <c r="F220" s="47"/>
      <c r="G220" s="46"/>
      <c r="H220" s="48"/>
      <c r="I220" s="46"/>
      <c r="J220" s="48"/>
      <c r="K220" s="48"/>
      <c r="L220" s="48"/>
      <c r="M220" s="48"/>
      <c r="N220" s="48"/>
      <c r="O220" s="43"/>
    </row>
    <row r="221" spans="1:27" ht="45.75" x14ac:dyDescent="0.65">
      <c r="A221" s="44"/>
      <c r="B221" s="45"/>
      <c r="C221" s="45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43"/>
    </row>
    <row r="222" spans="1:27" ht="45.75" x14ac:dyDescent="0.65">
      <c r="A222" s="44"/>
      <c r="B222" s="45"/>
      <c r="C222" s="45"/>
      <c r="D222" s="46" t="s">
        <v>525</v>
      </c>
      <c r="E222" s="47"/>
      <c r="F222" s="47"/>
      <c r="G222" s="46"/>
      <c r="H222" s="48"/>
      <c r="I222" s="46" t="s">
        <v>526</v>
      </c>
      <c r="J222" s="48"/>
      <c r="K222" s="48"/>
      <c r="L222" s="48"/>
      <c r="M222" s="48"/>
      <c r="N222" s="48"/>
      <c r="O222" s="43"/>
    </row>
    <row r="223" spans="1:27" ht="45.75" x14ac:dyDescent="0.65">
      <c r="A223" s="2"/>
      <c r="B223" s="2"/>
      <c r="C223" s="2"/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49"/>
    </row>
    <row r="240" spans="5:9" ht="47.25" hidden="1" thickTop="1" thickBot="1" x14ac:dyDescent="0.25">
      <c r="E240" s="69" t="b">
        <f>2665389469.48=E212-E205-E203</f>
        <v>1</v>
      </c>
      <c r="F240" s="69" t="b">
        <f>2710758397=F212-F205-F203</f>
        <v>1</v>
      </c>
      <c r="I240" s="69" t="b">
        <f>1103693801.4=I212-I205-I203</f>
        <v>1</v>
      </c>
    </row>
  </sheetData>
  <mergeCells count="114">
    <mergeCell ref="B144:B145"/>
    <mergeCell ref="C144:C145"/>
    <mergeCell ref="F144:F145"/>
    <mergeCell ref="G144:G145"/>
    <mergeCell ref="H144:H145"/>
    <mergeCell ref="I144:I145"/>
    <mergeCell ref="J144:J145"/>
    <mergeCell ref="N144:N145"/>
    <mergeCell ref="K144:K145"/>
    <mergeCell ref="O208:P208"/>
    <mergeCell ref="P205:Q205"/>
    <mergeCell ref="O216:P216"/>
    <mergeCell ref="O215:P215"/>
    <mergeCell ref="O214:P214"/>
    <mergeCell ref="O213:P213"/>
    <mergeCell ref="O192:P192"/>
    <mergeCell ref="O204:P204"/>
    <mergeCell ref="O203:P203"/>
    <mergeCell ref="B187:B188"/>
    <mergeCell ref="C187:C188"/>
    <mergeCell ref="E187:E188"/>
    <mergeCell ref="F187:F188"/>
    <mergeCell ref="G187:G188"/>
    <mergeCell ref="H187:H188"/>
    <mergeCell ref="I187:I188"/>
    <mergeCell ref="J187:J188"/>
    <mergeCell ref="K187:K188"/>
    <mergeCell ref="O191:P191"/>
    <mergeCell ref="O194:P194"/>
    <mergeCell ref="O200:P200"/>
    <mergeCell ref="D223:N223"/>
    <mergeCell ref="F13:F14"/>
    <mergeCell ref="G13:G14"/>
    <mergeCell ref="K13:K14"/>
    <mergeCell ref="L187:L188"/>
    <mergeCell ref="M187:M188"/>
    <mergeCell ref="N187:N188"/>
    <mergeCell ref="L31:L32"/>
    <mergeCell ref="M31:M32"/>
    <mergeCell ref="N31:N32"/>
    <mergeCell ref="G31:G32"/>
    <mergeCell ref="H31:H32"/>
    <mergeCell ref="I31:I32"/>
    <mergeCell ref="J31:J32"/>
    <mergeCell ref="K31:K32"/>
    <mergeCell ref="O179:P179"/>
    <mergeCell ref="I105:I107"/>
    <mergeCell ref="J105:J107"/>
    <mergeCell ref="K105:K107"/>
    <mergeCell ref="O182:P182"/>
    <mergeCell ref="O206:P206"/>
    <mergeCell ref="A31:A32"/>
    <mergeCell ref="B31:B32"/>
    <mergeCell ref="C31:C32"/>
    <mergeCell ref="E31:E32"/>
    <mergeCell ref="F31:F32"/>
    <mergeCell ref="A219:N219"/>
    <mergeCell ref="D221:N221"/>
    <mergeCell ref="M4:N4"/>
    <mergeCell ref="A6:N6"/>
    <mergeCell ref="A7:N7"/>
    <mergeCell ref="A9:B9"/>
    <mergeCell ref="B105:B107"/>
    <mergeCell ref="C105:C107"/>
    <mergeCell ref="E95:E97"/>
    <mergeCell ref="K95:K97"/>
    <mergeCell ref="F95:F97"/>
    <mergeCell ref="G95:G97"/>
    <mergeCell ref="H95:H97"/>
    <mergeCell ref="I95:I97"/>
    <mergeCell ref="J95:J97"/>
    <mergeCell ref="B95:B97"/>
    <mergeCell ref="C95:C97"/>
    <mergeCell ref="B98:B101"/>
    <mergeCell ref="C98:C101"/>
    <mergeCell ref="K2:N2"/>
    <mergeCell ref="J3:N3"/>
    <mergeCell ref="A10:B10"/>
    <mergeCell ref="A12:A14"/>
    <mergeCell ref="B12:B14"/>
    <mergeCell ref="C12:C14"/>
    <mergeCell ref="D12:D14"/>
    <mergeCell ref="M13:M14"/>
    <mergeCell ref="I12:M12"/>
    <mergeCell ref="N12:N14"/>
    <mergeCell ref="E13:E14"/>
    <mergeCell ref="H13:H14"/>
    <mergeCell ref="I13:I14"/>
    <mergeCell ref="J13:J14"/>
    <mergeCell ref="E12:H12"/>
    <mergeCell ref="B102:B104"/>
    <mergeCell ref="C102:C104"/>
    <mergeCell ref="N95:N97"/>
    <mergeCell ref="E98:E101"/>
    <mergeCell ref="E102:E104"/>
    <mergeCell ref="E105:E107"/>
    <mergeCell ref="F98:F101"/>
    <mergeCell ref="G98:G101"/>
    <mergeCell ref="H98:H101"/>
    <mergeCell ref="I98:I101"/>
    <mergeCell ref="J98:J101"/>
    <mergeCell ref="N98:N101"/>
    <mergeCell ref="F102:F104"/>
    <mergeCell ref="G102:G104"/>
    <mergeCell ref="H102:H104"/>
    <mergeCell ref="I102:I104"/>
    <mergeCell ref="J102:J104"/>
    <mergeCell ref="N102:N104"/>
    <mergeCell ref="K102:K104"/>
    <mergeCell ref="K98:K101"/>
    <mergeCell ref="N105:N107"/>
    <mergeCell ref="F105:F107"/>
    <mergeCell ref="G105:G107"/>
    <mergeCell ref="H105:H107"/>
  </mergeCells>
  <pageMargins left="0.23622047244094491" right="0.27559055118110237" top="0.27559055118110237" bottom="0.15748031496062992" header="0.23622047244094491" footer="0.27559055118110237"/>
  <pageSetup paperSize="9" scale="23" orientation="landscape" r:id="rId1"/>
  <headerFooter alignWithMargins="0">
    <oddFooter>&amp;C&amp;"Times New Roman Cyr,курсив"Сторінка &amp;P з &amp;N</oddFooter>
  </headerFooter>
  <rowBreaks count="1" manualBreakCount="1">
    <brk id="24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d2</vt:lpstr>
      <vt:lpstr>'d2'!Заголовки_для_печати</vt:lpstr>
      <vt:lpstr>'d2'!Область_печати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Ковтун Денис Леонідович</cp:lastModifiedBy>
  <cp:lastPrinted>2022-02-21T06:43:59Z</cp:lastPrinted>
  <dcterms:created xsi:type="dcterms:W3CDTF">2021-05-18T12:47:38Z</dcterms:created>
  <dcterms:modified xsi:type="dcterms:W3CDTF">2022-02-21T06:45:54Z</dcterms:modified>
</cp:coreProperties>
</file>