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BUDJET\2022\Звіт за І півріччя\"/>
    </mc:Choice>
  </mc:AlternateContent>
  <bookViews>
    <workbookView xWindow="0" yWindow="0" windowWidth="28800" windowHeight="12225"/>
  </bookViews>
  <sheets>
    <sheet name="d2" sheetId="1" r:id="rId1"/>
  </sheets>
  <definedNames>
    <definedName name="_xlnm.Print_Titles" localSheetId="0">'d2'!$10:$13</definedName>
    <definedName name="_xlnm.Print_Area" localSheetId="0">'d2'!$A$1:$N$217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1" i="1" l="1"/>
  <c r="K192" i="1"/>
  <c r="J184" i="1"/>
  <c r="J181" i="1"/>
  <c r="I181" i="1"/>
  <c r="I179" i="1"/>
  <c r="J169" i="1"/>
  <c r="J151" i="1"/>
  <c r="I151" i="1"/>
  <c r="N132" i="1"/>
  <c r="G147" i="1" l="1"/>
  <c r="F147" i="1"/>
  <c r="E147" i="1"/>
  <c r="H114" i="1"/>
  <c r="H105" i="1"/>
  <c r="F57" i="1"/>
  <c r="G57" i="1"/>
  <c r="E14" i="1" l="1"/>
  <c r="F14" i="1"/>
  <c r="G14" i="1"/>
  <c r="H15" i="1"/>
  <c r="K15" i="1"/>
  <c r="N15" i="1"/>
  <c r="H16" i="1"/>
  <c r="I16" i="1"/>
  <c r="I14" i="1" s="1"/>
  <c r="J16" i="1"/>
  <c r="N16" i="1" s="1"/>
  <c r="H17" i="1"/>
  <c r="N17" i="1"/>
  <c r="H18" i="1"/>
  <c r="N18" i="1"/>
  <c r="H20" i="1"/>
  <c r="K20" i="1"/>
  <c r="N20" i="1"/>
  <c r="E21" i="1"/>
  <c r="F21" i="1"/>
  <c r="G21" i="1"/>
  <c r="I21" i="1"/>
  <c r="J21" i="1"/>
  <c r="H22" i="1"/>
  <c r="K22" i="1"/>
  <c r="N22" i="1"/>
  <c r="H23" i="1"/>
  <c r="K23" i="1"/>
  <c r="N23" i="1"/>
  <c r="H24" i="1"/>
  <c r="N24" i="1"/>
  <c r="E25" i="1"/>
  <c r="F25" i="1"/>
  <c r="G25" i="1"/>
  <c r="N25" i="1" s="1"/>
  <c r="I25" i="1"/>
  <c r="J25" i="1"/>
  <c r="H26" i="1"/>
  <c r="N26" i="1"/>
  <c r="H27" i="1"/>
  <c r="N27" i="1"/>
  <c r="E28" i="1"/>
  <c r="F28" i="1"/>
  <c r="G28" i="1"/>
  <c r="I28" i="1"/>
  <c r="J28" i="1"/>
  <c r="N28" i="1" s="1"/>
  <c r="K30" i="1"/>
  <c r="N30" i="1"/>
  <c r="H31" i="1"/>
  <c r="K31" i="1"/>
  <c r="N31" i="1"/>
  <c r="H32" i="1"/>
  <c r="K32" i="1"/>
  <c r="N32" i="1"/>
  <c r="E33" i="1"/>
  <c r="F33" i="1"/>
  <c r="G33" i="1"/>
  <c r="H33" i="1" s="1"/>
  <c r="I33" i="1"/>
  <c r="J33" i="1"/>
  <c r="H34" i="1"/>
  <c r="K34" i="1"/>
  <c r="N34" i="1"/>
  <c r="H35" i="1"/>
  <c r="N35" i="1"/>
  <c r="E36" i="1"/>
  <c r="F36" i="1"/>
  <c r="G36" i="1"/>
  <c r="H36" i="1" s="1"/>
  <c r="I36" i="1"/>
  <c r="J36" i="1"/>
  <c r="H37" i="1"/>
  <c r="K37" i="1"/>
  <c r="N37" i="1"/>
  <c r="H38" i="1"/>
  <c r="N38" i="1"/>
  <c r="E39" i="1"/>
  <c r="F39" i="1"/>
  <c r="G39" i="1"/>
  <c r="I39" i="1"/>
  <c r="J39" i="1"/>
  <c r="H40" i="1"/>
  <c r="N40" i="1"/>
  <c r="H41" i="1"/>
  <c r="N41" i="1"/>
  <c r="H42" i="1"/>
  <c r="N42" i="1"/>
  <c r="E43" i="1"/>
  <c r="F43" i="1"/>
  <c r="G43" i="1"/>
  <c r="I43" i="1"/>
  <c r="J43" i="1"/>
  <c r="H44" i="1"/>
  <c r="K44" i="1"/>
  <c r="N44" i="1"/>
  <c r="H45" i="1"/>
  <c r="K45" i="1"/>
  <c r="N45" i="1"/>
  <c r="H46" i="1"/>
  <c r="K46" i="1"/>
  <c r="N46" i="1"/>
  <c r="H47" i="1"/>
  <c r="K47" i="1"/>
  <c r="N47" i="1"/>
  <c r="E48" i="1"/>
  <c r="F48" i="1"/>
  <c r="G48" i="1"/>
  <c r="I48" i="1"/>
  <c r="J48" i="1"/>
  <c r="K48" i="1" s="1"/>
  <c r="K49" i="1"/>
  <c r="N49" i="1"/>
  <c r="K50" i="1"/>
  <c r="N50" i="1"/>
  <c r="G51" i="1"/>
  <c r="H52" i="1"/>
  <c r="K52" i="1"/>
  <c r="N52" i="1"/>
  <c r="H53" i="1"/>
  <c r="K53" i="1"/>
  <c r="N53" i="1"/>
  <c r="H54" i="1"/>
  <c r="K54" i="1"/>
  <c r="N54" i="1"/>
  <c r="H55" i="1"/>
  <c r="N55" i="1"/>
  <c r="H56" i="1"/>
  <c r="K56" i="1"/>
  <c r="N56" i="1"/>
  <c r="E57" i="1"/>
  <c r="H57" i="1"/>
  <c r="N57" i="1"/>
  <c r="H58" i="1"/>
  <c r="N58" i="1"/>
  <c r="E59" i="1"/>
  <c r="F59" i="1"/>
  <c r="G59" i="1"/>
  <c r="H59" i="1"/>
  <c r="N59" i="1"/>
  <c r="H60" i="1"/>
  <c r="N60" i="1"/>
  <c r="E61" i="1"/>
  <c r="F61" i="1"/>
  <c r="G61" i="1"/>
  <c r="I61" i="1"/>
  <c r="I51" i="1" s="1"/>
  <c r="J61" i="1"/>
  <c r="N61" i="1" s="1"/>
  <c r="H62" i="1"/>
  <c r="N62" i="1"/>
  <c r="H63" i="1"/>
  <c r="N63" i="1"/>
  <c r="E65" i="1"/>
  <c r="F65" i="1"/>
  <c r="G65" i="1"/>
  <c r="I65" i="1"/>
  <c r="J65" i="1"/>
  <c r="H66" i="1"/>
  <c r="K66" i="1"/>
  <c r="N66" i="1"/>
  <c r="H67" i="1"/>
  <c r="N67" i="1"/>
  <c r="H68" i="1"/>
  <c r="N68" i="1"/>
  <c r="H69" i="1"/>
  <c r="N69" i="1"/>
  <c r="H70" i="1"/>
  <c r="N70" i="1"/>
  <c r="H71" i="1"/>
  <c r="N71" i="1"/>
  <c r="N72" i="1"/>
  <c r="H73" i="1"/>
  <c r="N73" i="1"/>
  <c r="E74" i="1"/>
  <c r="F74" i="1"/>
  <c r="G74" i="1"/>
  <c r="I74" i="1"/>
  <c r="J74" i="1"/>
  <c r="H75" i="1"/>
  <c r="K75" i="1"/>
  <c r="N75" i="1"/>
  <c r="H76" i="1"/>
  <c r="K76" i="1"/>
  <c r="N76" i="1"/>
  <c r="E77" i="1"/>
  <c r="F77" i="1"/>
  <c r="G77" i="1"/>
  <c r="H77" i="1" s="1"/>
  <c r="I77" i="1"/>
  <c r="J77" i="1"/>
  <c r="H78" i="1"/>
  <c r="N78" i="1"/>
  <c r="H79" i="1"/>
  <c r="K79" i="1"/>
  <c r="N79" i="1"/>
  <c r="E80" i="1"/>
  <c r="F80" i="1"/>
  <c r="G80" i="1"/>
  <c r="I80" i="1"/>
  <c r="J80" i="1"/>
  <c r="K80" i="1" s="1"/>
  <c r="H81" i="1"/>
  <c r="K81" i="1"/>
  <c r="N81" i="1"/>
  <c r="H82" i="1"/>
  <c r="K82" i="1"/>
  <c r="N82" i="1"/>
  <c r="H83" i="1"/>
  <c r="N83" i="1"/>
  <c r="E84" i="1"/>
  <c r="F84" i="1"/>
  <c r="G84" i="1"/>
  <c r="N84" i="1" s="1"/>
  <c r="H85" i="1"/>
  <c r="N85" i="1"/>
  <c r="H86" i="1"/>
  <c r="N86" i="1"/>
  <c r="E87" i="1"/>
  <c r="F87" i="1"/>
  <c r="G87" i="1"/>
  <c r="H88" i="1"/>
  <c r="N88" i="1"/>
  <c r="E89" i="1"/>
  <c r="F89" i="1"/>
  <c r="G89" i="1"/>
  <c r="I89" i="1"/>
  <c r="J89" i="1"/>
  <c r="H90" i="1"/>
  <c r="N90" i="1"/>
  <c r="E91" i="1"/>
  <c r="F91" i="1"/>
  <c r="G91" i="1"/>
  <c r="N91" i="1" s="1"/>
  <c r="I91" i="1"/>
  <c r="J91" i="1"/>
  <c r="K91" i="1" s="1"/>
  <c r="K92" i="1"/>
  <c r="N92" i="1"/>
  <c r="K95" i="1"/>
  <c r="N95" i="1"/>
  <c r="K99" i="1"/>
  <c r="N99" i="1"/>
  <c r="K102" i="1"/>
  <c r="N102" i="1"/>
  <c r="E106" i="1"/>
  <c r="F106" i="1"/>
  <c r="G106" i="1"/>
  <c r="I106" i="1"/>
  <c r="J106" i="1"/>
  <c r="N106" i="1" s="1"/>
  <c r="H107" i="1"/>
  <c r="K107" i="1"/>
  <c r="N107" i="1"/>
  <c r="H108" i="1"/>
  <c r="K108" i="1"/>
  <c r="N108" i="1"/>
  <c r="H110" i="1"/>
  <c r="N110" i="1"/>
  <c r="H111" i="1"/>
  <c r="K111" i="1"/>
  <c r="N111" i="1"/>
  <c r="H112" i="1"/>
  <c r="K112" i="1"/>
  <c r="N112" i="1"/>
  <c r="H113" i="1"/>
  <c r="K113" i="1"/>
  <c r="N113" i="1"/>
  <c r="E115" i="1"/>
  <c r="E109" i="1" s="1"/>
  <c r="F115" i="1"/>
  <c r="F109" i="1" s="1"/>
  <c r="G115" i="1"/>
  <c r="G109" i="1" s="1"/>
  <c r="H109" i="1" s="1"/>
  <c r="I115" i="1"/>
  <c r="I109" i="1" s="1"/>
  <c r="J115" i="1"/>
  <c r="H116" i="1"/>
  <c r="K116" i="1"/>
  <c r="N116" i="1"/>
  <c r="H117" i="1"/>
  <c r="N117" i="1"/>
  <c r="E119" i="1"/>
  <c r="F119" i="1"/>
  <c r="G119" i="1"/>
  <c r="N119" i="1" s="1"/>
  <c r="H120" i="1"/>
  <c r="N120" i="1"/>
  <c r="H121" i="1"/>
  <c r="N121" i="1"/>
  <c r="E122" i="1"/>
  <c r="F122" i="1"/>
  <c r="G122" i="1"/>
  <c r="H123" i="1"/>
  <c r="N123" i="1"/>
  <c r="E124" i="1"/>
  <c r="F124" i="1"/>
  <c r="G124" i="1"/>
  <c r="I124" i="1"/>
  <c r="I118" i="1" s="1"/>
  <c r="J124" i="1"/>
  <c r="H125" i="1"/>
  <c r="K125" i="1"/>
  <c r="N125" i="1"/>
  <c r="H126" i="1"/>
  <c r="N126" i="1"/>
  <c r="E127" i="1"/>
  <c r="F127" i="1"/>
  <c r="G127" i="1"/>
  <c r="I127" i="1"/>
  <c r="J127" i="1"/>
  <c r="K128" i="1"/>
  <c r="N128" i="1"/>
  <c r="E129" i="1"/>
  <c r="F129" i="1"/>
  <c r="G129" i="1"/>
  <c r="I129" i="1"/>
  <c r="J129" i="1"/>
  <c r="H130" i="1"/>
  <c r="N130" i="1"/>
  <c r="H131" i="1"/>
  <c r="N131" i="1"/>
  <c r="H132" i="1"/>
  <c r="E134" i="1"/>
  <c r="F134" i="1"/>
  <c r="G134" i="1"/>
  <c r="I134" i="1"/>
  <c r="J134" i="1"/>
  <c r="N134" i="1" s="1"/>
  <c r="H135" i="1"/>
  <c r="K135" i="1"/>
  <c r="N135" i="1"/>
  <c r="H136" i="1"/>
  <c r="N136" i="1"/>
  <c r="H137" i="1"/>
  <c r="K137" i="1"/>
  <c r="N137" i="1"/>
  <c r="K138" i="1"/>
  <c r="N138" i="1"/>
  <c r="K139" i="1"/>
  <c r="N139" i="1"/>
  <c r="H140" i="1"/>
  <c r="H141" i="1"/>
  <c r="K141" i="1"/>
  <c r="N141" i="1"/>
  <c r="E142" i="1"/>
  <c r="F142" i="1"/>
  <c r="G142" i="1"/>
  <c r="I142" i="1"/>
  <c r="J142" i="1"/>
  <c r="K143" i="1"/>
  <c r="N143" i="1"/>
  <c r="K144" i="1"/>
  <c r="N144" i="1"/>
  <c r="N145" i="1"/>
  <c r="H146" i="1"/>
  <c r="N146" i="1"/>
  <c r="I148" i="1"/>
  <c r="J148" i="1"/>
  <c r="K149" i="1"/>
  <c r="N149" i="1"/>
  <c r="K151" i="1"/>
  <c r="N151" i="1"/>
  <c r="J152" i="1"/>
  <c r="I153" i="1"/>
  <c r="I152" i="1" s="1"/>
  <c r="N153" i="1"/>
  <c r="K154" i="1"/>
  <c r="N154" i="1"/>
  <c r="K155" i="1"/>
  <c r="N155" i="1"/>
  <c r="K156" i="1"/>
  <c r="N156" i="1"/>
  <c r="K157" i="1"/>
  <c r="N157" i="1"/>
  <c r="K158" i="1"/>
  <c r="N158" i="1"/>
  <c r="K159" i="1"/>
  <c r="N159" i="1"/>
  <c r="E160" i="1"/>
  <c r="E150" i="1" s="1"/>
  <c r="F160" i="1"/>
  <c r="F150" i="1" s="1"/>
  <c r="G160" i="1"/>
  <c r="G150" i="1" s="1"/>
  <c r="I160" i="1"/>
  <c r="J160" i="1"/>
  <c r="K161" i="1"/>
  <c r="N161" i="1"/>
  <c r="N162" i="1"/>
  <c r="E164" i="1"/>
  <c r="F164" i="1"/>
  <c r="G164" i="1"/>
  <c r="I164" i="1"/>
  <c r="J164" i="1"/>
  <c r="H165" i="1"/>
  <c r="N165" i="1"/>
  <c r="E166" i="1"/>
  <c r="F166" i="1"/>
  <c r="G166" i="1"/>
  <c r="N166" i="1"/>
  <c r="H167" i="1"/>
  <c r="N167" i="1"/>
  <c r="N168" i="1"/>
  <c r="E169" i="1"/>
  <c r="F169" i="1"/>
  <c r="G169" i="1"/>
  <c r="H169" i="1" s="1"/>
  <c r="I169" i="1"/>
  <c r="N169" i="1"/>
  <c r="H170" i="1"/>
  <c r="K170" i="1"/>
  <c r="N170" i="1"/>
  <c r="E171" i="1"/>
  <c r="F171" i="1"/>
  <c r="G171" i="1"/>
  <c r="I171" i="1"/>
  <c r="J171" i="1"/>
  <c r="K171" i="1" s="1"/>
  <c r="H172" i="1"/>
  <c r="K172" i="1"/>
  <c r="N172" i="1"/>
  <c r="H173" i="1"/>
  <c r="N173" i="1"/>
  <c r="H175" i="1"/>
  <c r="N175" i="1"/>
  <c r="E176" i="1"/>
  <c r="F176" i="1"/>
  <c r="G176" i="1"/>
  <c r="H176" i="1" s="1"/>
  <c r="I176" i="1"/>
  <c r="J176" i="1"/>
  <c r="H177" i="1"/>
  <c r="N177" i="1"/>
  <c r="H178" i="1"/>
  <c r="N178" i="1"/>
  <c r="H179" i="1"/>
  <c r="K179" i="1"/>
  <c r="N179" i="1"/>
  <c r="K180" i="1"/>
  <c r="N180" i="1"/>
  <c r="N181" i="1"/>
  <c r="H182" i="1"/>
  <c r="N182" i="1"/>
  <c r="F183" i="1"/>
  <c r="I184" i="1"/>
  <c r="I183" i="1" s="1"/>
  <c r="J183" i="1"/>
  <c r="E183" i="1"/>
  <c r="H186" i="1"/>
  <c r="K186" i="1"/>
  <c r="E188" i="1"/>
  <c r="F188" i="1"/>
  <c r="G188" i="1"/>
  <c r="I188" i="1"/>
  <c r="J188" i="1"/>
  <c r="N188" i="1" s="1"/>
  <c r="H189" i="1"/>
  <c r="N189" i="1"/>
  <c r="H190" i="1"/>
  <c r="N190" i="1"/>
  <c r="E191" i="1"/>
  <c r="F191" i="1"/>
  <c r="G191" i="1"/>
  <c r="I191" i="1"/>
  <c r="J191" i="1"/>
  <c r="H192" i="1"/>
  <c r="N192" i="1"/>
  <c r="E193" i="1"/>
  <c r="F193" i="1"/>
  <c r="G193" i="1"/>
  <c r="I193" i="1"/>
  <c r="J193" i="1"/>
  <c r="K193" i="1" s="1"/>
  <c r="K194" i="1"/>
  <c r="N194" i="1"/>
  <c r="E195" i="1"/>
  <c r="F195" i="1"/>
  <c r="G195" i="1"/>
  <c r="I195" i="1"/>
  <c r="J195" i="1"/>
  <c r="H196" i="1"/>
  <c r="N196" i="1"/>
  <c r="H197" i="1"/>
  <c r="N197" i="1"/>
  <c r="E198" i="1"/>
  <c r="F198" i="1"/>
  <c r="G198" i="1"/>
  <c r="N198" i="1" s="1"/>
  <c r="I198" i="1"/>
  <c r="J198" i="1"/>
  <c r="N199" i="1"/>
  <c r="E201" i="1"/>
  <c r="F201" i="1"/>
  <c r="F200" i="1" s="1"/>
  <c r="G201" i="1"/>
  <c r="I201" i="1"/>
  <c r="J201" i="1"/>
  <c r="H202" i="1"/>
  <c r="N202" i="1"/>
  <c r="E203" i="1"/>
  <c r="F203" i="1"/>
  <c r="G203" i="1"/>
  <c r="I203" i="1"/>
  <c r="J203" i="1"/>
  <c r="H204" i="1"/>
  <c r="N204" i="1"/>
  <c r="H205" i="1"/>
  <c r="N205" i="1"/>
  <c r="H206" i="1"/>
  <c r="K206" i="1"/>
  <c r="N206" i="1"/>
  <c r="L207" i="1"/>
  <c r="M207" i="1"/>
  <c r="F209" i="1"/>
  <c r="F208" i="1" s="1"/>
  <c r="E210" i="1"/>
  <c r="E209" i="1" s="1"/>
  <c r="E208" i="1" s="1"/>
  <c r="F210" i="1"/>
  <c r="G210" i="1"/>
  <c r="I210" i="1"/>
  <c r="I209" i="1" s="1"/>
  <c r="I208" i="1" s="1"/>
  <c r="J210" i="1"/>
  <c r="J209" i="1" s="1"/>
  <c r="K211" i="1"/>
  <c r="N211" i="1"/>
  <c r="K212" i="1"/>
  <c r="N212" i="1"/>
  <c r="L213" i="1"/>
  <c r="M213" i="1"/>
  <c r="N210" i="1" l="1"/>
  <c r="J133" i="1"/>
  <c r="K133" i="1" s="1"/>
  <c r="K134" i="1"/>
  <c r="K36" i="1"/>
  <c r="K21" i="1"/>
  <c r="N191" i="1"/>
  <c r="N129" i="1"/>
  <c r="H122" i="1"/>
  <c r="H106" i="1"/>
  <c r="H80" i="1"/>
  <c r="N33" i="1"/>
  <c r="H14" i="1"/>
  <c r="K169" i="1"/>
  <c r="H166" i="1"/>
  <c r="I64" i="1"/>
  <c r="E187" i="1"/>
  <c r="G200" i="1"/>
  <c r="H200" i="1" s="1"/>
  <c r="K160" i="1"/>
  <c r="H134" i="1"/>
  <c r="K127" i="1"/>
  <c r="E118" i="1"/>
  <c r="H124" i="1"/>
  <c r="K106" i="1"/>
  <c r="H89" i="1"/>
  <c r="H84" i="1"/>
  <c r="N80" i="1"/>
  <c r="N77" i="1"/>
  <c r="H65" i="1"/>
  <c r="H39" i="1"/>
  <c r="N36" i="1"/>
  <c r="K28" i="1"/>
  <c r="J118" i="1"/>
  <c r="N89" i="1"/>
  <c r="F19" i="1"/>
  <c r="H203" i="1"/>
  <c r="N201" i="1"/>
  <c r="E200" i="1"/>
  <c r="H195" i="1"/>
  <c r="N193" i="1"/>
  <c r="H191" i="1"/>
  <c r="I187" i="1"/>
  <c r="N186" i="1"/>
  <c r="E174" i="1"/>
  <c r="F174" i="1"/>
  <c r="H171" i="1"/>
  <c r="G163" i="1"/>
  <c r="K153" i="1"/>
  <c r="K148" i="1"/>
  <c r="F133" i="1"/>
  <c r="I133" i="1"/>
  <c r="F118" i="1"/>
  <c r="H87" i="1"/>
  <c r="H74" i="1"/>
  <c r="E51" i="1"/>
  <c r="H43" i="1"/>
  <c r="H25" i="1"/>
  <c r="J19" i="1"/>
  <c r="E19" i="1"/>
  <c r="K16" i="1"/>
  <c r="N203" i="1"/>
  <c r="I200" i="1"/>
  <c r="N195" i="1"/>
  <c r="H188" i="1"/>
  <c r="N184" i="1"/>
  <c r="G183" i="1"/>
  <c r="H183" i="1" s="1"/>
  <c r="N176" i="1"/>
  <c r="F163" i="1"/>
  <c r="E133" i="1"/>
  <c r="N140" i="1"/>
  <c r="G133" i="1"/>
  <c r="H129" i="1"/>
  <c r="N127" i="1"/>
  <c r="N124" i="1"/>
  <c r="K115" i="1"/>
  <c r="K74" i="1"/>
  <c r="N48" i="1"/>
  <c r="I19" i="1"/>
  <c r="I163" i="1"/>
  <c r="G209" i="1"/>
  <c r="G208" i="1" s="1"/>
  <c r="H201" i="1"/>
  <c r="F187" i="1"/>
  <c r="I174" i="1"/>
  <c r="J163" i="1"/>
  <c r="E163" i="1"/>
  <c r="J150" i="1"/>
  <c r="N150" i="1" s="1"/>
  <c r="K124" i="1"/>
  <c r="H119" i="1"/>
  <c r="K65" i="1"/>
  <c r="E64" i="1"/>
  <c r="H61" i="1"/>
  <c r="K43" i="1"/>
  <c r="K33" i="1"/>
  <c r="H21" i="1"/>
  <c r="N183" i="1"/>
  <c r="K183" i="1"/>
  <c r="K118" i="1"/>
  <c r="J208" i="1"/>
  <c r="N160" i="1"/>
  <c r="N39" i="1"/>
  <c r="G19" i="1"/>
  <c r="J200" i="1"/>
  <c r="J187" i="1"/>
  <c r="K184" i="1"/>
  <c r="G174" i="1"/>
  <c r="N171" i="1"/>
  <c r="H164" i="1"/>
  <c r="J64" i="1"/>
  <c r="F64" i="1"/>
  <c r="J51" i="1"/>
  <c r="F51" i="1"/>
  <c r="G187" i="1"/>
  <c r="I150" i="1"/>
  <c r="G64" i="1"/>
  <c r="J174" i="1"/>
  <c r="K174" i="1" s="1"/>
  <c r="N164" i="1"/>
  <c r="N152" i="1"/>
  <c r="N148" i="1"/>
  <c r="N142" i="1"/>
  <c r="N122" i="1"/>
  <c r="G118" i="1"/>
  <c r="N115" i="1"/>
  <c r="H115" i="1"/>
  <c r="N87" i="1"/>
  <c r="N74" i="1"/>
  <c r="N65" i="1"/>
  <c r="N43" i="1"/>
  <c r="J14" i="1"/>
  <c r="J109" i="1"/>
  <c r="K181" i="1"/>
  <c r="K152" i="1"/>
  <c r="K142" i="1"/>
  <c r="N21" i="1"/>
  <c r="N208" i="1" l="1"/>
  <c r="K163" i="1"/>
  <c r="K19" i="1"/>
  <c r="H187" i="1"/>
  <c r="H133" i="1"/>
  <c r="N133" i="1"/>
  <c r="O133" i="1" s="1"/>
  <c r="E207" i="1"/>
  <c r="E213" i="1" s="1"/>
  <c r="N163" i="1"/>
  <c r="H163" i="1"/>
  <c r="F207" i="1"/>
  <c r="F213" i="1" s="1"/>
  <c r="H51" i="1"/>
  <c r="N209" i="1"/>
  <c r="H118" i="1"/>
  <c r="I147" i="1"/>
  <c r="I207" i="1" s="1"/>
  <c r="I235" i="1" s="1"/>
  <c r="K109" i="1"/>
  <c r="N109" i="1"/>
  <c r="O109" i="1" s="1"/>
  <c r="N200" i="1"/>
  <c r="O200" i="1" s="1"/>
  <c r="K200" i="1"/>
  <c r="N118" i="1"/>
  <c r="O118" i="1" s="1"/>
  <c r="N14" i="1"/>
  <c r="K14" i="1"/>
  <c r="N64" i="1"/>
  <c r="O64" i="1" s="1"/>
  <c r="K64" i="1"/>
  <c r="N174" i="1"/>
  <c r="H174" i="1"/>
  <c r="H19" i="1"/>
  <c r="N19" i="1"/>
  <c r="O19" i="1" s="1"/>
  <c r="G207" i="1"/>
  <c r="K150" i="1"/>
  <c r="J147" i="1"/>
  <c r="J207" i="1" s="1"/>
  <c r="H64" i="1"/>
  <c r="N51" i="1"/>
  <c r="O51" i="1" s="1"/>
  <c r="K51" i="1"/>
  <c r="N187" i="1"/>
  <c r="O187" i="1" s="1"/>
  <c r="K187" i="1"/>
  <c r="H147" i="1"/>
  <c r="I213" i="1" l="1"/>
  <c r="E235" i="1"/>
  <c r="N147" i="1"/>
  <c r="O147" i="1" s="1"/>
  <c r="K147" i="1"/>
  <c r="H207" i="1"/>
  <c r="G213" i="1"/>
  <c r="H213" i="1" s="1"/>
  <c r="O14" i="1"/>
  <c r="K207" i="1"/>
  <c r="J213" i="1"/>
  <c r="K213" i="1" s="1"/>
  <c r="N207" i="1" l="1"/>
  <c r="N213" i="1" s="1"/>
  <c r="O213" i="1" s="1"/>
  <c r="O207" i="1" l="1"/>
</calcChain>
</file>

<file path=xl/sharedStrings.xml><?xml version="1.0" encoding="utf-8"?>
<sst xmlns="http://schemas.openxmlformats.org/spreadsheetml/2006/main" count="674" uniqueCount="548">
  <si>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</si>
  <si>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</si>
  <si>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</si>
  <si>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</si>
  <si>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</si>
  <si>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</si>
  <si>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</si>
  <si>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</si>
  <si>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</si>
  <si>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</si>
  <si>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</si>
  <si>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</si>
  <si>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</si>
  <si>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11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</si>
  <si>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</si>
  <si>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</si>
  <si>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</si>
  <si>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</si>
  <si>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</si>
  <si>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</si>
  <si>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</si>
  <si>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</si>
  <si>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</si>
  <si>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</si>
  <si>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</si>
  <si>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</si>
  <si>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</si>
  <si>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</si>
  <si>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</si>
  <si>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</si>
  <si>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</si>
  <si>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</si>
  <si>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</si>
  <si>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</si>
  <si>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</si>
  <si>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</si>
  <si>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</si>
  <si>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</si>
  <si>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</si>
  <si>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</si>
  <si>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</si>
  <si>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</si>
  <si>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</si>
  <si>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</si>
  <si>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</si>
  <si>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</si>
  <si>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</si>
  <si>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</si>
  <si>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</si>
  <si>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</si>
  <si>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</si>
  <si>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</si>
  <si>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</si>
  <si>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</si>
  <si>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</si>
  <si>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</si>
  <si>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</si>
  <si>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</si>
  <si>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</si>
  <si>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</si>
  <si>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</si>
  <si>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</si>
  <si>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</si>
  <si>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</si>
  <si>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</si>
  <si>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</si>
  <si>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</si>
  <si>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</si>
  <si>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</si>
  <si>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</si>
  <si>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</si>
  <si>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</si>
  <si>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</si>
  <si>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</si>
  <si>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</si>
  <si>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</si>
  <si>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</si>
  <si>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</si>
  <si>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</si>
  <si>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</si>
  <si>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</si>
  <si>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</si>
  <si>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</si>
  <si>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</si>
  <si>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</si>
  <si>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</si>
  <si>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</si>
  <si>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</si>
  <si>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</si>
  <si>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</si>
  <si>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</si>
  <si>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</si>
  <si>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</si>
  <si>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</si>
  <si>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</si>
  <si>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</si>
  <si>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</si>
  <si>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</si>
  <si>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</si>
  <si>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</si>
  <si>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</si>
  <si>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</si>
  <si>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</si>
  <si>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</si>
  <si>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</si>
  <si>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</si>
  <si>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</si>
  <si>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</si>
  <si>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</si>
  <si>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</si>
  <si>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</si>
  <si>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</si>
  <si>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</si>
  <si>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</si>
  <si>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</si>
  <si>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</si>
  <si>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</si>
  <si>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</si>
  <si>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</si>
  <si>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</si>
  <si>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</si>
  <si>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</si>
  <si>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</si>
  <si>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</si>
  <si>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</si>
  <si>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</si>
  <si>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</si>
  <si>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</si>
  <si>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</si>
  <si>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</si>
  <si>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</si>
  <si>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</si>
  <si>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</si>
  <si>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</si>
  <si>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</si>
  <si>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</si>
  <si>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</si>
  <si>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</si>
  <si>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</si>
  <si>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</si>
  <si>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</si>
  <si>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</si>
  <si>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</si>
  <si>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</si>
  <si>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</si>
  <si>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</si>
  <si>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</si>
  <si>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</si>
  <si>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</si>
  <si>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</si>
  <si>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</si>
  <si>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</si>
  <si>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</si>
  <si>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</si>
  <si>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</si>
  <si>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</si>
  <si>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</si>
  <si>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</si>
  <si>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</si>
  <si>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</si>
  <si>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</si>
  <si>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</si>
  <si>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</si>
  <si>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</si>
  <si>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</si>
  <si>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</si>
  <si>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</si>
  <si>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</si>
  <si>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</si>
  <si>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</si>
  <si>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</si>
  <si>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</si>
  <si>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</si>
  <si>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</si>
  <si>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</si>
  <si>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</si>
  <si>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</si>
  <si>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</si>
  <si>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</si>
  <si>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</si>
  <si>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</si>
  <si>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</si>
  <si>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</si>
  <si>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</si>
  <si>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</si>
  <si>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</si>
  <si>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</si>
  <si>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</si>
  <si>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</si>
  <si>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</si>
  <si>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</si>
  <si>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</si>
  <si>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</si>
  <si>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</si>
  <si>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</si>
  <si>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</si>
  <si>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</si>
  <si>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</si>
  <si>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</si>
  <si>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</si>
  <si>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</si>
  <si>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</si>
  <si>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</si>
  <si>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</si>
  <si>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</si>
  <si>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</si>
  <si>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</si>
  <si>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</si>
  <si>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</si>
  <si>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</si>
  <si>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</si>
  <si>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</si>
  <si>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</si>
  <si>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</si>
  <si>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</si>
  <si>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</si>
  <si>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</si>
  <si>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</si>
  <si>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</si>
  <si>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</si>
  <si>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</si>
  <si>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</si>
  <si>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</si>
  <si>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</si>
  <si>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</si>
  <si>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</si>
  <si>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</si>
  <si>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</si>
  <si>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</si>
  <si>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</si>
  <si>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</si>
  <si>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</si>
  <si>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</si>
  <si>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</si>
  <si>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</si>
  <si>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</si>
  <si>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</si>
  <si>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</si>
  <si>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</si>
  <si>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</si>
  <si>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</si>
  <si>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</si>
  <si>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</si>
  <si>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</si>
  <si>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</si>
  <si>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</si>
  <si>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</si>
  <si>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</si>
  <si>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</si>
  <si>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</si>
  <si>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</si>
  <si>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</si>
  <si>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</si>
  <si>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</si>
  <si>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</si>
  <si>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</si>
  <si>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</si>
  <si>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</si>
  <si>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</si>
  <si>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</si>
  <si>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</si>
  <si>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</si>
  <si>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</si>
  <si>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</si>
  <si>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</si>
  <si>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</si>
  <si>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</si>
  <si>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</si>
  <si>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</si>
  <si>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</si>
  <si>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</si>
  <si>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</si>
  <si>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</si>
  <si>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</si>
  <si>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</si>
  <si>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</si>
  <si>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</si>
  <si>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</si>
  <si>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</si>
  <si>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</si>
  <si>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</si>
  <si>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</si>
  <si>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</si>
  <si>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</si>
  <si>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</si>
  <si>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</si>
  <si>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</si>
  <si>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</si>
  <si>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</si>
  <si>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</si>
  <si>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</si>
  <si>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</si>
  <si>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</si>
  <si>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</si>
  <si>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</si>
  <si>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</si>
  <si>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</si>
  <si>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</si>
  <si>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</si>
  <si>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</si>
  <si>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</si>
  <si>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</si>
  <si>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</si>
  <si>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</si>
  <si>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</si>
  <si>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</si>
  <si>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</si>
  <si>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</si>
  <si>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</si>
  <si>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</si>
  <si>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</si>
  <si>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</si>
  <si>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</si>
  <si>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</si>
  <si>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</si>
  <si>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</si>
  <si>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</si>
  <si>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</si>
  <si>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</si>
  <si>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</si>
  <si>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</si>
  <si>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</si>
  <si>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</si>
  <si>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</si>
  <si>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</si>
  <si>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</si>
  <si>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</si>
  <si>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</si>
  <si>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</si>
  <si>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</si>
  <si>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</si>
  <si>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</si>
  <si>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</si>
  <si>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</si>
  <si>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</si>
  <si>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</si>
  <si>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</si>
  <si>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</si>
  <si>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</si>
  <si>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</si>
  <si>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</si>
  <si>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</si>
  <si>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</si>
  <si>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</si>
  <si>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</si>
  <si>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</si>
  <si>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</si>
  <si>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</si>
  <si>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</si>
  <si>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</si>
  <si>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</si>
  <si>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</si>
  <si>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</si>
  <si>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</si>
  <si>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</si>
  <si>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</si>
  <si>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</si>
  <si>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</si>
  <si>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</si>
  <si>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</si>
  <si>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</si>
  <si>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</si>
  <si>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</si>
  <si>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</si>
  <si>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</si>
  <si>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</si>
  <si>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</si>
  <si>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</si>
  <si>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</si>
  <si>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</si>
  <si>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</si>
  <si>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</si>
  <si>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</si>
  <si>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</si>
  <si>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</si>
  <si>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</si>
  <si>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</si>
  <si>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</si>
  <si>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</si>
  <si>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</si>
  <si>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</si>
  <si>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</si>
  <si>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</si>
  <si>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</si>
  <si>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</si>
  <si>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</si>
  <si>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</si>
  <si>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</si>
  <si>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</si>
  <si>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</si>
  <si>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</si>
  <si>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</si>
  <si>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</si>
  <si>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</si>
  <si>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</si>
  <si>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</si>
  <si>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</si>
  <si>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</si>
  <si>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</si>
  <si>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</si>
  <si>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</si>
  <si>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</si>
  <si>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</si>
  <si>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</si>
  <si>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</si>
  <si>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</si>
  <si>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</si>
  <si>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</si>
  <si>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</si>
  <si>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</si>
  <si>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</si>
  <si>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</si>
  <si>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</si>
  <si>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</si>
  <si>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</si>
  <si>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</si>
  <si>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</si>
  <si>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</si>
  <si>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</si>
  <si>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</si>
  <si>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</si>
  <si>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</si>
  <si>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</si>
  <si>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</si>
  <si>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</si>
  <si>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</si>
  <si>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</si>
  <si>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</si>
  <si>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</si>
  <si>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</si>
  <si>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</si>
  <si>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</si>
  <si>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</si>
  <si>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</si>
  <si>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</si>
  <si>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</si>
  <si>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</si>
  <si>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</si>
  <si>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</si>
  <si>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</si>
  <si>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</si>
  <si>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</si>
  <si>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</si>
  <si>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</si>
  <si>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</si>
  <si>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</si>
  <si>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</si>
  <si>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</si>
  <si>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</si>
  <si>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</si>
  <si>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</si>
  <si>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</si>
  <si>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</si>
  <si>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</si>
  <si>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</si>
  <si>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</si>
  <si>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</si>
  <si>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</si>
  <si>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</si>
  <si>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</si>
  <si>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</si>
  <si>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</si>
  <si>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</si>
  <si>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</si>
  <si>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</si>
  <si>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</si>
  <si>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</si>
  <si>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</si>
  <si>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</si>
  <si>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</si>
  <si>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</si>
  <si>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</si>
  <si>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</si>
  <si>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</si>
  <si>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</si>
  <si>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</si>
  <si>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</si>
  <si>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</si>
  <si>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</si>
  <si>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</si>
  <si>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</si>
  <si>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</si>
  <si>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</si>
  <si>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</si>
  <si>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</si>
  <si>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</si>
  <si>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</si>
  <si>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</si>
  <si>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</si>
  <si>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</si>
  <si>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</si>
  <si>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</si>
  <si>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</si>
  <si>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</si>
  <si>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</si>
  <si>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</si>
  <si>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</si>
  <si>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</si>
  <si>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</si>
  <si>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</si>
  <si>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</si>
  <si>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</si>
  <si>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</si>
  <si>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 xml:space="preserve">Керуючий справами виконавчого комітету </t>
  </si>
  <si>
    <t>Ю. САБІЙ</t>
  </si>
  <si>
    <t>Затверджено на 2022 рік з урахуванням змін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</si>
  <si>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</si>
  <si>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</si>
  <si>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</si>
  <si>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</si>
  <si>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</si>
  <si>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</si>
  <si>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</si>
  <si>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</si>
  <si>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</si>
  <si>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</si>
  <si>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</si>
  <si>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</si>
  <si>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</si>
  <si>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</si>
  <si>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</si>
  <si>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</si>
  <si>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</si>
  <si>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</si>
  <si>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</si>
  <si>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</si>
  <si>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</si>
  <si>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 xml:space="preserve">до рішення  №    від        .2022 року 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</si>
  <si>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</si>
  <si>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</si>
  <si>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</si>
  <si>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</si>
  <si>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</si>
  <si>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</si>
  <si>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</si>
  <si>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</si>
  <si>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Начальник фінансового управління</t>
  </si>
  <si>
    <t>С. ЯМЧУК</t>
  </si>
  <si>
    <t>за І півріччя 2022 року</t>
  </si>
  <si>
    <t>Затверджено на І півріччя 2022 року з урахуванням змін</t>
  </si>
  <si>
    <t>Виконано за І півріччя 2022 року</t>
  </si>
  <si>
    <t>Виконано за І півріччя 2022 року разом по загальному та спеціальному фондах</t>
  </si>
  <si>
    <t>3230</t>
  </si>
  <si>
    <t>Видатки повязані з наданням підтримки внутрішньо переміщених та/або евакуйованих особам у звязку із введенням воєнного стану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</si>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</sst>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b/>
      <i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i/>
      <sz val="36"/>
      <name val="Times New Roman"/>
      <family val="1"/>
      <charset val="204"/>
    </font>
    <font>
      <sz val="2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rgb="FF99FF99"/>
        </stop>
      </gradient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1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0" borderId="0" xfId="0" applyNumberFormat="1" applyFont="1" applyAlignment="1">
      <alignment horizontal="left" vertical="center"/>
    </xf>
    <xf numFmtId="4" fontId="37" fillId="3" borderId="0" xfId="0" applyNumberFormat="1" applyFont="1" applyFill="1"/>
    <xf numFmtId="4" fontId="38" fillId="4" borderId="1" xfId="0" applyNumberFormat="1" applyFont="1" applyFill="1" applyBorder="1" applyAlignment="1">
      <alignment horizontal="center" vertical="center"/>
    </xf>
    <xf numFmtId="0" fontId="39" fillId="3" borderId="0" xfId="0" applyFont="1" applyFill="1"/>
    <xf numFmtId="4" fontId="27" fillId="6" borderId="1" xfId="0" applyNumberFormat="1" applyFont="1" applyFill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28" fillId="6" borderId="1" xfId="0" applyNumberFormat="1" applyFont="1" applyFill="1" applyBorder="1" applyAlignment="1">
      <alignment horizontal="center" vertical="center" wrapText="1"/>
    </xf>
    <xf numFmtId="4" fontId="34" fillId="6" borderId="1" xfId="0" applyNumberFormat="1" applyFont="1" applyFill="1" applyBorder="1" applyAlignment="1">
      <alignment horizontal="center" vertical="center" wrapText="1"/>
    </xf>
    <xf numFmtId="164" fontId="27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40" fillId="6" borderId="1" xfId="0" applyNumberFormat="1" applyFont="1" applyFill="1" applyBorder="1" applyAlignment="1">
      <alignment horizontal="center" vertical="center" wrapText="1"/>
    </xf>
    <xf numFmtId="164" fontId="3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4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9" fontId="43" fillId="6" borderId="0" xfId="0" applyNumberFormat="1" applyFont="1" applyFill="1" applyAlignment="1">
      <alignment horizontal="center" wrapText="1"/>
    </xf>
    <xf numFmtId="49" fontId="43" fillId="6" borderId="3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9" fontId="43" fillId="6" borderId="1" xfId="0" applyNumberFormat="1" applyFont="1" applyFill="1" applyBorder="1" applyAlignment="1">
      <alignment horizontal="center" vertical="center" wrapText="1"/>
    </xf>
    <xf numFmtId="4" fontId="21" fillId="6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>
      <alignment horizontal="center" wrapText="1"/>
    </xf>
    <xf numFmtId="49" fontId="3" fillId="6" borderId="0" xfId="0" applyNumberFormat="1" applyFont="1" applyFill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14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1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43" fillId="0" borderId="1" xfId="1" applyFont="1" applyFill="1" applyBorder="1" applyAlignment="1" applyProtection="1">
      <alignment horizontal="center" vertical="center" wrapText="1"/>
      <protection locked="0"/>
    </xf>
    <xf numFmtId="4" fontId="21" fillId="0" borderId="1" xfId="0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4" fontId="4" fillId="5" borderId="1" xfId="0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" fontId="14" fillId="6" borderId="2" xfId="0" applyNumberFormat="1" applyFont="1" applyFill="1" applyBorder="1" applyAlignment="1">
      <alignment horizontal="center" vertical="center" wrapText="1"/>
    </xf>
    <xf numFmtId="4" fontId="14" fillId="6" borderId="5" xfId="0" applyNumberFormat="1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49" fontId="40" fillId="0" borderId="3" xfId="0" applyNumberFormat="1" applyFont="1" applyBorder="1" applyAlignment="1">
      <alignment horizontal="center" vertical="center" wrapText="1"/>
    </xf>
    <xf numFmtId="49" fontId="43" fillId="6" borderId="2" xfId="0" applyNumberFormat="1" applyFont="1" applyFill="1" applyBorder="1" applyAlignment="1">
      <alignment horizontal="center" vertical="center" wrapText="1"/>
    </xf>
    <xf numFmtId="49" fontId="43" fillId="6" borderId="3" xfId="0" applyNumberFormat="1" applyFont="1" applyFill="1" applyBorder="1" applyAlignment="1">
      <alignment horizontal="center" vertical="center" wrapText="1"/>
    </xf>
    <xf numFmtId="4" fontId="21" fillId="6" borderId="2" xfId="0" applyNumberFormat="1" applyFont="1" applyFill="1" applyBorder="1" applyAlignment="1">
      <alignment horizontal="center" vertical="center" wrapText="1"/>
    </xf>
    <xf numFmtId="4" fontId="21" fillId="6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21" fillId="0" borderId="2" xfId="0" applyNumberFormat="1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164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14" fillId="6" borderId="1" xfId="1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164" fontId="14" fillId="6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</cellXfs>
  <cellStyles count="4">
    <cellStyle name="Звичайний" xfId="0" builtinId="0"/>
    <cellStyle name="Обычный 3" xfId="3"/>
    <cellStyle name="Обычный_Додаток 2 до бюджету 2000 року" xfId="1"/>
    <cellStyle name="Обычный_Додаток №1" xfId="2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0"/>
  <sheetViews>
    <sheetView tabSelected="1" view="pageBreakPreview" topLeftCell="B1" zoomScale="27" zoomScaleNormal="25" zoomScaleSheetLayoutView="27" zoomScalePageLayoutView="10" workbookViewId="0">
      <pane ySplit="13" topLeftCell="A207" activePane="bottomLeft" state="frozen"/>
      <selection activeCell="B1" sqref="B1"/>
      <selection pane="bottomLeft" activeCell="I210" sqref="I210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06.28515625" style="1" customWidth="1"/>
    <col min="5" max="5" width="62.5703125" style="1" customWidth="1"/>
    <col min="6" max="6" width="59.71093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107.42578125" style="5" hidden="1" customWidth="1"/>
    <col min="16" max="16" width="114.85546875" style="5" hidden="1" customWidth="1"/>
    <col min="17" max="17" width="104.5703125" customWidth="1"/>
    <col min="18" max="18" width="72.5703125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44" t="s">
        <v>430</v>
      </c>
      <c r="L2" s="144"/>
      <c r="M2" s="144"/>
      <c r="N2" s="144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45" t="s">
        <v>527</v>
      </c>
      <c r="K3" s="145"/>
      <c r="L3" s="145"/>
      <c r="M3" s="145"/>
      <c r="N3" s="145"/>
      <c r="O3" s="49"/>
    </row>
    <row r="4" spans="1:16" ht="45" x14ac:dyDescent="0.2">
      <c r="A4" s="153" t="s">
        <v>431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6" ht="45" x14ac:dyDescent="0.2">
      <c r="A5" s="153" t="s">
        <v>538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33.75" customHeight="1" x14ac:dyDescent="0.65">
      <c r="A7" s="154">
        <v>22564000000</v>
      </c>
      <c r="B7" s="15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46" t="s">
        <v>0</v>
      </c>
      <c r="B8" s="14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47" t="s">
        <v>2</v>
      </c>
      <c r="B10" s="147" t="s">
        <v>3</v>
      </c>
      <c r="C10" s="147" t="s">
        <v>4</v>
      </c>
      <c r="D10" s="147" t="s">
        <v>432</v>
      </c>
      <c r="E10" s="150" t="s">
        <v>5</v>
      </c>
      <c r="F10" s="151"/>
      <c r="G10" s="151"/>
      <c r="H10" s="152"/>
      <c r="I10" s="150" t="s">
        <v>6</v>
      </c>
      <c r="J10" s="151"/>
      <c r="K10" s="151"/>
      <c r="L10" s="151"/>
      <c r="M10" s="152"/>
      <c r="N10" s="147" t="s">
        <v>541</v>
      </c>
    </row>
    <row r="11" spans="1:16" ht="96" customHeight="1" thickTop="1" thickBot="1" x14ac:dyDescent="0.25">
      <c r="A11" s="148"/>
      <c r="B11" s="148"/>
      <c r="C11" s="148"/>
      <c r="D11" s="148"/>
      <c r="E11" s="147" t="s">
        <v>505</v>
      </c>
      <c r="F11" s="147" t="s">
        <v>539</v>
      </c>
      <c r="G11" s="147" t="s">
        <v>540</v>
      </c>
      <c r="H11" s="147" t="s">
        <v>433</v>
      </c>
      <c r="I11" s="147" t="s">
        <v>505</v>
      </c>
      <c r="J11" s="147" t="s">
        <v>540</v>
      </c>
      <c r="K11" s="147" t="s">
        <v>433</v>
      </c>
      <c r="L11" s="7"/>
      <c r="M11" s="147"/>
      <c r="N11" s="148"/>
    </row>
    <row r="12" spans="1:16" ht="208.5" customHeight="1" thickTop="1" thickBot="1" x14ac:dyDescent="0.25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7"/>
      <c r="M12" s="149"/>
      <c r="N12" s="149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8" t="s">
        <v>507</v>
      </c>
      <c r="I13" s="8" t="s">
        <v>508</v>
      </c>
      <c r="J13" s="8" t="s">
        <v>509</v>
      </c>
      <c r="K13" s="8" t="s">
        <v>510</v>
      </c>
      <c r="L13" s="8"/>
      <c r="M13" s="8"/>
      <c r="N13" s="8" t="s">
        <v>13</v>
      </c>
      <c r="O13" s="9"/>
      <c r="P13" s="10"/>
    </row>
    <row r="14" spans="1:16" s="14" customFormat="1" ht="88.5" customHeight="1" thickTop="1" thickBot="1" x14ac:dyDescent="0.25">
      <c r="A14" s="66" t="s">
        <v>14</v>
      </c>
      <c r="B14" s="82" t="s">
        <v>15</v>
      </c>
      <c r="C14" s="82"/>
      <c r="D14" s="83" t="s">
        <v>16</v>
      </c>
      <c r="E14" s="81">
        <f>SUM(E15:E18)</f>
        <v>259921586</v>
      </c>
      <c r="F14" s="81">
        <f t="shared" ref="F14:J14" si="0">SUM(F15:F18)</f>
        <v>104093597</v>
      </c>
      <c r="G14" s="81">
        <f t="shared" si="0"/>
        <v>95052535.13000001</v>
      </c>
      <c r="H14" s="85">
        <f t="shared" ref="H14:H27" si="1">G14/F14</f>
        <v>0.91314487989112347</v>
      </c>
      <c r="I14" s="81">
        <f t="shared" si="0"/>
        <v>1085300</v>
      </c>
      <c r="J14" s="81">
        <f t="shared" si="0"/>
        <v>61140</v>
      </c>
      <c r="K14" s="85">
        <f>J14/I14</f>
        <v>5.6334654012715375E-2</v>
      </c>
      <c r="L14" s="81"/>
      <c r="M14" s="81"/>
      <c r="N14" s="141">
        <f t="shared" ref="N14:N27" si="2">G14+J14</f>
        <v>95113675.13000001</v>
      </c>
      <c r="O14" s="54" t="b">
        <f>N14=N15+N16+N17+N18</f>
        <v>1</v>
      </c>
      <c r="P14" s="13"/>
    </row>
    <row r="15" spans="1:16" ht="321.75" thickTop="1" thickBot="1" x14ac:dyDescent="0.25">
      <c r="A15" s="67" t="s">
        <v>17</v>
      </c>
      <c r="B15" s="84" t="s">
        <v>18</v>
      </c>
      <c r="C15" s="84" t="s">
        <v>19</v>
      </c>
      <c r="D15" s="84" t="s">
        <v>20</v>
      </c>
      <c r="E15" s="78">
        <v>131090735</v>
      </c>
      <c r="F15" s="78">
        <v>48764505</v>
      </c>
      <c r="G15" s="78">
        <v>47901357.950000003</v>
      </c>
      <c r="H15" s="80">
        <f t="shared" si="1"/>
        <v>0.98229968601137252</v>
      </c>
      <c r="I15" s="78">
        <v>500000</v>
      </c>
      <c r="J15" s="142">
        <v>0</v>
      </c>
      <c r="K15" s="80">
        <f t="shared" ref="K15:K16" si="3">J15/I15</f>
        <v>0</v>
      </c>
      <c r="L15" s="143"/>
      <c r="M15" s="139"/>
      <c r="N15" s="79">
        <f t="shared" si="2"/>
        <v>47901357.950000003</v>
      </c>
      <c r="O15" s="15"/>
      <c r="P15" s="16"/>
    </row>
    <row r="16" spans="1:16" ht="230.25" thickTop="1" thickBot="1" x14ac:dyDescent="0.25">
      <c r="A16" s="67" t="s">
        <v>21</v>
      </c>
      <c r="B16" s="84" t="s">
        <v>22</v>
      </c>
      <c r="C16" s="84" t="s">
        <v>19</v>
      </c>
      <c r="D16" s="84" t="s">
        <v>23</v>
      </c>
      <c r="E16" s="78">
        <v>125275542</v>
      </c>
      <c r="F16" s="78">
        <v>53883449</v>
      </c>
      <c r="G16" s="78">
        <v>46065496.640000001</v>
      </c>
      <c r="H16" s="80">
        <f t="shared" si="1"/>
        <v>0.85490994906432216</v>
      </c>
      <c r="I16" s="78">
        <f>299300+88000+22000+90000+46000+40000</f>
        <v>585300</v>
      </c>
      <c r="J16" s="142">
        <f>61140</f>
        <v>61140</v>
      </c>
      <c r="K16" s="80">
        <f t="shared" si="3"/>
        <v>0.10445925166581241</v>
      </c>
      <c r="L16" s="143"/>
      <c r="M16" s="139"/>
      <c r="N16" s="79">
        <f t="shared" si="2"/>
        <v>46126636.640000001</v>
      </c>
      <c r="O16" s="15"/>
      <c r="P16" s="16"/>
    </row>
    <row r="17" spans="1:18" ht="184.5" thickTop="1" thickBot="1" x14ac:dyDescent="0.25">
      <c r="A17" s="67" t="s">
        <v>24</v>
      </c>
      <c r="B17" s="84" t="s">
        <v>25</v>
      </c>
      <c r="C17" s="84" t="s">
        <v>26</v>
      </c>
      <c r="D17" s="84" t="s">
        <v>27</v>
      </c>
      <c r="E17" s="78">
        <v>145588</v>
      </c>
      <c r="F17" s="78">
        <v>103688</v>
      </c>
      <c r="G17" s="78">
        <v>10000</v>
      </c>
      <c r="H17" s="80">
        <f t="shared" si="1"/>
        <v>9.6443175680888824E-2</v>
      </c>
      <c r="I17" s="78"/>
      <c r="J17" s="142"/>
      <c r="K17" s="143"/>
      <c r="L17" s="143"/>
      <c r="M17" s="139"/>
      <c r="N17" s="79">
        <f t="shared" si="2"/>
        <v>10000</v>
      </c>
      <c r="O17" s="15"/>
      <c r="P17" s="17"/>
    </row>
    <row r="18" spans="1:18" ht="111" customHeight="1" thickTop="1" thickBot="1" x14ac:dyDescent="0.25">
      <c r="A18" s="67" t="s">
        <v>28</v>
      </c>
      <c r="B18" s="84" t="s">
        <v>29</v>
      </c>
      <c r="C18" s="84" t="s">
        <v>30</v>
      </c>
      <c r="D18" s="84" t="s">
        <v>31</v>
      </c>
      <c r="E18" s="79">
        <v>3409721</v>
      </c>
      <c r="F18" s="79">
        <v>1341955</v>
      </c>
      <c r="G18" s="79">
        <v>1075680.54</v>
      </c>
      <c r="H18" s="80">
        <f t="shared" si="1"/>
        <v>0.80157720638918595</v>
      </c>
      <c r="I18" s="64"/>
      <c r="J18" s="64"/>
      <c r="K18" s="65"/>
      <c r="L18" s="64"/>
      <c r="M18" s="63"/>
      <c r="N18" s="79">
        <f t="shared" si="2"/>
        <v>1075680.54</v>
      </c>
      <c r="O18" s="15"/>
      <c r="P18" s="17"/>
    </row>
    <row r="19" spans="1:18" ht="83.25" customHeight="1" thickTop="1" thickBot="1" x14ac:dyDescent="0.25">
      <c r="A19" s="66" t="s">
        <v>65</v>
      </c>
      <c r="B19" s="82" t="s">
        <v>66</v>
      </c>
      <c r="C19" s="82"/>
      <c r="D19" s="83" t="s">
        <v>67</v>
      </c>
      <c r="E19" s="81">
        <f>SUM(E20:E50)-E21-E25-E33-E36-E39-E43-E48-E28</f>
        <v>1880073011.2999997</v>
      </c>
      <c r="F19" s="81">
        <f>SUM(F20:F50)-F21-F25-F33-F36-F39-F43-F48-F28</f>
        <v>919131244.29999995</v>
      </c>
      <c r="G19" s="81">
        <f>SUM(G20:G50)-G21-G25-G33-G36-G39-G43-G48-G28</f>
        <v>859288607.60999954</v>
      </c>
      <c r="H19" s="85">
        <f t="shared" si="1"/>
        <v>0.93489217447332462</v>
      </c>
      <c r="I19" s="81">
        <f>SUM(I20:I50)-I21-I25-I33-I36-I39-I43-I48-I28</f>
        <v>192760847.11000001</v>
      </c>
      <c r="J19" s="81">
        <f>SUM(J20:J50)-J21-J25-J33-J36-J39-J43-J48-J28</f>
        <v>35645796.420000002</v>
      </c>
      <c r="K19" s="85">
        <f>J19/I19</f>
        <v>0.18492238934631022</v>
      </c>
      <c r="L19" s="81"/>
      <c r="M19" s="81"/>
      <c r="N19" s="141">
        <f>G19+J19</f>
        <v>894934404.02999949</v>
      </c>
      <c r="O19" s="53" t="b">
        <f>N19=N20+N22+N23+N24+N26+N31+N32+N34+N35+N37+N38+N40+N41+N42+N44+N45+N46+N47+N50+N30+N49+N27</f>
        <v>0</v>
      </c>
      <c r="P19" s="12"/>
    </row>
    <row r="20" spans="1:18" ht="99" customHeight="1" thickTop="1" thickBot="1" x14ac:dyDescent="0.6">
      <c r="A20" s="67" t="s">
        <v>68</v>
      </c>
      <c r="B20" s="84" t="s">
        <v>69</v>
      </c>
      <c r="C20" s="84" t="s">
        <v>70</v>
      </c>
      <c r="D20" s="84" t="s">
        <v>71</v>
      </c>
      <c r="E20" s="79">
        <v>535792955</v>
      </c>
      <c r="F20" s="79">
        <v>219979730</v>
      </c>
      <c r="G20" s="79">
        <v>217744530.71000001</v>
      </c>
      <c r="H20" s="80">
        <f t="shared" si="1"/>
        <v>0.98983906703585833</v>
      </c>
      <c r="I20" s="79">
        <v>72442800.599999994</v>
      </c>
      <c r="J20" s="79">
        <v>9917741.3900000006</v>
      </c>
      <c r="K20" s="80">
        <f t="shared" ref="K20:K23" si="4">J20/I20</f>
        <v>0.13690444471855498</v>
      </c>
      <c r="L20" s="79"/>
      <c r="M20" s="139"/>
      <c r="N20" s="79">
        <f t="shared" si="2"/>
        <v>227662272.10000002</v>
      </c>
      <c r="O20" s="21"/>
      <c r="P20" s="12"/>
    </row>
    <row r="21" spans="1:18" ht="138.75" thickTop="1" thickBot="1" x14ac:dyDescent="0.6">
      <c r="A21" s="68" t="s">
        <v>72</v>
      </c>
      <c r="B21" s="86" t="s">
        <v>73</v>
      </c>
      <c r="C21" s="86"/>
      <c r="D21" s="86" t="s">
        <v>74</v>
      </c>
      <c r="E21" s="87">
        <f>E22+E23+E24</f>
        <v>401459501.30000001</v>
      </c>
      <c r="F21" s="87">
        <f>F22+F23+F24</f>
        <v>149974042.30000001</v>
      </c>
      <c r="G21" s="87">
        <f>G22+G23+G24</f>
        <v>144510962.09</v>
      </c>
      <c r="H21" s="88">
        <f t="shared" si="1"/>
        <v>0.96357316155370432</v>
      </c>
      <c r="I21" s="87">
        <f>I22+I23+I24</f>
        <v>75021873</v>
      </c>
      <c r="J21" s="87">
        <f>J22+J23+J24</f>
        <v>9331081.2699999996</v>
      </c>
      <c r="K21" s="88">
        <f t="shared" si="4"/>
        <v>0.12437814329162376</v>
      </c>
      <c r="L21" s="87"/>
      <c r="M21" s="136"/>
      <c r="N21" s="87">
        <f>G21+J21</f>
        <v>153842043.36000001</v>
      </c>
      <c r="O21" s="21"/>
      <c r="P21" s="22"/>
    </row>
    <row r="22" spans="1:18" ht="138.75" thickTop="1" thickBot="1" x14ac:dyDescent="0.6">
      <c r="A22" s="67" t="s">
        <v>75</v>
      </c>
      <c r="B22" s="84" t="s">
        <v>76</v>
      </c>
      <c r="C22" s="84" t="s">
        <v>77</v>
      </c>
      <c r="D22" s="84" t="s">
        <v>78</v>
      </c>
      <c r="E22" s="79">
        <v>358143446.30000001</v>
      </c>
      <c r="F22" s="79">
        <v>132747012.3</v>
      </c>
      <c r="G22" s="79">
        <v>127398844.01000001</v>
      </c>
      <c r="H22" s="80">
        <f t="shared" si="1"/>
        <v>0.95971157318468714</v>
      </c>
      <c r="I22" s="79">
        <v>74931373</v>
      </c>
      <c r="J22" s="79">
        <v>9313842.9100000001</v>
      </c>
      <c r="K22" s="80">
        <f t="shared" si="4"/>
        <v>0.12429830840014103</v>
      </c>
      <c r="L22" s="79"/>
      <c r="M22" s="139"/>
      <c r="N22" s="79">
        <f t="shared" si="2"/>
        <v>136712686.92000002</v>
      </c>
      <c r="O22" s="21"/>
      <c r="P22" s="13"/>
      <c r="R22" s="23"/>
    </row>
    <row r="23" spans="1:18" ht="276" thickTop="1" thickBot="1" x14ac:dyDescent="0.25">
      <c r="A23" s="67" t="s">
        <v>79</v>
      </c>
      <c r="B23" s="84" t="s">
        <v>80</v>
      </c>
      <c r="C23" s="84" t="s">
        <v>81</v>
      </c>
      <c r="D23" s="84" t="s">
        <v>82</v>
      </c>
      <c r="E23" s="79">
        <v>24772605</v>
      </c>
      <c r="F23" s="79">
        <v>12124002</v>
      </c>
      <c r="G23" s="79">
        <v>12049604.34</v>
      </c>
      <c r="H23" s="80">
        <f t="shared" si="1"/>
        <v>0.99386360543325547</v>
      </c>
      <c r="I23" s="79">
        <v>90500</v>
      </c>
      <c r="J23" s="79">
        <v>17238.36</v>
      </c>
      <c r="K23" s="80">
        <f t="shared" si="4"/>
        <v>0.19047911602209947</v>
      </c>
      <c r="L23" s="79"/>
      <c r="M23" s="139"/>
      <c r="N23" s="79">
        <f t="shared" si="2"/>
        <v>12066842.699999999</v>
      </c>
      <c r="P23" s="13"/>
    </row>
    <row r="24" spans="1:18" ht="184.5" thickTop="1" thickBot="1" x14ac:dyDescent="0.25">
      <c r="A24" s="67"/>
      <c r="B24" s="84" t="s">
        <v>456</v>
      </c>
      <c r="C24" s="84" t="s">
        <v>81</v>
      </c>
      <c r="D24" s="84" t="s">
        <v>457</v>
      </c>
      <c r="E24" s="79">
        <v>18543450</v>
      </c>
      <c r="F24" s="79">
        <v>5103028</v>
      </c>
      <c r="G24" s="79">
        <v>5062513.74</v>
      </c>
      <c r="H24" s="80">
        <f t="shared" si="1"/>
        <v>0.99206074119130838</v>
      </c>
      <c r="I24" s="79"/>
      <c r="J24" s="79"/>
      <c r="K24" s="80"/>
      <c r="L24" s="79"/>
      <c r="M24" s="139"/>
      <c r="N24" s="79">
        <f t="shared" si="2"/>
        <v>5062513.74</v>
      </c>
      <c r="P24" s="13"/>
    </row>
    <row r="25" spans="1:18" ht="138.75" thickTop="1" thickBot="1" x14ac:dyDescent="0.25">
      <c r="A25" s="68" t="s">
        <v>83</v>
      </c>
      <c r="B25" s="86" t="s">
        <v>84</v>
      </c>
      <c r="C25" s="86"/>
      <c r="D25" s="86" t="s">
        <v>85</v>
      </c>
      <c r="E25" s="87">
        <f>E26+E27</f>
        <v>632703833</v>
      </c>
      <c r="F25" s="87">
        <f>F26+F27</f>
        <v>394937906</v>
      </c>
      <c r="G25" s="87">
        <f>G26+G27</f>
        <v>348361363.31</v>
      </c>
      <c r="H25" s="88">
        <f t="shared" si="1"/>
        <v>0.88206616285143313</v>
      </c>
      <c r="I25" s="87">
        <f>I26+I27</f>
        <v>0</v>
      </c>
      <c r="J25" s="87">
        <f>J26+J27</f>
        <v>0</v>
      </c>
      <c r="K25" s="80">
        <v>0</v>
      </c>
      <c r="L25" s="87"/>
      <c r="M25" s="87"/>
      <c r="N25" s="87">
        <f>G25+J25</f>
        <v>348361363.31</v>
      </c>
      <c r="O25" s="50" t="s">
        <v>434</v>
      </c>
      <c r="P25" s="19"/>
    </row>
    <row r="26" spans="1:18" ht="138.75" thickTop="1" thickBot="1" x14ac:dyDescent="0.25">
      <c r="A26" s="67" t="s">
        <v>86</v>
      </c>
      <c r="B26" s="84" t="s">
        <v>87</v>
      </c>
      <c r="C26" s="84" t="s">
        <v>77</v>
      </c>
      <c r="D26" s="84" t="s">
        <v>78</v>
      </c>
      <c r="E26" s="79">
        <v>628868833</v>
      </c>
      <c r="F26" s="79">
        <v>391712906</v>
      </c>
      <c r="G26" s="79">
        <v>345160425.5</v>
      </c>
      <c r="H26" s="80">
        <f t="shared" si="1"/>
        <v>0.88115663337372907</v>
      </c>
      <c r="I26" s="79"/>
      <c r="J26" s="79"/>
      <c r="K26" s="79"/>
      <c r="L26" s="79"/>
      <c r="M26" s="139"/>
      <c r="N26" s="79">
        <f t="shared" si="2"/>
        <v>345160425.5</v>
      </c>
      <c r="P26" s="17"/>
    </row>
    <row r="27" spans="1:18" ht="184.5" thickTop="1" thickBot="1" x14ac:dyDescent="0.25">
      <c r="A27" s="69"/>
      <c r="B27" s="89" t="s">
        <v>506</v>
      </c>
      <c r="C27" s="84" t="s">
        <v>81</v>
      </c>
      <c r="D27" s="84" t="s">
        <v>457</v>
      </c>
      <c r="E27" s="90">
        <v>3835000</v>
      </c>
      <c r="F27" s="90">
        <v>3225000</v>
      </c>
      <c r="G27" s="90">
        <v>3200937.81</v>
      </c>
      <c r="H27" s="80">
        <f t="shared" si="1"/>
        <v>0.99253885581395351</v>
      </c>
      <c r="I27" s="90"/>
      <c r="J27" s="90"/>
      <c r="K27" s="90"/>
      <c r="L27" s="90"/>
      <c r="M27" s="178"/>
      <c r="N27" s="79">
        <f t="shared" si="2"/>
        <v>3200937.81</v>
      </c>
      <c r="P27" s="17"/>
    </row>
    <row r="28" spans="1:18" ht="409.6" hidden="1" thickTop="1" thickBot="1" x14ac:dyDescent="0.7">
      <c r="A28" s="163" t="s">
        <v>88</v>
      </c>
      <c r="B28" s="165" t="s">
        <v>89</v>
      </c>
      <c r="C28" s="165"/>
      <c r="D28" s="91" t="s">
        <v>462</v>
      </c>
      <c r="E28" s="167">
        <f t="shared" ref="E28:J28" si="5">E30</f>
        <v>0</v>
      </c>
      <c r="F28" s="167">
        <f t="shared" si="5"/>
        <v>0</v>
      </c>
      <c r="G28" s="167">
        <f t="shared" si="5"/>
        <v>0</v>
      </c>
      <c r="H28" s="172"/>
      <c r="I28" s="172">
        <f t="shared" si="5"/>
        <v>0</v>
      </c>
      <c r="J28" s="172">
        <f t="shared" si="5"/>
        <v>0</v>
      </c>
      <c r="K28" s="179" t="e">
        <f t="shared" ref="K28:K30" si="6">J28/I28</f>
        <v>#DIV/0!</v>
      </c>
      <c r="L28" s="172"/>
      <c r="M28" s="172"/>
      <c r="N28" s="172">
        <f>J28+G28</f>
        <v>0</v>
      </c>
      <c r="P28" s="17"/>
    </row>
    <row r="29" spans="1:18" ht="229.7" hidden="1" customHeight="1" thickTop="1" thickBot="1" x14ac:dyDescent="0.25">
      <c r="A29" s="164"/>
      <c r="B29" s="166"/>
      <c r="C29" s="166"/>
      <c r="D29" s="92" t="s">
        <v>463</v>
      </c>
      <c r="E29" s="168"/>
      <c r="F29" s="168"/>
      <c r="G29" s="168"/>
      <c r="H29" s="173"/>
      <c r="I29" s="173"/>
      <c r="J29" s="173"/>
      <c r="K29" s="180"/>
      <c r="L29" s="173"/>
      <c r="M29" s="173"/>
      <c r="N29" s="173"/>
      <c r="P29" s="17"/>
    </row>
    <row r="30" spans="1:18" ht="138.75" hidden="1" thickTop="1" thickBot="1" x14ac:dyDescent="0.25">
      <c r="A30" s="67" t="s">
        <v>90</v>
      </c>
      <c r="B30" s="93" t="s">
        <v>91</v>
      </c>
      <c r="C30" s="93" t="s">
        <v>77</v>
      </c>
      <c r="D30" s="93" t="s">
        <v>92</v>
      </c>
      <c r="E30" s="94"/>
      <c r="F30" s="94"/>
      <c r="G30" s="94"/>
      <c r="H30" s="79"/>
      <c r="I30" s="79"/>
      <c r="J30" s="79"/>
      <c r="K30" s="80" t="e">
        <f t="shared" si="6"/>
        <v>#DIV/0!</v>
      </c>
      <c r="L30" s="79"/>
      <c r="M30" s="139"/>
      <c r="N30" s="79">
        <f t="shared" ref="N30:N36" si="7">G30+J30</f>
        <v>0</v>
      </c>
      <c r="P30" s="12"/>
    </row>
    <row r="31" spans="1:18" ht="184.5" thickTop="1" thickBot="1" x14ac:dyDescent="0.25">
      <c r="A31" s="67" t="s">
        <v>93</v>
      </c>
      <c r="B31" s="84" t="s">
        <v>94</v>
      </c>
      <c r="C31" s="84" t="s">
        <v>95</v>
      </c>
      <c r="D31" s="84" t="s">
        <v>96</v>
      </c>
      <c r="E31" s="79">
        <v>33399580</v>
      </c>
      <c r="F31" s="79">
        <v>14195535</v>
      </c>
      <c r="G31" s="79">
        <v>14048480.24</v>
      </c>
      <c r="H31" s="80">
        <f t="shared" ref="H31:H36" si="8">G31/F31</f>
        <v>0.98964077366580405</v>
      </c>
      <c r="I31" s="79">
        <v>1861060</v>
      </c>
      <c r="J31" s="79">
        <v>239942.51</v>
      </c>
      <c r="K31" s="80">
        <f t="shared" ref="K31:K37" si="9">J31/I31</f>
        <v>0.12892787443714873</v>
      </c>
      <c r="L31" s="79"/>
      <c r="M31" s="139"/>
      <c r="N31" s="79">
        <f t="shared" si="7"/>
        <v>14288422.75</v>
      </c>
      <c r="P31" s="12"/>
    </row>
    <row r="32" spans="1:18" ht="93" thickTop="1" thickBot="1" x14ac:dyDescent="0.25">
      <c r="A32" s="67"/>
      <c r="B32" s="84" t="s">
        <v>270</v>
      </c>
      <c r="C32" s="84" t="s">
        <v>95</v>
      </c>
      <c r="D32" s="84" t="s">
        <v>511</v>
      </c>
      <c r="E32" s="79">
        <v>78240350</v>
      </c>
      <c r="F32" s="79">
        <v>40564127</v>
      </c>
      <c r="G32" s="79">
        <v>39309121.590000004</v>
      </c>
      <c r="H32" s="80">
        <f t="shared" si="8"/>
        <v>0.96906120005984608</v>
      </c>
      <c r="I32" s="79">
        <v>8879540</v>
      </c>
      <c r="J32" s="79">
        <v>2596801.0099999998</v>
      </c>
      <c r="K32" s="80">
        <f t="shared" si="9"/>
        <v>0.29244769548873023</v>
      </c>
      <c r="L32" s="79"/>
      <c r="M32" s="139"/>
      <c r="N32" s="79">
        <f t="shared" si="7"/>
        <v>41905922.600000001</v>
      </c>
      <c r="P32" s="12"/>
    </row>
    <row r="33" spans="1:16" ht="184.5" thickTop="1" thickBot="1" x14ac:dyDescent="0.25">
      <c r="A33" s="68" t="s">
        <v>97</v>
      </c>
      <c r="B33" s="86" t="s">
        <v>98</v>
      </c>
      <c r="C33" s="86"/>
      <c r="D33" s="86" t="s">
        <v>99</v>
      </c>
      <c r="E33" s="87">
        <f>E34+E35</f>
        <v>154885211</v>
      </c>
      <c r="F33" s="87">
        <f t="shared" ref="F33:J33" si="10">F34+F35</f>
        <v>81010620</v>
      </c>
      <c r="G33" s="87">
        <f>G34+G35</f>
        <v>78569452.579999998</v>
      </c>
      <c r="H33" s="88">
        <f t="shared" si="8"/>
        <v>0.96986608150881948</v>
      </c>
      <c r="I33" s="87">
        <f t="shared" si="10"/>
        <v>31593071.690000001</v>
      </c>
      <c r="J33" s="87">
        <f t="shared" si="10"/>
        <v>13435082.619999999</v>
      </c>
      <c r="K33" s="88">
        <f t="shared" si="9"/>
        <v>0.42525407949656696</v>
      </c>
      <c r="L33" s="87"/>
      <c r="M33" s="87"/>
      <c r="N33" s="87">
        <f t="shared" si="7"/>
        <v>92004535.200000003</v>
      </c>
      <c r="P33" s="19"/>
    </row>
    <row r="34" spans="1:16" ht="230.25" thickTop="1" thickBot="1" x14ac:dyDescent="0.25">
      <c r="A34" s="67" t="s">
        <v>100</v>
      </c>
      <c r="B34" s="84" t="s">
        <v>101</v>
      </c>
      <c r="C34" s="84" t="s">
        <v>102</v>
      </c>
      <c r="D34" s="84" t="s">
        <v>103</v>
      </c>
      <c r="E34" s="79">
        <v>137467895</v>
      </c>
      <c r="F34" s="79">
        <v>69096357</v>
      </c>
      <c r="G34" s="79">
        <v>68421945.75</v>
      </c>
      <c r="H34" s="80">
        <f t="shared" si="8"/>
        <v>0.99023955416347054</v>
      </c>
      <c r="I34" s="79">
        <v>31593071.690000001</v>
      </c>
      <c r="J34" s="79">
        <v>13435082.619999999</v>
      </c>
      <c r="K34" s="80">
        <f t="shared" si="9"/>
        <v>0.42525407949656696</v>
      </c>
      <c r="L34" s="79"/>
      <c r="M34" s="139"/>
      <c r="N34" s="79">
        <f t="shared" si="7"/>
        <v>81857028.370000005</v>
      </c>
      <c r="P34" s="12"/>
    </row>
    <row r="35" spans="1:16" ht="230.25" thickTop="1" thickBot="1" x14ac:dyDescent="0.25">
      <c r="A35" s="67" t="s">
        <v>104</v>
      </c>
      <c r="B35" s="84" t="s">
        <v>105</v>
      </c>
      <c r="C35" s="84" t="s">
        <v>102</v>
      </c>
      <c r="D35" s="84" t="s">
        <v>106</v>
      </c>
      <c r="E35" s="79">
        <v>17417316</v>
      </c>
      <c r="F35" s="79">
        <v>11914263</v>
      </c>
      <c r="G35" s="79">
        <v>10147506.83</v>
      </c>
      <c r="H35" s="80">
        <f t="shared" si="8"/>
        <v>0.85171083012016779</v>
      </c>
      <c r="I35" s="79"/>
      <c r="J35" s="79"/>
      <c r="K35" s="79"/>
      <c r="L35" s="79"/>
      <c r="M35" s="139"/>
      <c r="N35" s="79">
        <f t="shared" si="7"/>
        <v>10147506.83</v>
      </c>
      <c r="P35" s="17"/>
    </row>
    <row r="36" spans="1:16" ht="93" thickTop="1" thickBot="1" x14ac:dyDescent="0.25">
      <c r="A36" s="68" t="s">
        <v>107</v>
      </c>
      <c r="B36" s="86" t="s">
        <v>108</v>
      </c>
      <c r="C36" s="86"/>
      <c r="D36" s="86" t="s">
        <v>109</v>
      </c>
      <c r="E36" s="87">
        <f t="shared" ref="E36:J36" si="11">E37+E38</f>
        <v>30502885</v>
      </c>
      <c r="F36" s="87">
        <f t="shared" si="11"/>
        <v>11968282</v>
      </c>
      <c r="G36" s="87">
        <f t="shared" si="11"/>
        <v>11374409.109999999</v>
      </c>
      <c r="H36" s="88">
        <f t="shared" si="8"/>
        <v>0.95037943708211414</v>
      </c>
      <c r="I36" s="87">
        <f t="shared" si="11"/>
        <v>1431585.82</v>
      </c>
      <c r="J36" s="87">
        <f t="shared" si="11"/>
        <v>125147.62</v>
      </c>
      <c r="K36" s="88">
        <f t="shared" si="9"/>
        <v>8.7418873707480554E-2</v>
      </c>
      <c r="L36" s="87"/>
      <c r="M36" s="87"/>
      <c r="N36" s="87">
        <f t="shared" si="7"/>
        <v>11499556.729999999</v>
      </c>
      <c r="P36" s="19"/>
    </row>
    <row r="37" spans="1:16" ht="93" thickTop="1" thickBot="1" x14ac:dyDescent="0.25">
      <c r="A37" s="67" t="s">
        <v>110</v>
      </c>
      <c r="B37" s="84" t="s">
        <v>111</v>
      </c>
      <c r="C37" s="84" t="s">
        <v>112</v>
      </c>
      <c r="D37" s="84" t="s">
        <v>113</v>
      </c>
      <c r="E37" s="79">
        <v>30284875</v>
      </c>
      <c r="F37" s="79">
        <v>11878772</v>
      </c>
      <c r="G37" s="79">
        <v>11284900.109999999</v>
      </c>
      <c r="H37" s="80">
        <f t="shared" ref="H37:H46" si="12">G37/F37</f>
        <v>0.95000561590036403</v>
      </c>
      <c r="I37" s="79">
        <v>1431585.82</v>
      </c>
      <c r="J37" s="79">
        <v>125147.62</v>
      </c>
      <c r="K37" s="80">
        <f t="shared" si="9"/>
        <v>8.7418873707480554E-2</v>
      </c>
      <c r="L37" s="79"/>
      <c r="M37" s="139"/>
      <c r="N37" s="79">
        <f t="shared" ref="N37:N46" si="13">G37+J37</f>
        <v>11410047.729999999</v>
      </c>
      <c r="P37" s="17"/>
    </row>
    <row r="38" spans="1:16" ht="93" thickTop="1" thickBot="1" x14ac:dyDescent="0.25">
      <c r="A38" s="67" t="s">
        <v>114</v>
      </c>
      <c r="B38" s="84" t="s">
        <v>115</v>
      </c>
      <c r="C38" s="84" t="s">
        <v>112</v>
      </c>
      <c r="D38" s="84" t="s">
        <v>116</v>
      </c>
      <c r="E38" s="79">
        <v>218010</v>
      </c>
      <c r="F38" s="79">
        <v>89510</v>
      </c>
      <c r="G38" s="79">
        <v>89509</v>
      </c>
      <c r="H38" s="80">
        <f t="shared" si="12"/>
        <v>0.99998882806390343</v>
      </c>
      <c r="I38" s="79"/>
      <c r="J38" s="79"/>
      <c r="K38" s="79"/>
      <c r="L38" s="79"/>
      <c r="M38" s="139"/>
      <c r="N38" s="79">
        <f t="shared" si="13"/>
        <v>89509</v>
      </c>
      <c r="P38" s="17"/>
    </row>
    <row r="39" spans="1:16" ht="93" thickTop="1" thickBot="1" x14ac:dyDescent="0.25">
      <c r="A39" s="68" t="s">
        <v>117</v>
      </c>
      <c r="B39" s="86" t="s">
        <v>118</v>
      </c>
      <c r="C39" s="86"/>
      <c r="D39" s="86" t="s">
        <v>119</v>
      </c>
      <c r="E39" s="87">
        <f>E40+E41</f>
        <v>5722975</v>
      </c>
      <c r="F39" s="87">
        <f t="shared" ref="F39:J39" si="14">F40+F41</f>
        <v>2932466</v>
      </c>
      <c r="G39" s="87">
        <f t="shared" si="14"/>
        <v>1859391.8900000001</v>
      </c>
      <c r="H39" s="88">
        <f>G39/F39</f>
        <v>0.63407108215406427</v>
      </c>
      <c r="I39" s="87">
        <f t="shared" si="14"/>
        <v>0</v>
      </c>
      <c r="J39" s="87">
        <f t="shared" si="14"/>
        <v>0</v>
      </c>
      <c r="K39" s="88">
        <v>0</v>
      </c>
      <c r="L39" s="87"/>
      <c r="M39" s="87"/>
      <c r="N39" s="87">
        <f t="shared" si="13"/>
        <v>1859391.8900000001</v>
      </c>
      <c r="O39" s="50" t="s">
        <v>434</v>
      </c>
      <c r="P39" s="19"/>
    </row>
    <row r="40" spans="1:16" ht="184.5" thickTop="1" thickBot="1" x14ac:dyDescent="0.25">
      <c r="A40" s="67" t="s">
        <v>120</v>
      </c>
      <c r="B40" s="84" t="s">
        <v>121</v>
      </c>
      <c r="C40" s="84" t="s">
        <v>112</v>
      </c>
      <c r="D40" s="84" t="s">
        <v>122</v>
      </c>
      <c r="E40" s="79">
        <v>1120505</v>
      </c>
      <c r="F40" s="79">
        <v>416357</v>
      </c>
      <c r="G40" s="79">
        <v>378320.54</v>
      </c>
      <c r="H40" s="80">
        <f t="shared" si="12"/>
        <v>0.90864460066721586</v>
      </c>
      <c r="I40" s="79"/>
      <c r="J40" s="79"/>
      <c r="K40" s="80"/>
      <c r="L40" s="79"/>
      <c r="M40" s="139"/>
      <c r="N40" s="79">
        <f>G40+J40</f>
        <v>378320.54</v>
      </c>
      <c r="P40" s="12"/>
    </row>
    <row r="41" spans="1:16" ht="138.75" thickTop="1" thickBot="1" x14ac:dyDescent="0.25">
      <c r="A41" s="67" t="s">
        <v>123</v>
      </c>
      <c r="B41" s="84" t="s">
        <v>124</v>
      </c>
      <c r="C41" s="84" t="s">
        <v>112</v>
      </c>
      <c r="D41" s="84" t="s">
        <v>125</v>
      </c>
      <c r="E41" s="79">
        <v>4602470</v>
      </c>
      <c r="F41" s="79">
        <v>2516109</v>
      </c>
      <c r="G41" s="79">
        <v>1481071.35</v>
      </c>
      <c r="H41" s="80">
        <f t="shared" si="12"/>
        <v>0.5886356075988759</v>
      </c>
      <c r="I41" s="79"/>
      <c r="J41" s="79"/>
      <c r="K41" s="79"/>
      <c r="L41" s="79"/>
      <c r="M41" s="139"/>
      <c r="N41" s="79">
        <f t="shared" si="13"/>
        <v>1481071.35</v>
      </c>
      <c r="P41" s="17"/>
    </row>
    <row r="42" spans="1:16" ht="138.75" thickTop="1" thickBot="1" x14ac:dyDescent="0.25">
      <c r="A42" s="67" t="s">
        <v>126</v>
      </c>
      <c r="B42" s="84" t="s">
        <v>127</v>
      </c>
      <c r="C42" s="84" t="s">
        <v>112</v>
      </c>
      <c r="D42" s="84" t="s">
        <v>128</v>
      </c>
      <c r="E42" s="79">
        <v>3056165</v>
      </c>
      <c r="F42" s="79">
        <v>1547400</v>
      </c>
      <c r="G42" s="79">
        <v>1501259.04</v>
      </c>
      <c r="H42" s="80">
        <f t="shared" si="12"/>
        <v>0.97018162078324932</v>
      </c>
      <c r="I42" s="79"/>
      <c r="J42" s="79"/>
      <c r="K42" s="80"/>
      <c r="L42" s="79"/>
      <c r="M42" s="139"/>
      <c r="N42" s="79">
        <f t="shared" si="13"/>
        <v>1501259.04</v>
      </c>
      <c r="O42" s="50"/>
      <c r="P42" s="12"/>
    </row>
    <row r="43" spans="1:16" s="18" customFormat="1" ht="230.25" hidden="1" thickTop="1" thickBot="1" x14ac:dyDescent="0.25">
      <c r="A43" s="68" t="s">
        <v>129</v>
      </c>
      <c r="B43" s="86" t="s">
        <v>130</v>
      </c>
      <c r="C43" s="86"/>
      <c r="D43" s="86" t="s">
        <v>131</v>
      </c>
      <c r="E43" s="87">
        <f>E44+E45</f>
        <v>0</v>
      </c>
      <c r="F43" s="87">
        <f>F44+F45</f>
        <v>0</v>
      </c>
      <c r="G43" s="87">
        <f>G44+G45</f>
        <v>0</v>
      </c>
      <c r="H43" s="88" t="e">
        <f t="shared" si="12"/>
        <v>#DIV/0!</v>
      </c>
      <c r="I43" s="87">
        <f>I44+I45</f>
        <v>0</v>
      </c>
      <c r="J43" s="87">
        <f>J44+J45</f>
        <v>0</v>
      </c>
      <c r="K43" s="88" t="e">
        <f t="shared" ref="K43:K45" si="15">J43/I43</f>
        <v>#DIV/0!</v>
      </c>
      <c r="L43" s="87"/>
      <c r="M43" s="87"/>
      <c r="N43" s="87">
        <f t="shared" si="13"/>
        <v>0</v>
      </c>
      <c r="O43" s="50"/>
      <c r="P43" s="22"/>
    </row>
    <row r="44" spans="1:16" s="18" customFormat="1" ht="367.5" hidden="1" thickTop="1" thickBot="1" x14ac:dyDescent="0.25">
      <c r="A44" s="67" t="s">
        <v>132</v>
      </c>
      <c r="B44" s="84" t="s">
        <v>133</v>
      </c>
      <c r="C44" s="84" t="s">
        <v>112</v>
      </c>
      <c r="D44" s="84" t="s">
        <v>134</v>
      </c>
      <c r="E44" s="79"/>
      <c r="F44" s="79"/>
      <c r="G44" s="79"/>
      <c r="H44" s="80" t="e">
        <f t="shared" si="12"/>
        <v>#DIV/0!</v>
      </c>
      <c r="I44" s="79"/>
      <c r="J44" s="79"/>
      <c r="K44" s="80" t="e">
        <f t="shared" si="15"/>
        <v>#DIV/0!</v>
      </c>
      <c r="L44" s="79"/>
      <c r="M44" s="139"/>
      <c r="N44" s="79">
        <f t="shared" si="13"/>
        <v>0</v>
      </c>
      <c r="O44" s="50"/>
      <c r="P44" s="12"/>
    </row>
    <row r="45" spans="1:16" s="18" customFormat="1" ht="321.75" hidden="1" thickTop="1" thickBot="1" x14ac:dyDescent="0.25">
      <c r="A45" s="67"/>
      <c r="B45" s="84" t="s">
        <v>454</v>
      </c>
      <c r="C45" s="84" t="s">
        <v>112</v>
      </c>
      <c r="D45" s="84" t="s">
        <v>455</v>
      </c>
      <c r="E45" s="79"/>
      <c r="F45" s="79"/>
      <c r="G45" s="79"/>
      <c r="H45" s="80" t="e">
        <f t="shared" si="12"/>
        <v>#DIV/0!</v>
      </c>
      <c r="I45" s="79"/>
      <c r="J45" s="79"/>
      <c r="K45" s="80" t="e">
        <f t="shared" si="15"/>
        <v>#DIV/0!</v>
      </c>
      <c r="L45" s="79"/>
      <c r="M45" s="139"/>
      <c r="N45" s="79">
        <f t="shared" si="13"/>
        <v>0</v>
      </c>
      <c r="O45" s="52"/>
      <c r="P45" s="12"/>
    </row>
    <row r="46" spans="1:16" s="18" customFormat="1" ht="321.75" thickTop="1" thickBot="1" x14ac:dyDescent="0.25">
      <c r="A46" s="67" t="s">
        <v>135</v>
      </c>
      <c r="B46" s="84" t="s">
        <v>136</v>
      </c>
      <c r="C46" s="84" t="s">
        <v>112</v>
      </c>
      <c r="D46" s="84" t="s">
        <v>137</v>
      </c>
      <c r="E46" s="79">
        <v>4309556</v>
      </c>
      <c r="F46" s="79">
        <v>2021136</v>
      </c>
      <c r="G46" s="79">
        <v>2009637.05</v>
      </c>
      <c r="H46" s="80">
        <f t="shared" si="12"/>
        <v>0.99431065005026875</v>
      </c>
      <c r="I46" s="79">
        <v>1530916</v>
      </c>
      <c r="J46" s="79">
        <v>0</v>
      </c>
      <c r="K46" s="80">
        <f t="shared" ref="K46:K51" si="16">J46/I46</f>
        <v>0</v>
      </c>
      <c r="L46" s="79"/>
      <c r="M46" s="139"/>
      <c r="N46" s="79">
        <f t="shared" si="13"/>
        <v>2009637.05</v>
      </c>
      <c r="O46" s="20"/>
      <c r="P46" s="12"/>
    </row>
    <row r="47" spans="1:16" s="18" customFormat="1" ht="289.14999999999998" hidden="1" customHeight="1" thickTop="1" thickBot="1" x14ac:dyDescent="0.25">
      <c r="A47" s="66"/>
      <c r="B47" s="70" t="s">
        <v>138</v>
      </c>
      <c r="C47" s="70" t="s">
        <v>112</v>
      </c>
      <c r="D47" s="70" t="s">
        <v>139</v>
      </c>
      <c r="E47" s="58"/>
      <c r="F47" s="58"/>
      <c r="G47" s="58"/>
      <c r="H47" s="62" t="e">
        <f t="shared" ref="H47" si="17">G47/F47</f>
        <v>#DIV/0!</v>
      </c>
      <c r="I47" s="58"/>
      <c r="J47" s="58"/>
      <c r="K47" s="62" t="e">
        <f t="shared" si="16"/>
        <v>#DIV/0!</v>
      </c>
      <c r="L47" s="59"/>
      <c r="M47" s="59"/>
      <c r="N47" s="58">
        <f t="shared" ref="N47:N50" si="18">G47+J47</f>
        <v>0</v>
      </c>
      <c r="O47" s="20"/>
      <c r="P47" s="12"/>
    </row>
    <row r="48" spans="1:16" s="18" customFormat="1" ht="230.25" hidden="1" thickTop="1" thickBot="1" x14ac:dyDescent="0.25">
      <c r="A48" s="66"/>
      <c r="B48" s="71" t="s">
        <v>458</v>
      </c>
      <c r="C48" s="71"/>
      <c r="D48" s="71" t="s">
        <v>459</v>
      </c>
      <c r="E48" s="61">
        <f>E50+E49</f>
        <v>0</v>
      </c>
      <c r="F48" s="61">
        <f>F50+F49</f>
        <v>0</v>
      </c>
      <c r="G48" s="61">
        <f>G50+G49</f>
        <v>0</v>
      </c>
      <c r="H48" s="72">
        <v>0</v>
      </c>
      <c r="I48" s="61">
        <f>I50+I49</f>
        <v>0</v>
      </c>
      <c r="J48" s="61">
        <f>J50+J49</f>
        <v>0</v>
      </c>
      <c r="K48" s="72" t="e">
        <f t="shared" si="16"/>
        <v>#DIV/0!</v>
      </c>
      <c r="L48" s="60"/>
      <c r="M48" s="60"/>
      <c r="N48" s="61">
        <f>G48+J48</f>
        <v>0</v>
      </c>
      <c r="O48" s="50" t="s">
        <v>434</v>
      </c>
      <c r="P48" s="12"/>
    </row>
    <row r="49" spans="1:18" s="18" customFormat="1" ht="367.5" hidden="1" thickTop="1" thickBot="1" x14ac:dyDescent="0.25">
      <c r="A49" s="66"/>
      <c r="B49" s="70" t="s">
        <v>475</v>
      </c>
      <c r="C49" s="70" t="s">
        <v>112</v>
      </c>
      <c r="D49" s="70" t="s">
        <v>476</v>
      </c>
      <c r="E49" s="58"/>
      <c r="F49" s="58"/>
      <c r="G49" s="58"/>
      <c r="H49" s="62"/>
      <c r="I49" s="58"/>
      <c r="J49" s="58"/>
      <c r="K49" s="62" t="e">
        <f t="shared" si="16"/>
        <v>#DIV/0!</v>
      </c>
      <c r="L49" s="59"/>
      <c r="M49" s="59"/>
      <c r="N49" s="58">
        <f>G49+J49</f>
        <v>0</v>
      </c>
      <c r="O49" s="50"/>
      <c r="P49" s="12"/>
    </row>
    <row r="50" spans="1:18" s="18" customFormat="1" ht="337.7" hidden="1" customHeight="1" thickTop="1" thickBot="1" x14ac:dyDescent="0.25">
      <c r="A50" s="66"/>
      <c r="B50" s="70" t="s">
        <v>460</v>
      </c>
      <c r="C50" s="70" t="s">
        <v>112</v>
      </c>
      <c r="D50" s="70" t="s">
        <v>461</v>
      </c>
      <c r="E50" s="58"/>
      <c r="F50" s="58"/>
      <c r="G50" s="58"/>
      <c r="H50" s="62">
        <v>0</v>
      </c>
      <c r="I50" s="58"/>
      <c r="J50" s="58"/>
      <c r="K50" s="62" t="e">
        <f t="shared" si="16"/>
        <v>#DIV/0!</v>
      </c>
      <c r="L50" s="59"/>
      <c r="M50" s="59"/>
      <c r="N50" s="58">
        <f t="shared" si="18"/>
        <v>0</v>
      </c>
      <c r="O50" s="50" t="s">
        <v>434</v>
      </c>
      <c r="P50" s="12"/>
    </row>
    <row r="51" spans="1:18" ht="103.7" customHeight="1" thickTop="1" thickBot="1" x14ac:dyDescent="0.25">
      <c r="A51" s="66" t="s">
        <v>143</v>
      </c>
      <c r="B51" s="82" t="s">
        <v>144</v>
      </c>
      <c r="C51" s="82"/>
      <c r="D51" s="83" t="s">
        <v>145</v>
      </c>
      <c r="E51" s="81">
        <f t="shared" ref="E51:J51" si="19">SUM(E52:E63)-E57-E59-E61</f>
        <v>98563470</v>
      </c>
      <c r="F51" s="81">
        <f t="shared" si="19"/>
        <v>51556173</v>
      </c>
      <c r="G51" s="81">
        <f t="shared" si="19"/>
        <v>49614677.490000002</v>
      </c>
      <c r="H51" s="85">
        <f>G51/F51</f>
        <v>0.96234213291975734</v>
      </c>
      <c r="I51" s="81">
        <f>SUM(I52:I63)-I57-I59-I61</f>
        <v>10420856</v>
      </c>
      <c r="J51" s="81">
        <f t="shared" si="19"/>
        <v>1365900</v>
      </c>
      <c r="K51" s="85">
        <f t="shared" si="16"/>
        <v>0.13107368530953695</v>
      </c>
      <c r="L51" s="81"/>
      <c r="M51" s="81"/>
      <c r="N51" s="141">
        <f>J51+G51</f>
        <v>50980577.490000002</v>
      </c>
      <c r="O51" s="53" t="b">
        <f>N51=N52+N53+N54+N55+N56+N58+N60+N62+N63</f>
        <v>1</v>
      </c>
      <c r="P51" s="24"/>
    </row>
    <row r="52" spans="1:18" ht="93" thickTop="1" thickBot="1" x14ac:dyDescent="0.25">
      <c r="A52" s="67" t="s">
        <v>146</v>
      </c>
      <c r="B52" s="84" t="s">
        <v>147</v>
      </c>
      <c r="C52" s="84" t="s">
        <v>148</v>
      </c>
      <c r="D52" s="84" t="s">
        <v>149</v>
      </c>
      <c r="E52" s="79">
        <v>35402605</v>
      </c>
      <c r="F52" s="79">
        <v>22099355</v>
      </c>
      <c r="G52" s="79">
        <v>21264410.079999998</v>
      </c>
      <c r="H52" s="80">
        <f t="shared" ref="H52:H108" si="20">G52/F52</f>
        <v>0.96221858420754802</v>
      </c>
      <c r="I52" s="79">
        <v>7064956</v>
      </c>
      <c r="J52" s="79">
        <v>0</v>
      </c>
      <c r="K52" s="80">
        <f>J52/I52</f>
        <v>0</v>
      </c>
      <c r="L52" s="79"/>
      <c r="M52" s="139"/>
      <c r="N52" s="79">
        <f>G52+J52</f>
        <v>21264410.079999998</v>
      </c>
      <c r="P52" s="17"/>
    </row>
    <row r="53" spans="1:18" ht="93" thickTop="1" thickBot="1" x14ac:dyDescent="0.25">
      <c r="A53" s="67" t="s">
        <v>150</v>
      </c>
      <c r="B53" s="84" t="s">
        <v>151</v>
      </c>
      <c r="C53" s="84" t="s">
        <v>152</v>
      </c>
      <c r="D53" s="84" t="s">
        <v>153</v>
      </c>
      <c r="E53" s="79">
        <v>13091450</v>
      </c>
      <c r="F53" s="79">
        <v>7612990</v>
      </c>
      <c r="G53" s="79">
        <v>7416255.5599999996</v>
      </c>
      <c r="H53" s="80">
        <f t="shared" si="20"/>
        <v>0.97415805879161799</v>
      </c>
      <c r="I53" s="79">
        <v>2655900</v>
      </c>
      <c r="J53" s="79">
        <v>1365900</v>
      </c>
      <c r="K53" s="80">
        <f>J53/I53</f>
        <v>0.5142889416017169</v>
      </c>
      <c r="L53" s="79"/>
      <c r="M53" s="139"/>
      <c r="N53" s="79">
        <f t="shared" ref="N53:N108" si="21">G53+J53</f>
        <v>8782155.5599999987</v>
      </c>
      <c r="P53" s="24"/>
    </row>
    <row r="54" spans="1:18" ht="138.75" thickTop="1" thickBot="1" x14ac:dyDescent="0.25">
      <c r="A54" s="67" t="s">
        <v>154</v>
      </c>
      <c r="B54" s="84" t="s">
        <v>155</v>
      </c>
      <c r="C54" s="84" t="s">
        <v>156</v>
      </c>
      <c r="D54" s="84" t="s">
        <v>157</v>
      </c>
      <c r="E54" s="79">
        <v>9129950</v>
      </c>
      <c r="F54" s="79">
        <v>4172960</v>
      </c>
      <c r="G54" s="79">
        <v>4151928.77</v>
      </c>
      <c r="H54" s="80">
        <f t="shared" si="20"/>
        <v>0.99496011703922393</v>
      </c>
      <c r="I54" s="79">
        <v>500000</v>
      </c>
      <c r="J54" s="79">
        <v>0</v>
      </c>
      <c r="K54" s="80">
        <f>J54/I54</f>
        <v>0</v>
      </c>
      <c r="L54" s="79"/>
      <c r="M54" s="139"/>
      <c r="N54" s="79">
        <f t="shared" si="21"/>
        <v>4151928.77</v>
      </c>
      <c r="P54" s="24"/>
    </row>
    <row r="55" spans="1:18" ht="138.75" thickTop="1" thickBot="1" x14ac:dyDescent="0.25">
      <c r="A55" s="67" t="s">
        <v>158</v>
      </c>
      <c r="B55" s="84" t="s">
        <v>159</v>
      </c>
      <c r="C55" s="84" t="s">
        <v>160</v>
      </c>
      <c r="D55" s="84" t="s">
        <v>161</v>
      </c>
      <c r="E55" s="79">
        <v>11569670</v>
      </c>
      <c r="F55" s="79">
        <v>6136510</v>
      </c>
      <c r="G55" s="79">
        <v>5997919.4500000002</v>
      </c>
      <c r="H55" s="80">
        <f t="shared" si="20"/>
        <v>0.97741541201758009</v>
      </c>
      <c r="I55" s="79"/>
      <c r="J55" s="79"/>
      <c r="K55" s="79"/>
      <c r="L55" s="79"/>
      <c r="M55" s="139"/>
      <c r="N55" s="79">
        <f t="shared" si="21"/>
        <v>5997919.4500000002</v>
      </c>
      <c r="P55" s="24"/>
    </row>
    <row r="56" spans="1:18" ht="93" thickTop="1" thickBot="1" x14ac:dyDescent="0.25">
      <c r="A56" s="67" t="s">
        <v>162</v>
      </c>
      <c r="B56" s="84" t="s">
        <v>163</v>
      </c>
      <c r="C56" s="84" t="s">
        <v>164</v>
      </c>
      <c r="D56" s="84" t="s">
        <v>165</v>
      </c>
      <c r="E56" s="79">
        <v>7556300</v>
      </c>
      <c r="F56" s="79">
        <v>3621670</v>
      </c>
      <c r="G56" s="79">
        <v>3579074.33</v>
      </c>
      <c r="H56" s="80">
        <f t="shared" si="20"/>
        <v>0.98823866614020606</v>
      </c>
      <c r="I56" s="79">
        <v>200000</v>
      </c>
      <c r="J56" s="79">
        <v>0</v>
      </c>
      <c r="K56" s="80">
        <f>J56/I56</f>
        <v>0</v>
      </c>
      <c r="L56" s="79"/>
      <c r="M56" s="139"/>
      <c r="N56" s="79">
        <f t="shared" si="21"/>
        <v>3579074.33</v>
      </c>
      <c r="P56" s="24"/>
    </row>
    <row r="57" spans="1:18" ht="93" thickTop="1" thickBot="1" x14ac:dyDescent="0.25">
      <c r="A57" s="67" t="s">
        <v>166</v>
      </c>
      <c r="B57" s="86" t="s">
        <v>167</v>
      </c>
      <c r="C57" s="86"/>
      <c r="D57" s="86" t="s">
        <v>168</v>
      </c>
      <c r="E57" s="87">
        <f>E58</f>
        <v>14204885</v>
      </c>
      <c r="F57" s="87">
        <f t="shared" ref="F57:G57" si="22">F58</f>
        <v>5215388</v>
      </c>
      <c r="G57" s="87">
        <f t="shared" si="22"/>
        <v>4932495.9800000004</v>
      </c>
      <c r="H57" s="88">
        <f>G57/F57</f>
        <v>0.94575820245780384</v>
      </c>
      <c r="I57" s="87"/>
      <c r="J57" s="87"/>
      <c r="K57" s="88"/>
      <c r="L57" s="87"/>
      <c r="M57" s="87"/>
      <c r="N57" s="87">
        <f t="shared" si="21"/>
        <v>4932495.9800000004</v>
      </c>
      <c r="O57" s="50"/>
      <c r="P57" s="24"/>
    </row>
    <row r="58" spans="1:18" ht="184.5" thickTop="1" thickBot="1" x14ac:dyDescent="0.25">
      <c r="A58" s="67" t="s">
        <v>169</v>
      </c>
      <c r="B58" s="84" t="s">
        <v>170</v>
      </c>
      <c r="C58" s="84" t="s">
        <v>171</v>
      </c>
      <c r="D58" s="84" t="s">
        <v>172</v>
      </c>
      <c r="E58" s="79">
        <v>14204885</v>
      </c>
      <c r="F58" s="79">
        <v>5215388</v>
      </c>
      <c r="G58" s="79">
        <v>4932495.9800000004</v>
      </c>
      <c r="H58" s="80">
        <f>G58/F58</f>
        <v>0.94575820245780384</v>
      </c>
      <c r="I58" s="79"/>
      <c r="J58" s="79"/>
      <c r="K58" s="79"/>
      <c r="L58" s="79"/>
      <c r="M58" s="139"/>
      <c r="N58" s="79">
        <f t="shared" si="21"/>
        <v>4932495.9800000004</v>
      </c>
      <c r="P58" s="24"/>
    </row>
    <row r="59" spans="1:18" ht="138.75" hidden="1" thickTop="1" thickBot="1" x14ac:dyDescent="0.25">
      <c r="A59" s="68" t="s">
        <v>173</v>
      </c>
      <c r="B59" s="95" t="s">
        <v>174</v>
      </c>
      <c r="C59" s="95"/>
      <c r="D59" s="95" t="s">
        <v>175</v>
      </c>
      <c r="E59" s="96">
        <f t="shared" ref="E59:G59" si="23">E60</f>
        <v>0</v>
      </c>
      <c r="F59" s="87">
        <f t="shared" si="23"/>
        <v>0</v>
      </c>
      <c r="G59" s="87">
        <f t="shared" si="23"/>
        <v>0</v>
      </c>
      <c r="H59" s="88" t="e">
        <f t="shared" si="20"/>
        <v>#DIV/0!</v>
      </c>
      <c r="I59" s="87"/>
      <c r="J59" s="87"/>
      <c r="K59" s="88"/>
      <c r="L59" s="87"/>
      <c r="M59" s="87"/>
      <c r="N59" s="87">
        <f t="shared" si="21"/>
        <v>0</v>
      </c>
      <c r="O59" s="50"/>
      <c r="P59" s="24"/>
    </row>
    <row r="60" spans="1:18" ht="138.75" hidden="1" thickTop="1" thickBot="1" x14ac:dyDescent="0.25">
      <c r="A60" s="67" t="s">
        <v>176</v>
      </c>
      <c r="B60" s="93" t="s">
        <v>177</v>
      </c>
      <c r="C60" s="93" t="s">
        <v>178</v>
      </c>
      <c r="D60" s="93" t="s">
        <v>179</v>
      </c>
      <c r="E60" s="94"/>
      <c r="F60" s="79"/>
      <c r="G60" s="79"/>
      <c r="H60" s="80" t="e">
        <f t="shared" si="20"/>
        <v>#DIV/0!</v>
      </c>
      <c r="I60" s="79"/>
      <c r="J60" s="79"/>
      <c r="K60" s="79"/>
      <c r="L60" s="79"/>
      <c r="M60" s="139"/>
      <c r="N60" s="79">
        <f t="shared" si="21"/>
        <v>0</v>
      </c>
      <c r="P60" s="24"/>
    </row>
    <row r="61" spans="1:18" ht="138.75" thickTop="1" thickBot="1" x14ac:dyDescent="0.25">
      <c r="A61" s="67" t="s">
        <v>180</v>
      </c>
      <c r="B61" s="86" t="s">
        <v>181</v>
      </c>
      <c r="C61" s="86"/>
      <c r="D61" s="86" t="s">
        <v>182</v>
      </c>
      <c r="E61" s="87">
        <f t="shared" ref="E61:J61" si="24">SUM(E62:E63)</f>
        <v>7608610</v>
      </c>
      <c r="F61" s="87">
        <f t="shared" si="24"/>
        <v>2697300</v>
      </c>
      <c r="G61" s="87">
        <f t="shared" si="24"/>
        <v>2272593.3200000003</v>
      </c>
      <c r="H61" s="88">
        <f t="shared" si="20"/>
        <v>0.84254377340303277</v>
      </c>
      <c r="I61" s="87">
        <f t="shared" si="24"/>
        <v>0</v>
      </c>
      <c r="J61" s="87">
        <f t="shared" si="24"/>
        <v>0</v>
      </c>
      <c r="K61" s="80">
        <v>0</v>
      </c>
      <c r="L61" s="87"/>
      <c r="M61" s="87"/>
      <c r="N61" s="87">
        <f t="shared" si="21"/>
        <v>2272593.3200000003</v>
      </c>
      <c r="O61" s="50" t="s">
        <v>434</v>
      </c>
      <c r="P61" s="24"/>
    </row>
    <row r="62" spans="1:18" s="18" customFormat="1" ht="138.75" thickTop="1" thickBot="1" x14ac:dyDescent="0.25">
      <c r="A62" s="67" t="s">
        <v>183</v>
      </c>
      <c r="B62" s="84" t="s">
        <v>184</v>
      </c>
      <c r="C62" s="84" t="s">
        <v>178</v>
      </c>
      <c r="D62" s="97" t="s">
        <v>185</v>
      </c>
      <c r="E62" s="79">
        <v>3474610</v>
      </c>
      <c r="F62" s="79">
        <v>1530300</v>
      </c>
      <c r="G62" s="79">
        <v>1421806.12</v>
      </c>
      <c r="H62" s="80">
        <f t="shared" si="20"/>
        <v>0.92910286871855197</v>
      </c>
      <c r="I62" s="79"/>
      <c r="J62" s="79"/>
      <c r="K62" s="80"/>
      <c r="L62" s="79"/>
      <c r="M62" s="139"/>
      <c r="N62" s="79">
        <f t="shared" si="21"/>
        <v>1421806.12</v>
      </c>
      <c r="O62" s="20"/>
      <c r="P62" s="24"/>
    </row>
    <row r="63" spans="1:18" s="18" customFormat="1" ht="93" thickTop="1" thickBot="1" x14ac:dyDescent="0.25">
      <c r="A63" s="67" t="s">
        <v>186</v>
      </c>
      <c r="B63" s="84" t="s">
        <v>187</v>
      </c>
      <c r="C63" s="84" t="s">
        <v>178</v>
      </c>
      <c r="D63" s="97" t="s">
        <v>188</v>
      </c>
      <c r="E63" s="79">
        <v>4134000</v>
      </c>
      <c r="F63" s="79">
        <v>1167000</v>
      </c>
      <c r="G63" s="79">
        <v>850787.2</v>
      </c>
      <c r="H63" s="80">
        <f t="shared" si="20"/>
        <v>0.72903787489288774</v>
      </c>
      <c r="I63" s="79"/>
      <c r="J63" s="79"/>
      <c r="K63" s="79"/>
      <c r="L63" s="79"/>
      <c r="M63" s="139"/>
      <c r="N63" s="79">
        <f t="shared" si="21"/>
        <v>850787.2</v>
      </c>
      <c r="O63" s="20"/>
      <c r="P63" s="24"/>
    </row>
    <row r="64" spans="1:18" ht="99" customHeight="1" thickTop="1" thickBot="1" x14ac:dyDescent="0.25">
      <c r="A64" s="66" t="s">
        <v>191</v>
      </c>
      <c r="B64" s="82" t="s">
        <v>140</v>
      </c>
      <c r="C64" s="82"/>
      <c r="D64" s="83" t="s">
        <v>141</v>
      </c>
      <c r="E64" s="81">
        <f>SUM(E65:E108)-E65-E74-E87-E89-E106-E84-E77-E80-E91</f>
        <v>173411791</v>
      </c>
      <c r="F64" s="81">
        <f>SUM(F65:F108)-F65-F74-F87-F89-F106-F84-F77-F80-F91</f>
        <v>89163671.849999979</v>
      </c>
      <c r="G64" s="81">
        <f>SUM(G65:G108)-G65-G74-G87-G89-G106-G84-G77-G80-G91</f>
        <v>81490074.239999995</v>
      </c>
      <c r="H64" s="85">
        <f>G64/F64</f>
        <v>0.91393807084448841</v>
      </c>
      <c r="I64" s="81">
        <f>SUM(I65:I108)-I65-I74-I87-I89-I106-I84-I77-I80-I91</f>
        <v>11741011.239999996</v>
      </c>
      <c r="J64" s="81">
        <f>SUM(J65:J108)-J65-J74-J87-J89-J106-J84-J77-J80-J91</f>
        <v>1630597.2399999998</v>
      </c>
      <c r="K64" s="85">
        <f>J64/I64</f>
        <v>0.13888047687449454</v>
      </c>
      <c r="L64" s="81"/>
      <c r="M64" s="81"/>
      <c r="N64" s="141">
        <f>J64+G64</f>
        <v>83120671.479999989</v>
      </c>
      <c r="O64" s="53" t="b">
        <f>N64=N66+N67+N68+N69+N70+N71+N73+N75+N76+N78+N81+N82+N83+N85+N86+N88+N90+N107+N108+N79+N72+N92+N95+N99+N102</f>
        <v>0</v>
      </c>
      <c r="P64" s="26"/>
      <c r="R64" s="25"/>
    </row>
    <row r="65" spans="1:18" ht="276" thickTop="1" thickBot="1" x14ac:dyDescent="0.25">
      <c r="A65" s="68" t="s">
        <v>192</v>
      </c>
      <c r="B65" s="86" t="s">
        <v>193</v>
      </c>
      <c r="C65" s="86"/>
      <c r="D65" s="86" t="s">
        <v>194</v>
      </c>
      <c r="E65" s="87">
        <f t="shared" ref="E65:J65" si="25">SUM(E66:E70)</f>
        <v>64538000</v>
      </c>
      <c r="F65" s="87">
        <f t="shared" si="25"/>
        <v>28915123.149999999</v>
      </c>
      <c r="G65" s="87">
        <f t="shared" si="25"/>
        <v>28372388.16</v>
      </c>
      <c r="H65" s="88">
        <f t="shared" si="20"/>
        <v>0.9812300647247979</v>
      </c>
      <c r="I65" s="87">
        <f t="shared" si="25"/>
        <v>150000</v>
      </c>
      <c r="J65" s="87">
        <f t="shared" si="25"/>
        <v>0</v>
      </c>
      <c r="K65" s="88">
        <f t="shared" ref="K65:K66" si="26">J65/I65</f>
        <v>0</v>
      </c>
      <c r="L65" s="87"/>
      <c r="M65" s="87"/>
      <c r="N65" s="87">
        <f t="shared" si="21"/>
        <v>28372388.16</v>
      </c>
      <c r="O65" s="27"/>
      <c r="P65" s="28"/>
      <c r="R65" s="29"/>
    </row>
    <row r="66" spans="1:18" s="18" customFormat="1" ht="138.75" thickTop="1" thickBot="1" x14ac:dyDescent="0.25">
      <c r="A66" s="67" t="s">
        <v>195</v>
      </c>
      <c r="B66" s="84" t="s">
        <v>196</v>
      </c>
      <c r="C66" s="84" t="s">
        <v>84</v>
      </c>
      <c r="D66" s="98" t="s">
        <v>197</v>
      </c>
      <c r="E66" s="79">
        <v>270000</v>
      </c>
      <c r="F66" s="79">
        <v>134920</v>
      </c>
      <c r="G66" s="79">
        <v>12565.45</v>
      </c>
      <c r="H66" s="80">
        <f t="shared" si="20"/>
        <v>9.3132597094574568E-2</v>
      </c>
      <c r="I66" s="79">
        <v>150000</v>
      </c>
      <c r="J66" s="79">
        <v>0</v>
      </c>
      <c r="K66" s="80">
        <f t="shared" si="26"/>
        <v>0</v>
      </c>
      <c r="L66" s="79"/>
      <c r="M66" s="139"/>
      <c r="N66" s="79">
        <f t="shared" si="21"/>
        <v>12565.45</v>
      </c>
      <c r="O66" s="20"/>
      <c r="P66" s="26"/>
    </row>
    <row r="67" spans="1:18" s="18" customFormat="1" ht="138.75" thickTop="1" thickBot="1" x14ac:dyDescent="0.25">
      <c r="A67" s="67" t="s">
        <v>198</v>
      </c>
      <c r="B67" s="84" t="s">
        <v>199</v>
      </c>
      <c r="C67" s="84" t="s">
        <v>94</v>
      </c>
      <c r="D67" s="84" t="s">
        <v>200</v>
      </c>
      <c r="E67" s="79">
        <v>900000</v>
      </c>
      <c r="F67" s="79">
        <v>450000</v>
      </c>
      <c r="G67" s="79">
        <v>277903.71000000002</v>
      </c>
      <c r="H67" s="80">
        <f t="shared" si="20"/>
        <v>0.6175638</v>
      </c>
      <c r="I67" s="79"/>
      <c r="J67" s="79"/>
      <c r="K67" s="79"/>
      <c r="L67" s="79"/>
      <c r="M67" s="139"/>
      <c r="N67" s="79">
        <f t="shared" si="21"/>
        <v>277903.71000000002</v>
      </c>
      <c r="O67" s="20"/>
      <c r="P67" s="30"/>
    </row>
    <row r="68" spans="1:18" s="18" customFormat="1" ht="184.5" thickTop="1" thickBot="1" x14ac:dyDescent="0.25">
      <c r="A68" s="67" t="s">
        <v>201</v>
      </c>
      <c r="B68" s="84" t="s">
        <v>202</v>
      </c>
      <c r="C68" s="84" t="s">
        <v>94</v>
      </c>
      <c r="D68" s="84" t="s">
        <v>203</v>
      </c>
      <c r="E68" s="79">
        <v>15600000</v>
      </c>
      <c r="F68" s="79">
        <v>7675233.1500000004</v>
      </c>
      <c r="G68" s="79">
        <v>7675233.1500000004</v>
      </c>
      <c r="H68" s="80">
        <f t="shared" si="20"/>
        <v>1</v>
      </c>
      <c r="I68" s="79"/>
      <c r="J68" s="79"/>
      <c r="K68" s="79"/>
      <c r="L68" s="79"/>
      <c r="M68" s="139"/>
      <c r="N68" s="79">
        <f t="shared" si="21"/>
        <v>7675233.1500000004</v>
      </c>
      <c r="O68" s="20"/>
      <c r="P68" s="30"/>
    </row>
    <row r="69" spans="1:18" s="18" customFormat="1" ht="184.5" thickTop="1" thickBot="1" x14ac:dyDescent="0.25">
      <c r="A69" s="67" t="s">
        <v>204</v>
      </c>
      <c r="B69" s="84" t="s">
        <v>205</v>
      </c>
      <c r="C69" s="84" t="s">
        <v>94</v>
      </c>
      <c r="D69" s="84" t="s">
        <v>206</v>
      </c>
      <c r="E69" s="79">
        <v>900000</v>
      </c>
      <c r="F69" s="79">
        <v>450000</v>
      </c>
      <c r="G69" s="79">
        <v>201715.85</v>
      </c>
      <c r="H69" s="80">
        <f t="shared" si="20"/>
        <v>0.44825744444444443</v>
      </c>
      <c r="I69" s="79"/>
      <c r="J69" s="79"/>
      <c r="K69" s="79"/>
      <c r="L69" s="79"/>
      <c r="M69" s="139"/>
      <c r="N69" s="79">
        <f t="shared" si="21"/>
        <v>201715.85</v>
      </c>
      <c r="O69" s="50"/>
      <c r="P69" s="30"/>
    </row>
    <row r="70" spans="1:18" s="18" customFormat="1" ht="184.5" thickTop="1" thickBot="1" x14ac:dyDescent="0.25">
      <c r="A70" s="67" t="s">
        <v>207</v>
      </c>
      <c r="B70" s="84" t="s">
        <v>208</v>
      </c>
      <c r="C70" s="84" t="s">
        <v>94</v>
      </c>
      <c r="D70" s="84" t="s">
        <v>209</v>
      </c>
      <c r="E70" s="79">
        <v>46868000</v>
      </c>
      <c r="F70" s="79">
        <v>20204970</v>
      </c>
      <c r="G70" s="79">
        <v>20204970</v>
      </c>
      <c r="H70" s="80">
        <f t="shared" si="20"/>
        <v>1</v>
      </c>
      <c r="I70" s="79"/>
      <c r="J70" s="79"/>
      <c r="K70" s="79"/>
      <c r="L70" s="79"/>
      <c r="M70" s="139"/>
      <c r="N70" s="79">
        <f t="shared" si="21"/>
        <v>20204970</v>
      </c>
      <c r="O70" s="20"/>
      <c r="P70" s="30"/>
    </row>
    <row r="71" spans="1:18" s="18" customFormat="1" ht="184.5" thickTop="1" thickBot="1" x14ac:dyDescent="0.25">
      <c r="A71" s="67" t="s">
        <v>210</v>
      </c>
      <c r="B71" s="84" t="s">
        <v>211</v>
      </c>
      <c r="C71" s="84" t="s">
        <v>94</v>
      </c>
      <c r="D71" s="84" t="s">
        <v>212</v>
      </c>
      <c r="E71" s="79">
        <v>226297</v>
      </c>
      <c r="F71" s="79">
        <v>113149</v>
      </c>
      <c r="G71" s="79">
        <v>113148</v>
      </c>
      <c r="H71" s="80">
        <f t="shared" si="20"/>
        <v>0.99999116209599737</v>
      </c>
      <c r="I71" s="79"/>
      <c r="J71" s="79"/>
      <c r="K71" s="79"/>
      <c r="L71" s="79"/>
      <c r="M71" s="139"/>
      <c r="N71" s="79">
        <f t="shared" si="21"/>
        <v>113148</v>
      </c>
      <c r="O71" s="20"/>
      <c r="P71" s="30"/>
    </row>
    <row r="72" spans="1:18" s="18" customFormat="1" ht="165" customHeight="1" thickTop="1" thickBot="1" x14ac:dyDescent="0.25">
      <c r="A72" s="67"/>
      <c r="B72" s="84" t="s">
        <v>213</v>
      </c>
      <c r="C72" s="84" t="s">
        <v>94</v>
      </c>
      <c r="D72" s="84" t="s">
        <v>214</v>
      </c>
      <c r="E72" s="79">
        <v>179985</v>
      </c>
      <c r="F72" s="79">
        <v>130000</v>
      </c>
      <c r="G72" s="79">
        <v>0</v>
      </c>
      <c r="H72" s="80">
        <v>0</v>
      </c>
      <c r="I72" s="79"/>
      <c r="J72" s="79"/>
      <c r="K72" s="79"/>
      <c r="L72" s="79"/>
      <c r="M72" s="139"/>
      <c r="N72" s="79">
        <f t="shared" si="21"/>
        <v>0</v>
      </c>
      <c r="O72" s="50" t="s">
        <v>434</v>
      </c>
      <c r="P72" s="30"/>
    </row>
    <row r="73" spans="1:18" ht="138.75" thickTop="1" thickBot="1" x14ac:dyDescent="0.25">
      <c r="A73" s="67" t="s">
        <v>215</v>
      </c>
      <c r="B73" s="84" t="s">
        <v>216</v>
      </c>
      <c r="C73" s="84" t="s">
        <v>84</v>
      </c>
      <c r="D73" s="84" t="s">
        <v>217</v>
      </c>
      <c r="E73" s="79">
        <v>498130</v>
      </c>
      <c r="F73" s="79">
        <v>249065</v>
      </c>
      <c r="G73" s="79">
        <v>221081.35</v>
      </c>
      <c r="H73" s="80">
        <f t="shared" si="20"/>
        <v>0.88764519302190192</v>
      </c>
      <c r="I73" s="79"/>
      <c r="J73" s="79"/>
      <c r="K73" s="79"/>
      <c r="L73" s="79"/>
      <c r="M73" s="139"/>
      <c r="N73" s="79">
        <f t="shared" si="21"/>
        <v>221081.35</v>
      </c>
      <c r="P73" s="30"/>
    </row>
    <row r="74" spans="1:18" s="18" customFormat="1" ht="276" thickTop="1" thickBot="1" x14ac:dyDescent="0.25">
      <c r="A74" s="68" t="s">
        <v>218</v>
      </c>
      <c r="B74" s="86" t="s">
        <v>219</v>
      </c>
      <c r="C74" s="86"/>
      <c r="D74" s="86" t="s">
        <v>220</v>
      </c>
      <c r="E74" s="87">
        <f t="shared" ref="E74:J74" si="27">SUM(E75:E76)</f>
        <v>44020625</v>
      </c>
      <c r="F74" s="87">
        <f t="shared" si="27"/>
        <v>24160067</v>
      </c>
      <c r="G74" s="87">
        <f t="shared" si="27"/>
        <v>22963049.07</v>
      </c>
      <c r="H74" s="88">
        <f t="shared" si="20"/>
        <v>0.95045469327547805</v>
      </c>
      <c r="I74" s="87">
        <f t="shared" si="27"/>
        <v>1025251.62</v>
      </c>
      <c r="J74" s="87">
        <f t="shared" si="27"/>
        <v>671614.72</v>
      </c>
      <c r="K74" s="88">
        <f t="shared" ref="K74:K79" si="28">J74/I74</f>
        <v>0.65507306391771414</v>
      </c>
      <c r="L74" s="87"/>
      <c r="M74" s="87"/>
      <c r="N74" s="87">
        <f t="shared" si="21"/>
        <v>23634663.789999999</v>
      </c>
      <c r="O74" s="20"/>
      <c r="P74" s="31"/>
    </row>
    <row r="75" spans="1:18" ht="276" thickTop="1" thickBot="1" x14ac:dyDescent="0.25">
      <c r="A75" s="67" t="s">
        <v>221</v>
      </c>
      <c r="B75" s="84" t="s">
        <v>222</v>
      </c>
      <c r="C75" s="84" t="s">
        <v>73</v>
      </c>
      <c r="D75" s="84" t="s">
        <v>223</v>
      </c>
      <c r="E75" s="79">
        <v>35494700</v>
      </c>
      <c r="F75" s="79">
        <v>20542575</v>
      </c>
      <c r="G75" s="79">
        <v>19481256.039999999</v>
      </c>
      <c r="H75" s="80">
        <f t="shared" si="20"/>
        <v>0.94833564146656391</v>
      </c>
      <c r="I75" s="79">
        <v>922134.01</v>
      </c>
      <c r="J75" s="79">
        <v>573821.72</v>
      </c>
      <c r="K75" s="80">
        <f t="shared" si="28"/>
        <v>0.62227584470070674</v>
      </c>
      <c r="L75" s="79"/>
      <c r="M75" s="139"/>
      <c r="N75" s="79">
        <f t="shared" si="21"/>
        <v>20055077.759999998</v>
      </c>
      <c r="P75" s="26"/>
    </row>
    <row r="76" spans="1:18" ht="138.75" thickTop="1" thickBot="1" x14ac:dyDescent="0.25">
      <c r="A76" s="67" t="s">
        <v>224</v>
      </c>
      <c r="B76" s="84" t="s">
        <v>225</v>
      </c>
      <c r="C76" s="84" t="s">
        <v>69</v>
      </c>
      <c r="D76" s="84" t="s">
        <v>226</v>
      </c>
      <c r="E76" s="79">
        <v>8525925</v>
      </c>
      <c r="F76" s="79">
        <v>3617492</v>
      </c>
      <c r="G76" s="79">
        <v>3481793.03</v>
      </c>
      <c r="H76" s="80">
        <f t="shared" si="20"/>
        <v>0.96248810778296112</v>
      </c>
      <c r="I76" s="79">
        <v>103117.61</v>
      </c>
      <c r="J76" s="79">
        <v>97793</v>
      </c>
      <c r="K76" s="80">
        <f t="shared" si="28"/>
        <v>0.94836371789454776</v>
      </c>
      <c r="L76" s="79"/>
      <c r="M76" s="139"/>
      <c r="N76" s="79">
        <f t="shared" si="21"/>
        <v>3579586.03</v>
      </c>
      <c r="P76" s="26"/>
    </row>
    <row r="77" spans="1:18" ht="138.75" thickTop="1" thickBot="1" x14ac:dyDescent="0.25">
      <c r="A77" s="67"/>
      <c r="B77" s="86" t="s">
        <v>299</v>
      </c>
      <c r="C77" s="86"/>
      <c r="D77" s="86" t="s">
        <v>300</v>
      </c>
      <c r="E77" s="99">
        <f>E78+E79</f>
        <v>6040461</v>
      </c>
      <c r="F77" s="99">
        <f>F78+F79</f>
        <v>3133898</v>
      </c>
      <c r="G77" s="99">
        <f>G78+G79</f>
        <v>2802119.47</v>
      </c>
      <c r="H77" s="88">
        <f t="shared" si="20"/>
        <v>0.89413231381493596</v>
      </c>
      <c r="I77" s="99">
        <f>I78+I79</f>
        <v>0</v>
      </c>
      <c r="J77" s="99">
        <f>J78+J79</f>
        <v>0</v>
      </c>
      <c r="K77" s="88">
        <v>0</v>
      </c>
      <c r="L77" s="99"/>
      <c r="M77" s="99"/>
      <c r="N77" s="87">
        <f>G77+J77</f>
        <v>2802119.47</v>
      </c>
      <c r="O77" s="50" t="s">
        <v>434</v>
      </c>
      <c r="P77" s="26"/>
    </row>
    <row r="78" spans="1:18" ht="138.75" thickTop="1" thickBot="1" x14ac:dyDescent="0.25">
      <c r="A78" s="67"/>
      <c r="B78" s="84" t="s">
        <v>301</v>
      </c>
      <c r="C78" s="84" t="s">
        <v>142</v>
      </c>
      <c r="D78" s="84" t="s">
        <v>302</v>
      </c>
      <c r="E78" s="78">
        <v>6040461</v>
      </c>
      <c r="F78" s="78">
        <v>3133898</v>
      </c>
      <c r="G78" s="78">
        <v>2802119.47</v>
      </c>
      <c r="H78" s="80">
        <f t="shared" si="20"/>
        <v>0.89413231381493596</v>
      </c>
      <c r="I78" s="78"/>
      <c r="J78" s="142"/>
      <c r="K78" s="80"/>
      <c r="L78" s="142"/>
      <c r="M78" s="139"/>
      <c r="N78" s="79">
        <f t="shared" si="21"/>
        <v>2802119.47</v>
      </c>
      <c r="P78" s="26"/>
    </row>
    <row r="79" spans="1:18" ht="276" hidden="1" thickTop="1" thickBot="1" x14ac:dyDescent="0.25">
      <c r="A79" s="67"/>
      <c r="B79" s="93" t="s">
        <v>464</v>
      </c>
      <c r="C79" s="93" t="s">
        <v>142</v>
      </c>
      <c r="D79" s="93" t="s">
        <v>465</v>
      </c>
      <c r="E79" s="100"/>
      <c r="F79" s="100"/>
      <c r="G79" s="100"/>
      <c r="H79" s="101" t="e">
        <f t="shared" si="20"/>
        <v>#DIV/0!</v>
      </c>
      <c r="I79" s="100"/>
      <c r="J79" s="181"/>
      <c r="K79" s="101" t="e">
        <f t="shared" si="28"/>
        <v>#DIV/0!</v>
      </c>
      <c r="L79" s="181"/>
      <c r="M79" s="182"/>
      <c r="N79" s="94">
        <f t="shared" si="21"/>
        <v>0</v>
      </c>
      <c r="P79" s="26"/>
    </row>
    <row r="80" spans="1:18" ht="93" thickTop="1" thickBot="1" x14ac:dyDescent="0.25">
      <c r="A80" s="67"/>
      <c r="B80" s="86" t="s">
        <v>303</v>
      </c>
      <c r="C80" s="86"/>
      <c r="D80" s="86" t="s">
        <v>304</v>
      </c>
      <c r="E80" s="102">
        <f t="shared" ref="E80:G80" si="29">SUM(E81:E82)</f>
        <v>13001319</v>
      </c>
      <c r="F80" s="102">
        <f t="shared" si="29"/>
        <v>5762758</v>
      </c>
      <c r="G80" s="102">
        <f t="shared" si="29"/>
        <v>4855989.6900000004</v>
      </c>
      <c r="H80" s="88">
        <f t="shared" si="20"/>
        <v>0.84265028828210387</v>
      </c>
      <c r="I80" s="102">
        <f t="shared" ref="I80:J80" si="30">SUM(I81:I82)</f>
        <v>942682.09</v>
      </c>
      <c r="J80" s="102">
        <f t="shared" si="30"/>
        <v>211405.04</v>
      </c>
      <c r="K80" s="80">
        <f t="shared" ref="K80:K82" si="31">J80/I80</f>
        <v>0.22425910308744704</v>
      </c>
      <c r="L80" s="102"/>
      <c r="M80" s="102"/>
      <c r="N80" s="87">
        <f t="shared" si="21"/>
        <v>5067394.7300000004</v>
      </c>
      <c r="P80" s="26"/>
    </row>
    <row r="81" spans="1:16" ht="93" thickTop="1" thickBot="1" x14ac:dyDescent="0.25">
      <c r="A81" s="67"/>
      <c r="B81" s="84" t="s">
        <v>305</v>
      </c>
      <c r="C81" s="84" t="s">
        <v>142</v>
      </c>
      <c r="D81" s="84" t="s">
        <v>306</v>
      </c>
      <c r="E81" s="78">
        <v>4920329</v>
      </c>
      <c r="F81" s="78">
        <v>2549949</v>
      </c>
      <c r="G81" s="78">
        <v>2197454.7200000002</v>
      </c>
      <c r="H81" s="80">
        <f t="shared" si="20"/>
        <v>0.86176418430329393</v>
      </c>
      <c r="I81" s="78">
        <v>903993</v>
      </c>
      <c r="J81" s="142">
        <v>175606.04</v>
      </c>
      <c r="K81" s="80">
        <f t="shared" si="31"/>
        <v>0.19425597322103158</v>
      </c>
      <c r="L81" s="142"/>
      <c r="M81" s="139"/>
      <c r="N81" s="79">
        <f t="shared" si="21"/>
        <v>2373060.7600000002</v>
      </c>
      <c r="P81" s="26"/>
    </row>
    <row r="82" spans="1:16" ht="93" thickTop="1" thickBot="1" x14ac:dyDescent="0.25">
      <c r="A82" s="67"/>
      <c r="B82" s="84" t="s">
        <v>307</v>
      </c>
      <c r="C82" s="84" t="s">
        <v>142</v>
      </c>
      <c r="D82" s="84" t="s">
        <v>308</v>
      </c>
      <c r="E82" s="78">
        <v>8080990</v>
      </c>
      <c r="F82" s="78">
        <v>3212809</v>
      </c>
      <c r="G82" s="78">
        <v>2658534.9700000002</v>
      </c>
      <c r="H82" s="80">
        <f t="shared" si="20"/>
        <v>0.82747993111324081</v>
      </c>
      <c r="I82" s="78">
        <v>38689.089999999997</v>
      </c>
      <c r="J82" s="142">
        <v>35799</v>
      </c>
      <c r="K82" s="80">
        <f t="shared" si="31"/>
        <v>0.92529961288828466</v>
      </c>
      <c r="L82" s="142"/>
      <c r="M82" s="139"/>
      <c r="N82" s="79">
        <f t="shared" si="21"/>
        <v>2694333.97</v>
      </c>
      <c r="P82" s="26"/>
    </row>
    <row r="83" spans="1:16" ht="409.6" thickTop="1" thickBot="1" x14ac:dyDescent="0.25">
      <c r="A83" s="67" t="s">
        <v>227</v>
      </c>
      <c r="B83" s="84" t="s">
        <v>228</v>
      </c>
      <c r="C83" s="84" t="s">
        <v>69</v>
      </c>
      <c r="D83" s="84" t="s">
        <v>229</v>
      </c>
      <c r="E83" s="79">
        <v>3283295</v>
      </c>
      <c r="F83" s="79">
        <v>1641660</v>
      </c>
      <c r="G83" s="79">
        <v>1226137.48</v>
      </c>
      <c r="H83" s="80">
        <f t="shared" si="20"/>
        <v>0.74688880767028498</v>
      </c>
      <c r="I83" s="122"/>
      <c r="J83" s="79"/>
      <c r="K83" s="79"/>
      <c r="L83" s="79"/>
      <c r="M83" s="139"/>
      <c r="N83" s="79">
        <f t="shared" si="21"/>
        <v>1226137.48</v>
      </c>
      <c r="P83" s="30"/>
    </row>
    <row r="84" spans="1:16" ht="138.75" thickTop="1" thickBot="1" x14ac:dyDescent="0.25">
      <c r="A84" s="68" t="s">
        <v>230</v>
      </c>
      <c r="B84" s="86" t="s">
        <v>231</v>
      </c>
      <c r="C84" s="86"/>
      <c r="D84" s="86" t="s">
        <v>232</v>
      </c>
      <c r="E84" s="87">
        <f>E85</f>
        <v>159297</v>
      </c>
      <c r="F84" s="87">
        <f t="shared" ref="F84:G84" si="32">F85</f>
        <v>79648</v>
      </c>
      <c r="G84" s="87">
        <f t="shared" si="32"/>
        <v>72613.240000000005</v>
      </c>
      <c r="H84" s="88">
        <f t="shared" si="20"/>
        <v>0.91167687826436328</v>
      </c>
      <c r="I84" s="87"/>
      <c r="J84" s="87"/>
      <c r="K84" s="88"/>
      <c r="L84" s="87"/>
      <c r="M84" s="87"/>
      <c r="N84" s="87">
        <f t="shared" si="21"/>
        <v>72613.240000000005</v>
      </c>
      <c r="O84" s="50"/>
      <c r="P84" s="30"/>
    </row>
    <row r="85" spans="1:16" ht="276" thickTop="1" thickBot="1" x14ac:dyDescent="0.25">
      <c r="A85" s="67" t="s">
        <v>233</v>
      </c>
      <c r="B85" s="84" t="s">
        <v>234</v>
      </c>
      <c r="C85" s="84" t="s">
        <v>69</v>
      </c>
      <c r="D85" s="84" t="s">
        <v>235</v>
      </c>
      <c r="E85" s="79">
        <v>159297</v>
      </c>
      <c r="F85" s="79">
        <v>79648</v>
      </c>
      <c r="G85" s="79">
        <v>72613.240000000005</v>
      </c>
      <c r="H85" s="80">
        <f t="shared" si="20"/>
        <v>0.91167687826436328</v>
      </c>
      <c r="I85" s="122"/>
      <c r="J85" s="79"/>
      <c r="K85" s="79"/>
      <c r="L85" s="79"/>
      <c r="M85" s="139"/>
      <c r="N85" s="79">
        <f t="shared" si="21"/>
        <v>72613.240000000005</v>
      </c>
      <c r="P85" s="30"/>
    </row>
    <row r="86" spans="1:16" ht="367.5" thickTop="1" thickBot="1" x14ac:dyDescent="0.25">
      <c r="A86" s="67" t="s">
        <v>236</v>
      </c>
      <c r="B86" s="84" t="s">
        <v>237</v>
      </c>
      <c r="C86" s="84" t="s">
        <v>89</v>
      </c>
      <c r="D86" s="84" t="s">
        <v>238</v>
      </c>
      <c r="E86" s="79">
        <v>2842500</v>
      </c>
      <c r="F86" s="79">
        <v>1400000</v>
      </c>
      <c r="G86" s="79">
        <v>1373072.66</v>
      </c>
      <c r="H86" s="80">
        <f t="shared" si="20"/>
        <v>0.98076618571428564</v>
      </c>
      <c r="I86" s="122"/>
      <c r="J86" s="79"/>
      <c r="K86" s="79"/>
      <c r="L86" s="79"/>
      <c r="M86" s="139"/>
      <c r="N86" s="79">
        <f t="shared" si="21"/>
        <v>1373072.66</v>
      </c>
      <c r="P86" s="30"/>
    </row>
    <row r="87" spans="1:16" s="18" customFormat="1" ht="93" thickTop="1" thickBot="1" x14ac:dyDescent="0.25">
      <c r="A87" s="68" t="s">
        <v>239</v>
      </c>
      <c r="B87" s="86" t="s">
        <v>240</v>
      </c>
      <c r="C87" s="86"/>
      <c r="D87" s="86" t="s">
        <v>241</v>
      </c>
      <c r="E87" s="87">
        <f t="shared" ref="E87:G87" si="33">E88</f>
        <v>758000</v>
      </c>
      <c r="F87" s="87">
        <f t="shared" si="33"/>
        <v>384000</v>
      </c>
      <c r="G87" s="87">
        <f t="shared" si="33"/>
        <v>143687.62</v>
      </c>
      <c r="H87" s="88">
        <f t="shared" si="20"/>
        <v>0.37418651041666667</v>
      </c>
      <c r="I87" s="87"/>
      <c r="J87" s="87"/>
      <c r="K87" s="88"/>
      <c r="L87" s="87"/>
      <c r="M87" s="87"/>
      <c r="N87" s="87">
        <f>G87+J87</f>
        <v>143687.62</v>
      </c>
      <c r="O87" s="50"/>
      <c r="P87" s="31"/>
    </row>
    <row r="88" spans="1:16" ht="230.25" thickTop="1" thickBot="1" x14ac:dyDescent="0.25">
      <c r="A88" s="67" t="s">
        <v>242</v>
      </c>
      <c r="B88" s="84" t="s">
        <v>243</v>
      </c>
      <c r="C88" s="84" t="s">
        <v>84</v>
      </c>
      <c r="D88" s="84" t="s">
        <v>244</v>
      </c>
      <c r="E88" s="79">
        <v>758000</v>
      </c>
      <c r="F88" s="79">
        <v>384000</v>
      </c>
      <c r="G88" s="79">
        <v>143687.62</v>
      </c>
      <c r="H88" s="80">
        <f t="shared" si="20"/>
        <v>0.37418651041666667</v>
      </c>
      <c r="I88" s="79"/>
      <c r="J88" s="79"/>
      <c r="K88" s="79"/>
      <c r="L88" s="79"/>
      <c r="M88" s="139"/>
      <c r="N88" s="79">
        <f t="shared" si="21"/>
        <v>143687.62</v>
      </c>
      <c r="P88" s="30"/>
    </row>
    <row r="89" spans="1:16" s="18" customFormat="1" ht="184.5" thickTop="1" thickBot="1" x14ac:dyDescent="0.25">
      <c r="A89" s="68" t="s">
        <v>245</v>
      </c>
      <c r="B89" s="86" t="s">
        <v>246</v>
      </c>
      <c r="C89" s="86"/>
      <c r="D89" s="86" t="s">
        <v>247</v>
      </c>
      <c r="E89" s="87">
        <f t="shared" ref="E89:J89" si="34">E90</f>
        <v>107000</v>
      </c>
      <c r="F89" s="87">
        <f t="shared" si="34"/>
        <v>54600</v>
      </c>
      <c r="G89" s="87">
        <f t="shared" si="34"/>
        <v>0</v>
      </c>
      <c r="H89" s="88">
        <f>G89/F89</f>
        <v>0</v>
      </c>
      <c r="I89" s="87">
        <f t="shared" si="34"/>
        <v>0</v>
      </c>
      <c r="J89" s="87">
        <f t="shared" si="34"/>
        <v>0</v>
      </c>
      <c r="K89" s="80">
        <v>0</v>
      </c>
      <c r="L89" s="87"/>
      <c r="M89" s="87"/>
      <c r="N89" s="87">
        <f>G89+J89</f>
        <v>0</v>
      </c>
      <c r="O89" s="50" t="s">
        <v>434</v>
      </c>
      <c r="P89" s="31"/>
    </row>
    <row r="90" spans="1:16" ht="93" thickTop="1" thickBot="1" x14ac:dyDescent="0.25">
      <c r="A90" s="67" t="s">
        <v>248</v>
      </c>
      <c r="B90" s="84" t="s">
        <v>249</v>
      </c>
      <c r="C90" s="84" t="s">
        <v>250</v>
      </c>
      <c r="D90" s="84" t="s">
        <v>251</v>
      </c>
      <c r="E90" s="79">
        <v>107000</v>
      </c>
      <c r="F90" s="79">
        <v>54600</v>
      </c>
      <c r="G90" s="79">
        <v>0</v>
      </c>
      <c r="H90" s="80">
        <f t="shared" si="20"/>
        <v>0</v>
      </c>
      <c r="I90" s="79"/>
      <c r="J90" s="79"/>
      <c r="K90" s="80"/>
      <c r="L90" s="79"/>
      <c r="M90" s="139"/>
      <c r="N90" s="79">
        <f>G90+J90</f>
        <v>0</v>
      </c>
      <c r="P90" s="30"/>
    </row>
    <row r="91" spans="1:16" ht="230.25" hidden="1" thickTop="1" thickBot="1" x14ac:dyDescent="0.25">
      <c r="A91" s="67"/>
      <c r="B91" s="95" t="s">
        <v>477</v>
      </c>
      <c r="C91" s="95"/>
      <c r="D91" s="95" t="s">
        <v>478</v>
      </c>
      <c r="E91" s="96">
        <f>E92+E95+E99+E102</f>
        <v>0</v>
      </c>
      <c r="F91" s="96">
        <f t="shared" ref="F91:G91" si="35">F92+F95+F99+F102</f>
        <v>0</v>
      </c>
      <c r="G91" s="96">
        <f t="shared" si="35"/>
        <v>0</v>
      </c>
      <c r="H91" s="101">
        <v>0</v>
      </c>
      <c r="I91" s="96">
        <f>I92+I95+I99+I102</f>
        <v>0</v>
      </c>
      <c r="J91" s="96">
        <f>J92+J95+J99+J102</f>
        <v>0</v>
      </c>
      <c r="K91" s="114" t="e">
        <f>J91/I91</f>
        <v>#DIV/0!</v>
      </c>
      <c r="L91" s="94"/>
      <c r="M91" s="182"/>
      <c r="N91" s="96">
        <f>G91+J91</f>
        <v>0</v>
      </c>
      <c r="O91" s="50" t="s">
        <v>434</v>
      </c>
      <c r="P91" s="30"/>
    </row>
    <row r="92" spans="1:16" ht="409.6" hidden="1" thickTop="1" thickBot="1" x14ac:dyDescent="0.7">
      <c r="A92" s="67"/>
      <c r="B92" s="157" t="s">
        <v>479</v>
      </c>
      <c r="C92" s="157" t="s">
        <v>89</v>
      </c>
      <c r="D92" s="103" t="s">
        <v>480</v>
      </c>
      <c r="E92" s="160"/>
      <c r="F92" s="160"/>
      <c r="G92" s="160"/>
      <c r="H92" s="160"/>
      <c r="I92" s="160"/>
      <c r="J92" s="160"/>
      <c r="K92" s="183" t="e">
        <f>J92/I92</f>
        <v>#DIV/0!</v>
      </c>
      <c r="L92" s="94"/>
      <c r="M92" s="182"/>
      <c r="N92" s="160">
        <f>G92+J92</f>
        <v>0</v>
      </c>
      <c r="P92" s="30"/>
    </row>
    <row r="93" spans="1:16" ht="409.6" hidden="1" thickTop="1" thickBot="1" x14ac:dyDescent="0.25">
      <c r="A93" s="67"/>
      <c r="B93" s="158"/>
      <c r="C93" s="158"/>
      <c r="D93" s="104" t="s">
        <v>481</v>
      </c>
      <c r="E93" s="161"/>
      <c r="F93" s="161"/>
      <c r="G93" s="161"/>
      <c r="H93" s="161"/>
      <c r="I93" s="161"/>
      <c r="J93" s="161"/>
      <c r="K93" s="184"/>
      <c r="L93" s="94"/>
      <c r="M93" s="182"/>
      <c r="N93" s="161"/>
      <c r="P93" s="30"/>
    </row>
    <row r="94" spans="1:16" ht="409.6" hidden="1" thickTop="1" thickBot="1" x14ac:dyDescent="0.25">
      <c r="A94" s="67"/>
      <c r="B94" s="159"/>
      <c r="C94" s="159"/>
      <c r="D94" s="105" t="s">
        <v>482</v>
      </c>
      <c r="E94" s="162"/>
      <c r="F94" s="162"/>
      <c r="G94" s="162"/>
      <c r="H94" s="162"/>
      <c r="I94" s="162"/>
      <c r="J94" s="162"/>
      <c r="K94" s="185"/>
      <c r="L94" s="94"/>
      <c r="M94" s="182"/>
      <c r="N94" s="162"/>
      <c r="P94" s="30"/>
    </row>
    <row r="95" spans="1:16" ht="409.6" hidden="1" thickTop="1" thickBot="1" x14ac:dyDescent="0.7">
      <c r="A95" s="67"/>
      <c r="B95" s="157" t="s">
        <v>483</v>
      </c>
      <c r="C95" s="157" t="s">
        <v>89</v>
      </c>
      <c r="D95" s="103" t="s">
        <v>484</v>
      </c>
      <c r="E95" s="160"/>
      <c r="F95" s="160"/>
      <c r="G95" s="160"/>
      <c r="H95" s="160"/>
      <c r="I95" s="160"/>
      <c r="J95" s="160"/>
      <c r="K95" s="183" t="e">
        <f>J95/I95</f>
        <v>#DIV/0!</v>
      </c>
      <c r="L95" s="94"/>
      <c r="M95" s="182"/>
      <c r="N95" s="160">
        <f>G95+J95</f>
        <v>0</v>
      </c>
      <c r="P95" s="30"/>
    </row>
    <row r="96" spans="1:16" ht="409.6" hidden="1" thickTop="1" thickBot="1" x14ac:dyDescent="0.25">
      <c r="A96" s="67"/>
      <c r="B96" s="158"/>
      <c r="C96" s="158"/>
      <c r="D96" s="104" t="s">
        <v>485</v>
      </c>
      <c r="E96" s="161"/>
      <c r="F96" s="161"/>
      <c r="G96" s="161"/>
      <c r="H96" s="161"/>
      <c r="I96" s="161"/>
      <c r="J96" s="161"/>
      <c r="K96" s="184"/>
      <c r="L96" s="94"/>
      <c r="M96" s="182"/>
      <c r="N96" s="161"/>
      <c r="P96" s="30"/>
    </row>
    <row r="97" spans="1:16" ht="409.6" hidden="1" thickTop="1" thickBot="1" x14ac:dyDescent="0.25">
      <c r="A97" s="67"/>
      <c r="B97" s="158"/>
      <c r="C97" s="158"/>
      <c r="D97" s="104" t="s">
        <v>486</v>
      </c>
      <c r="E97" s="161"/>
      <c r="F97" s="161"/>
      <c r="G97" s="161"/>
      <c r="H97" s="161"/>
      <c r="I97" s="161"/>
      <c r="J97" s="161"/>
      <c r="K97" s="184"/>
      <c r="L97" s="94"/>
      <c r="M97" s="182"/>
      <c r="N97" s="161"/>
      <c r="P97" s="30"/>
    </row>
    <row r="98" spans="1:16" ht="184.5" hidden="1" thickTop="1" thickBot="1" x14ac:dyDescent="0.25">
      <c r="A98" s="67"/>
      <c r="B98" s="159"/>
      <c r="C98" s="159"/>
      <c r="D98" s="105" t="s">
        <v>487</v>
      </c>
      <c r="E98" s="162"/>
      <c r="F98" s="162"/>
      <c r="G98" s="162"/>
      <c r="H98" s="162"/>
      <c r="I98" s="162"/>
      <c r="J98" s="162"/>
      <c r="K98" s="185"/>
      <c r="L98" s="94"/>
      <c r="M98" s="182"/>
      <c r="N98" s="162"/>
      <c r="P98" s="30"/>
    </row>
    <row r="99" spans="1:16" ht="409.6" hidden="1" thickTop="1" thickBot="1" x14ac:dyDescent="0.7">
      <c r="A99" s="67"/>
      <c r="B99" s="157" t="s">
        <v>488</v>
      </c>
      <c r="C99" s="157" t="s">
        <v>89</v>
      </c>
      <c r="D99" s="103" t="s">
        <v>489</v>
      </c>
      <c r="E99" s="160"/>
      <c r="F99" s="160"/>
      <c r="G99" s="160"/>
      <c r="H99" s="160"/>
      <c r="I99" s="160"/>
      <c r="J99" s="160"/>
      <c r="K99" s="183" t="e">
        <f>J99/I99</f>
        <v>#DIV/0!</v>
      </c>
      <c r="L99" s="94"/>
      <c r="M99" s="182"/>
      <c r="N99" s="160">
        <f>G99+J99</f>
        <v>0</v>
      </c>
      <c r="P99" s="30"/>
    </row>
    <row r="100" spans="1:16" ht="409.6" hidden="1" thickTop="1" thickBot="1" x14ac:dyDescent="0.25">
      <c r="A100" s="67"/>
      <c r="B100" s="158"/>
      <c r="C100" s="158"/>
      <c r="D100" s="104" t="s">
        <v>490</v>
      </c>
      <c r="E100" s="161"/>
      <c r="F100" s="161"/>
      <c r="G100" s="161"/>
      <c r="H100" s="161"/>
      <c r="I100" s="161"/>
      <c r="J100" s="161"/>
      <c r="K100" s="184"/>
      <c r="L100" s="94"/>
      <c r="M100" s="182"/>
      <c r="N100" s="161"/>
      <c r="P100" s="30"/>
    </row>
    <row r="101" spans="1:16" ht="138.75" hidden="1" thickTop="1" thickBot="1" x14ac:dyDescent="0.25">
      <c r="A101" s="67"/>
      <c r="B101" s="159"/>
      <c r="C101" s="159"/>
      <c r="D101" s="105" t="s">
        <v>491</v>
      </c>
      <c r="E101" s="162"/>
      <c r="F101" s="162"/>
      <c r="G101" s="162"/>
      <c r="H101" s="162"/>
      <c r="I101" s="162"/>
      <c r="J101" s="162"/>
      <c r="K101" s="185"/>
      <c r="L101" s="94"/>
      <c r="M101" s="182"/>
      <c r="N101" s="162"/>
      <c r="P101" s="30"/>
    </row>
    <row r="102" spans="1:16" ht="409.6" hidden="1" thickTop="1" thickBot="1" x14ac:dyDescent="0.7">
      <c r="A102" s="67"/>
      <c r="B102" s="157" t="s">
        <v>492</v>
      </c>
      <c r="C102" s="157" t="s">
        <v>89</v>
      </c>
      <c r="D102" s="103" t="s">
        <v>493</v>
      </c>
      <c r="E102" s="160"/>
      <c r="F102" s="160"/>
      <c r="G102" s="160"/>
      <c r="H102" s="160"/>
      <c r="I102" s="160"/>
      <c r="J102" s="160"/>
      <c r="K102" s="183" t="e">
        <f>J102/I102</f>
        <v>#DIV/0!</v>
      </c>
      <c r="L102" s="94"/>
      <c r="M102" s="182"/>
      <c r="N102" s="160">
        <f t="shared" si="21"/>
        <v>0</v>
      </c>
      <c r="P102" s="30"/>
    </row>
    <row r="103" spans="1:16" ht="367.5" hidden="1" thickTop="1" thickBot="1" x14ac:dyDescent="0.25">
      <c r="A103" s="67"/>
      <c r="B103" s="158"/>
      <c r="C103" s="158"/>
      <c r="D103" s="104" t="s">
        <v>494</v>
      </c>
      <c r="E103" s="161"/>
      <c r="F103" s="161"/>
      <c r="G103" s="161"/>
      <c r="H103" s="161"/>
      <c r="I103" s="161"/>
      <c r="J103" s="161"/>
      <c r="K103" s="184"/>
      <c r="L103" s="94"/>
      <c r="M103" s="182"/>
      <c r="N103" s="161"/>
      <c r="P103" s="30"/>
    </row>
    <row r="104" spans="1:16" ht="93" hidden="1" thickTop="1" thickBot="1" x14ac:dyDescent="0.25">
      <c r="A104" s="67"/>
      <c r="B104" s="159"/>
      <c r="C104" s="159"/>
      <c r="D104" s="105" t="s">
        <v>495</v>
      </c>
      <c r="E104" s="162"/>
      <c r="F104" s="162"/>
      <c r="G104" s="162"/>
      <c r="H104" s="162"/>
      <c r="I104" s="162"/>
      <c r="J104" s="162"/>
      <c r="K104" s="185"/>
      <c r="L104" s="94"/>
      <c r="M104" s="182"/>
      <c r="N104" s="162"/>
      <c r="P104" s="30"/>
    </row>
    <row r="105" spans="1:16" ht="230.25" thickTop="1" thickBot="1" x14ac:dyDescent="0.25">
      <c r="A105" s="67"/>
      <c r="B105" s="84" t="s">
        <v>542</v>
      </c>
      <c r="C105" s="106" t="s">
        <v>94</v>
      </c>
      <c r="D105" s="107" t="s">
        <v>543</v>
      </c>
      <c r="E105" s="108">
        <v>1284000</v>
      </c>
      <c r="F105" s="108">
        <v>1284000</v>
      </c>
      <c r="G105" s="108">
        <v>1249469.4099999999</v>
      </c>
      <c r="H105" s="80">
        <f t="shared" si="20"/>
        <v>0.97310701713395631</v>
      </c>
      <c r="I105" s="108"/>
      <c r="J105" s="108"/>
      <c r="K105" s="186"/>
      <c r="L105" s="79"/>
      <c r="M105" s="139"/>
      <c r="N105" s="108"/>
      <c r="P105" s="30"/>
    </row>
    <row r="106" spans="1:16" s="18" customFormat="1" ht="93" thickTop="1" thickBot="1" x14ac:dyDescent="0.25">
      <c r="A106" s="68" t="s">
        <v>252</v>
      </c>
      <c r="B106" s="86" t="s">
        <v>253</v>
      </c>
      <c r="C106" s="86"/>
      <c r="D106" s="86" t="s">
        <v>254</v>
      </c>
      <c r="E106" s="87">
        <f t="shared" ref="E106:J106" si="36">SUM(E107:E108)</f>
        <v>36472882</v>
      </c>
      <c r="F106" s="87">
        <f t="shared" si="36"/>
        <v>21855703.700000003</v>
      </c>
      <c r="G106" s="87">
        <f t="shared" si="36"/>
        <v>18097318.09</v>
      </c>
      <c r="H106" s="88">
        <f t="shared" si="20"/>
        <v>0.82803639445386501</v>
      </c>
      <c r="I106" s="87">
        <f t="shared" si="36"/>
        <v>9623077.5299999993</v>
      </c>
      <c r="J106" s="87">
        <f t="shared" si="36"/>
        <v>747577.48</v>
      </c>
      <c r="K106" s="88">
        <f t="shared" ref="K106:K108" si="37">J106/I106</f>
        <v>7.7685904293031294E-2</v>
      </c>
      <c r="L106" s="87"/>
      <c r="M106" s="87"/>
      <c r="N106" s="87">
        <f t="shared" si="21"/>
        <v>18844895.57</v>
      </c>
      <c r="O106" s="20"/>
      <c r="P106" s="31"/>
    </row>
    <row r="107" spans="1:16" ht="184.5" thickTop="1" thickBot="1" x14ac:dyDescent="0.25">
      <c r="A107" s="67" t="s">
        <v>255</v>
      </c>
      <c r="B107" s="84" t="s">
        <v>256</v>
      </c>
      <c r="C107" s="84" t="s">
        <v>98</v>
      </c>
      <c r="D107" s="97" t="s">
        <v>257</v>
      </c>
      <c r="E107" s="79">
        <v>12724065</v>
      </c>
      <c r="F107" s="78">
        <v>5365425.9800000004</v>
      </c>
      <c r="G107" s="78">
        <v>5065886.28</v>
      </c>
      <c r="H107" s="80">
        <f t="shared" si="20"/>
        <v>0.94417224259237653</v>
      </c>
      <c r="I107" s="79">
        <v>9157177.5299999993</v>
      </c>
      <c r="J107" s="79">
        <v>747577.48</v>
      </c>
      <c r="K107" s="80">
        <f t="shared" si="37"/>
        <v>8.163841724710999E-2</v>
      </c>
      <c r="L107" s="79"/>
      <c r="M107" s="139"/>
      <c r="N107" s="79">
        <f t="shared" si="21"/>
        <v>5813463.7599999998</v>
      </c>
      <c r="P107" s="26"/>
    </row>
    <row r="108" spans="1:16" ht="138.75" thickTop="1" thickBot="1" x14ac:dyDescent="0.25">
      <c r="A108" s="67" t="s">
        <v>258</v>
      </c>
      <c r="B108" s="84" t="s">
        <v>259</v>
      </c>
      <c r="C108" s="84" t="s">
        <v>98</v>
      </c>
      <c r="D108" s="97" t="s">
        <v>260</v>
      </c>
      <c r="E108" s="79">
        <v>23748817</v>
      </c>
      <c r="F108" s="79">
        <v>16490277.720000001</v>
      </c>
      <c r="G108" s="79">
        <v>13031431.810000001</v>
      </c>
      <c r="H108" s="80">
        <f t="shared" si="20"/>
        <v>0.79024938398672406</v>
      </c>
      <c r="I108" s="79">
        <v>465900</v>
      </c>
      <c r="J108" s="79">
        <v>0</v>
      </c>
      <c r="K108" s="80">
        <f t="shared" si="37"/>
        <v>0</v>
      </c>
      <c r="L108" s="79"/>
      <c r="M108" s="139"/>
      <c r="N108" s="79">
        <f t="shared" si="21"/>
        <v>13031431.810000001</v>
      </c>
      <c r="P108" s="26"/>
    </row>
    <row r="109" spans="1:16" s="11" customFormat="1" ht="92.25" customHeight="1" thickTop="1" thickBot="1" x14ac:dyDescent="0.25">
      <c r="A109" s="66" t="s">
        <v>271</v>
      </c>
      <c r="B109" s="82" t="s">
        <v>272</v>
      </c>
      <c r="C109" s="82"/>
      <c r="D109" s="83" t="s">
        <v>273</v>
      </c>
      <c r="E109" s="81">
        <f>SUM(E110:E117)-E115</f>
        <v>66472685</v>
      </c>
      <c r="F109" s="81">
        <f t="shared" ref="F109:J109" si="38">SUM(F110:F117)-F115</f>
        <v>31332533</v>
      </c>
      <c r="G109" s="81">
        <f t="shared" si="38"/>
        <v>30326616.469999999</v>
      </c>
      <c r="H109" s="85">
        <f>G109/F109</f>
        <v>0.96789546092554979</v>
      </c>
      <c r="I109" s="81">
        <f t="shared" si="38"/>
        <v>5751932.7400000002</v>
      </c>
      <c r="J109" s="81">
        <f t="shared" si="38"/>
        <v>460228.36</v>
      </c>
      <c r="K109" s="85">
        <f>J109/I109</f>
        <v>8.0012820177726901E-2</v>
      </c>
      <c r="L109" s="81"/>
      <c r="M109" s="81"/>
      <c r="N109" s="141">
        <f>J109+G109</f>
        <v>30786844.829999998</v>
      </c>
      <c r="O109" s="53" t="b">
        <f>N109=N110+N111+N112+N113+N116+N117</f>
        <v>0</v>
      </c>
      <c r="P109" s="30"/>
    </row>
    <row r="110" spans="1:16" ht="93" thickTop="1" thickBot="1" x14ac:dyDescent="0.25">
      <c r="A110" s="67" t="s">
        <v>274</v>
      </c>
      <c r="B110" s="84" t="s">
        <v>275</v>
      </c>
      <c r="C110" s="84" t="s">
        <v>276</v>
      </c>
      <c r="D110" s="84" t="s">
        <v>277</v>
      </c>
      <c r="E110" s="79">
        <v>1100800</v>
      </c>
      <c r="F110" s="79">
        <v>550398</v>
      </c>
      <c r="G110" s="79">
        <v>545357.24</v>
      </c>
      <c r="H110" s="80">
        <f t="shared" ref="H110:H132" si="39">G110/F110</f>
        <v>0.99084160916282393</v>
      </c>
      <c r="I110" s="79"/>
      <c r="J110" s="79"/>
      <c r="K110" s="79"/>
      <c r="L110" s="79"/>
      <c r="M110" s="139"/>
      <c r="N110" s="79">
        <f t="shared" ref="N110:N132" si="40">G110+J110</f>
        <v>545357.24</v>
      </c>
      <c r="P110" s="30"/>
    </row>
    <row r="111" spans="1:16" ht="93" thickTop="1" thickBot="1" x14ac:dyDescent="0.25">
      <c r="A111" s="67" t="s">
        <v>278</v>
      </c>
      <c r="B111" s="84" t="s">
        <v>279</v>
      </c>
      <c r="C111" s="84" t="s">
        <v>280</v>
      </c>
      <c r="D111" s="84" t="s">
        <v>281</v>
      </c>
      <c r="E111" s="79">
        <v>15273555</v>
      </c>
      <c r="F111" s="79">
        <v>7551435</v>
      </c>
      <c r="G111" s="79">
        <v>7400857.7999999998</v>
      </c>
      <c r="H111" s="80">
        <f t="shared" si="39"/>
        <v>0.98005978996045118</v>
      </c>
      <c r="I111" s="79">
        <v>252513.83</v>
      </c>
      <c r="J111" s="79">
        <v>147679.73000000001</v>
      </c>
      <c r="K111" s="80">
        <f t="shared" ref="K111:K116" si="41">J111/I111</f>
        <v>0.58483818490258543</v>
      </c>
      <c r="L111" s="79"/>
      <c r="M111" s="139"/>
      <c r="N111" s="79">
        <f t="shared" si="40"/>
        <v>7548537.5300000003</v>
      </c>
      <c r="P111" s="26"/>
    </row>
    <row r="112" spans="1:16" ht="93" thickTop="1" thickBot="1" x14ac:dyDescent="0.25">
      <c r="A112" s="67" t="s">
        <v>282</v>
      </c>
      <c r="B112" s="84" t="s">
        <v>283</v>
      </c>
      <c r="C112" s="84" t="s">
        <v>280</v>
      </c>
      <c r="D112" s="84" t="s">
        <v>284</v>
      </c>
      <c r="E112" s="79">
        <v>2274910</v>
      </c>
      <c r="F112" s="79">
        <v>1110096</v>
      </c>
      <c r="G112" s="79">
        <v>995676.06</v>
      </c>
      <c r="H112" s="80">
        <f t="shared" si="39"/>
        <v>0.89692788731785367</v>
      </c>
      <c r="I112" s="79">
        <v>4738920</v>
      </c>
      <c r="J112" s="79">
        <v>13997.35</v>
      </c>
      <c r="K112" s="80">
        <f t="shared" si="41"/>
        <v>2.9537004211930146E-3</v>
      </c>
      <c r="L112" s="79"/>
      <c r="M112" s="139"/>
      <c r="N112" s="79">
        <f t="shared" si="40"/>
        <v>1009673.41</v>
      </c>
      <c r="P112" s="26"/>
    </row>
    <row r="113" spans="1:16" ht="184.5" thickTop="1" thickBot="1" x14ac:dyDescent="0.25">
      <c r="A113" s="67" t="s">
        <v>285</v>
      </c>
      <c r="B113" s="84" t="s">
        <v>286</v>
      </c>
      <c r="C113" s="84" t="s">
        <v>287</v>
      </c>
      <c r="D113" s="84" t="s">
        <v>288</v>
      </c>
      <c r="E113" s="79">
        <v>16744655</v>
      </c>
      <c r="F113" s="79">
        <v>7869587</v>
      </c>
      <c r="G113" s="79">
        <v>7585371.5899999999</v>
      </c>
      <c r="H113" s="80">
        <f t="shared" si="39"/>
        <v>0.96388432963508752</v>
      </c>
      <c r="I113" s="79">
        <v>481300</v>
      </c>
      <c r="J113" s="79">
        <v>165762.37</v>
      </c>
      <c r="K113" s="80">
        <f t="shared" si="41"/>
        <v>0.34440550592146268</v>
      </c>
      <c r="L113" s="79"/>
      <c r="M113" s="139"/>
      <c r="N113" s="79">
        <f t="shared" si="40"/>
        <v>7751133.96</v>
      </c>
      <c r="P113" s="26"/>
    </row>
    <row r="114" spans="1:16" ht="93" thickTop="1" thickBot="1" x14ac:dyDescent="0.25">
      <c r="A114" s="67"/>
      <c r="B114" s="84" t="s">
        <v>544</v>
      </c>
      <c r="C114" s="84" t="s">
        <v>545</v>
      </c>
      <c r="D114" s="84" t="s">
        <v>546</v>
      </c>
      <c r="E114" s="79">
        <v>334365</v>
      </c>
      <c r="F114" s="79">
        <v>334365</v>
      </c>
      <c r="G114" s="79">
        <v>334365</v>
      </c>
      <c r="H114" s="80">
        <f t="shared" si="39"/>
        <v>1</v>
      </c>
      <c r="I114" s="79"/>
      <c r="J114" s="79"/>
      <c r="K114" s="80"/>
      <c r="L114" s="79"/>
      <c r="M114" s="139"/>
      <c r="N114" s="79"/>
      <c r="P114" s="26"/>
    </row>
    <row r="115" spans="1:16" ht="93" thickTop="1" thickBot="1" x14ac:dyDescent="0.25">
      <c r="A115" s="68" t="s">
        <v>289</v>
      </c>
      <c r="B115" s="86" t="s">
        <v>290</v>
      </c>
      <c r="C115" s="86"/>
      <c r="D115" s="86" t="s">
        <v>291</v>
      </c>
      <c r="E115" s="87">
        <f t="shared" ref="E115:J115" si="42">SUM(E116:E117)</f>
        <v>30744400</v>
      </c>
      <c r="F115" s="87">
        <f t="shared" si="42"/>
        <v>13916652</v>
      </c>
      <c r="G115" s="87">
        <f t="shared" si="42"/>
        <v>13464988.779999999</v>
      </c>
      <c r="H115" s="88">
        <f t="shared" si="39"/>
        <v>0.96754512364036982</v>
      </c>
      <c r="I115" s="87">
        <f t="shared" si="42"/>
        <v>279198.90999999997</v>
      </c>
      <c r="J115" s="87">
        <f t="shared" si="42"/>
        <v>132788.91</v>
      </c>
      <c r="K115" s="88">
        <f t="shared" si="41"/>
        <v>0.47560683528456477</v>
      </c>
      <c r="L115" s="87"/>
      <c r="M115" s="87"/>
      <c r="N115" s="87">
        <f t="shared" si="40"/>
        <v>13597777.689999999</v>
      </c>
      <c r="P115" s="26"/>
    </row>
    <row r="116" spans="1:16" ht="138.75" thickTop="1" thickBot="1" x14ac:dyDescent="0.25">
      <c r="A116" s="67" t="s">
        <v>292</v>
      </c>
      <c r="B116" s="84" t="s">
        <v>293</v>
      </c>
      <c r="C116" s="84" t="s">
        <v>294</v>
      </c>
      <c r="D116" s="84" t="s">
        <v>295</v>
      </c>
      <c r="E116" s="79">
        <v>23987945</v>
      </c>
      <c r="F116" s="79">
        <v>13296852</v>
      </c>
      <c r="G116" s="79">
        <v>12877099.789999999</v>
      </c>
      <c r="H116" s="80">
        <f t="shared" si="39"/>
        <v>0.96843221162422499</v>
      </c>
      <c r="I116" s="79">
        <v>279198.90999999997</v>
      </c>
      <c r="J116" s="79">
        <v>132788.91</v>
      </c>
      <c r="K116" s="80">
        <f t="shared" si="41"/>
        <v>0.47560683528456477</v>
      </c>
      <c r="L116" s="79"/>
      <c r="M116" s="139"/>
      <c r="N116" s="79">
        <f t="shared" si="40"/>
        <v>13009888.699999999</v>
      </c>
      <c r="P116" s="30"/>
    </row>
    <row r="117" spans="1:16" ht="93" thickTop="1" thickBot="1" x14ac:dyDescent="0.25">
      <c r="A117" s="67" t="s">
        <v>296</v>
      </c>
      <c r="B117" s="84" t="s">
        <v>297</v>
      </c>
      <c r="C117" s="84" t="s">
        <v>294</v>
      </c>
      <c r="D117" s="84" t="s">
        <v>298</v>
      </c>
      <c r="E117" s="79">
        <v>6756455</v>
      </c>
      <c r="F117" s="79">
        <v>619800</v>
      </c>
      <c r="G117" s="79">
        <v>587888.99</v>
      </c>
      <c r="H117" s="80">
        <f t="shared" si="39"/>
        <v>0.94851402065182311</v>
      </c>
      <c r="I117" s="79"/>
      <c r="J117" s="79"/>
      <c r="K117" s="79"/>
      <c r="L117" s="79"/>
      <c r="M117" s="139"/>
      <c r="N117" s="79">
        <f t="shared" si="40"/>
        <v>587888.99</v>
      </c>
      <c r="P117" s="30"/>
    </row>
    <row r="118" spans="1:16" ht="77.25" customHeight="1" thickTop="1" thickBot="1" x14ac:dyDescent="0.25">
      <c r="A118" s="66" t="s">
        <v>309</v>
      </c>
      <c r="B118" s="82" t="s">
        <v>310</v>
      </c>
      <c r="C118" s="82"/>
      <c r="D118" s="83" t="s">
        <v>311</v>
      </c>
      <c r="E118" s="81">
        <f>SUM(E119:E132)-E119-E122-E124-E129-E127</f>
        <v>93488144</v>
      </c>
      <c r="F118" s="81">
        <f>SUM(F119:F132)-F119-F122-F124-F129-F127</f>
        <v>37568055</v>
      </c>
      <c r="G118" s="81">
        <f>SUM(G119:G132)-G119-G122-G124-G129-G127</f>
        <v>33050135.47000001</v>
      </c>
      <c r="H118" s="85">
        <f>G118/F118</f>
        <v>0.87974039300144791</v>
      </c>
      <c r="I118" s="81">
        <f>SUM(I119:I132)-I119-I122-I124-I129-I127</f>
        <v>28114995.110000007</v>
      </c>
      <c r="J118" s="81">
        <f>SUM(J119:J132)-J119-J122-J124-J129-J127</f>
        <v>5591303.2999999998</v>
      </c>
      <c r="K118" s="85">
        <f>J118/I118</f>
        <v>0.19887263996041998</v>
      </c>
      <c r="L118" s="81"/>
      <c r="M118" s="81"/>
      <c r="N118" s="141">
        <f>J118+G118</f>
        <v>38641438.770000011</v>
      </c>
      <c r="O118" s="53" t="b">
        <f>N118=N120+N121+N123+N125+N126+N128+N130+N131+N132</f>
        <v>1</v>
      </c>
      <c r="P118" s="26"/>
    </row>
    <row r="119" spans="1:16" s="18" customFormat="1" ht="93" thickTop="1" thickBot="1" x14ac:dyDescent="0.25">
      <c r="A119" s="68" t="s">
        <v>312</v>
      </c>
      <c r="B119" s="86" t="s">
        <v>313</v>
      </c>
      <c r="C119" s="86"/>
      <c r="D119" s="86" t="s">
        <v>314</v>
      </c>
      <c r="E119" s="102">
        <f t="shared" ref="E119:G119" si="43">SUM(E120:E121)</f>
        <v>25324232</v>
      </c>
      <c r="F119" s="102">
        <f t="shared" si="43"/>
        <v>3854471</v>
      </c>
      <c r="G119" s="102">
        <f t="shared" si="43"/>
        <v>2619377.44</v>
      </c>
      <c r="H119" s="88">
        <f>G119/F119</f>
        <v>0.67956859449714369</v>
      </c>
      <c r="I119" s="102"/>
      <c r="J119" s="102"/>
      <c r="K119" s="88"/>
      <c r="L119" s="102"/>
      <c r="M119" s="102"/>
      <c r="N119" s="87">
        <f t="shared" si="40"/>
        <v>2619377.44</v>
      </c>
      <c r="O119" s="50"/>
      <c r="P119" s="32"/>
    </row>
    <row r="120" spans="1:16" s="35" customFormat="1" ht="138.75" thickTop="1" thickBot="1" x14ac:dyDescent="0.25">
      <c r="A120" s="67" t="s">
        <v>315</v>
      </c>
      <c r="B120" s="84" t="s">
        <v>316</v>
      </c>
      <c r="C120" s="84" t="s">
        <v>317</v>
      </c>
      <c r="D120" s="84" t="s">
        <v>318</v>
      </c>
      <c r="E120" s="78">
        <v>22258032</v>
      </c>
      <c r="F120" s="79">
        <v>3523783</v>
      </c>
      <c r="G120" s="79">
        <v>2376517.44</v>
      </c>
      <c r="H120" s="80">
        <f t="shared" si="39"/>
        <v>0.67442218774538609</v>
      </c>
      <c r="I120" s="79"/>
      <c r="J120" s="79"/>
      <c r="K120" s="79"/>
      <c r="L120" s="79"/>
      <c r="M120" s="139"/>
      <c r="N120" s="79">
        <f t="shared" si="40"/>
        <v>2376517.44</v>
      </c>
      <c r="O120" s="33"/>
      <c r="P120" s="34"/>
    </row>
    <row r="121" spans="1:16" s="35" customFormat="1" ht="138.75" thickTop="1" thickBot="1" x14ac:dyDescent="0.25">
      <c r="A121" s="67" t="s">
        <v>319</v>
      </c>
      <c r="B121" s="84" t="s">
        <v>320</v>
      </c>
      <c r="C121" s="84" t="s">
        <v>317</v>
      </c>
      <c r="D121" s="84" t="s">
        <v>321</v>
      </c>
      <c r="E121" s="78">
        <v>3066200</v>
      </c>
      <c r="F121" s="79">
        <v>330688</v>
      </c>
      <c r="G121" s="79">
        <v>242860</v>
      </c>
      <c r="H121" s="80">
        <f t="shared" si="39"/>
        <v>0.73440826398296888</v>
      </c>
      <c r="I121" s="79"/>
      <c r="J121" s="79"/>
      <c r="K121" s="79"/>
      <c r="L121" s="79"/>
      <c r="M121" s="139"/>
      <c r="N121" s="79">
        <f t="shared" si="40"/>
        <v>242860</v>
      </c>
      <c r="O121" s="33"/>
      <c r="P121" s="34"/>
    </row>
    <row r="122" spans="1:16" s="18" customFormat="1" ht="184.5" thickTop="1" thickBot="1" x14ac:dyDescent="0.25">
      <c r="A122" s="68" t="s">
        <v>322</v>
      </c>
      <c r="B122" s="86" t="s">
        <v>323</v>
      </c>
      <c r="C122" s="86"/>
      <c r="D122" s="86" t="s">
        <v>324</v>
      </c>
      <c r="E122" s="102">
        <f t="shared" ref="E122:F122" si="44">E123</f>
        <v>53300</v>
      </c>
      <c r="F122" s="102">
        <f t="shared" si="44"/>
        <v>34380</v>
      </c>
      <c r="G122" s="102">
        <f>G123</f>
        <v>0</v>
      </c>
      <c r="H122" s="88">
        <f>G122/F122</f>
        <v>0</v>
      </c>
      <c r="I122" s="102"/>
      <c r="J122" s="102"/>
      <c r="K122" s="88"/>
      <c r="L122" s="102"/>
      <c r="M122" s="102"/>
      <c r="N122" s="87">
        <f t="shared" si="40"/>
        <v>0</v>
      </c>
      <c r="O122" s="50"/>
      <c r="P122" s="36"/>
    </row>
    <row r="123" spans="1:16" s="35" customFormat="1" ht="184.5" thickTop="1" thickBot="1" x14ac:dyDescent="0.25">
      <c r="A123" s="67" t="s">
        <v>325</v>
      </c>
      <c r="B123" s="84" t="s">
        <v>326</v>
      </c>
      <c r="C123" s="84" t="s">
        <v>317</v>
      </c>
      <c r="D123" s="84" t="s">
        <v>327</v>
      </c>
      <c r="E123" s="78">
        <v>53300</v>
      </c>
      <c r="F123" s="78">
        <v>34380</v>
      </c>
      <c r="G123" s="78">
        <v>0</v>
      </c>
      <c r="H123" s="80">
        <f>G123/F123</f>
        <v>0</v>
      </c>
      <c r="I123" s="79"/>
      <c r="J123" s="78"/>
      <c r="K123" s="78"/>
      <c r="L123" s="78"/>
      <c r="M123" s="139"/>
      <c r="N123" s="79">
        <f t="shared" si="40"/>
        <v>0</v>
      </c>
      <c r="O123" s="33"/>
      <c r="P123" s="34"/>
    </row>
    <row r="124" spans="1:16" ht="93" thickTop="1" thickBot="1" x14ac:dyDescent="0.25">
      <c r="A124" s="68" t="s">
        <v>328</v>
      </c>
      <c r="B124" s="86" t="s">
        <v>329</v>
      </c>
      <c r="C124" s="86"/>
      <c r="D124" s="86" t="s">
        <v>330</v>
      </c>
      <c r="E124" s="102">
        <f t="shared" ref="E124:J124" si="45">SUM(E125:E126)</f>
        <v>62849146</v>
      </c>
      <c r="F124" s="102">
        <f t="shared" si="45"/>
        <v>30923168</v>
      </c>
      <c r="G124" s="102">
        <f t="shared" si="45"/>
        <v>28822408.010000002</v>
      </c>
      <c r="H124" s="88">
        <f t="shared" si="39"/>
        <v>0.93206517553440837</v>
      </c>
      <c r="I124" s="102">
        <f t="shared" si="45"/>
        <v>8088442.6900000004</v>
      </c>
      <c r="J124" s="102">
        <f t="shared" si="45"/>
        <v>5591303.2999999998</v>
      </c>
      <c r="K124" s="88">
        <f t="shared" ref="K124:K128" si="46">J124/I124</f>
        <v>0.69127068266338909</v>
      </c>
      <c r="L124" s="102"/>
      <c r="M124" s="102"/>
      <c r="N124" s="87">
        <f t="shared" si="40"/>
        <v>34413711.310000002</v>
      </c>
      <c r="P124" s="26"/>
    </row>
    <row r="125" spans="1:16" s="35" customFormat="1" ht="184.5" thickTop="1" thickBot="1" x14ac:dyDescent="0.25">
      <c r="A125" s="67" t="s">
        <v>331</v>
      </c>
      <c r="B125" s="84" t="s">
        <v>332</v>
      </c>
      <c r="C125" s="84" t="s">
        <v>317</v>
      </c>
      <c r="D125" s="84" t="s">
        <v>333</v>
      </c>
      <c r="E125" s="78">
        <v>57335156</v>
      </c>
      <c r="F125" s="78">
        <v>27757484</v>
      </c>
      <c r="G125" s="78">
        <v>25865960.800000001</v>
      </c>
      <c r="H125" s="80">
        <f t="shared" si="39"/>
        <v>0.93185537997608148</v>
      </c>
      <c r="I125" s="78">
        <v>8088442.6900000004</v>
      </c>
      <c r="J125" s="78">
        <v>5591303.2999999998</v>
      </c>
      <c r="K125" s="80">
        <f t="shared" si="46"/>
        <v>0.69127068266338909</v>
      </c>
      <c r="L125" s="78"/>
      <c r="M125" s="139"/>
      <c r="N125" s="79">
        <f t="shared" si="40"/>
        <v>31457264.100000001</v>
      </c>
      <c r="O125" s="33"/>
      <c r="P125" s="34"/>
    </row>
    <row r="126" spans="1:16" s="35" customFormat="1" ht="184.5" thickTop="1" thickBot="1" x14ac:dyDescent="0.25">
      <c r="A126" s="67" t="s">
        <v>334</v>
      </c>
      <c r="B126" s="84" t="s">
        <v>335</v>
      </c>
      <c r="C126" s="84" t="s">
        <v>317</v>
      </c>
      <c r="D126" s="84" t="s">
        <v>336</v>
      </c>
      <c r="E126" s="78">
        <v>5513990</v>
      </c>
      <c r="F126" s="78">
        <v>3165684</v>
      </c>
      <c r="G126" s="78">
        <v>2956447.21</v>
      </c>
      <c r="H126" s="80">
        <f t="shared" si="39"/>
        <v>0.93390471379960849</v>
      </c>
      <c r="I126" s="78"/>
      <c r="J126" s="78"/>
      <c r="K126" s="80"/>
      <c r="L126" s="78"/>
      <c r="M126" s="139"/>
      <c r="N126" s="79">
        <f t="shared" si="40"/>
        <v>2956447.21</v>
      </c>
      <c r="O126" s="33"/>
      <c r="P126" s="34"/>
    </row>
    <row r="127" spans="1:16" s="35" customFormat="1" ht="93" thickTop="1" thickBot="1" x14ac:dyDescent="0.25">
      <c r="A127" s="67"/>
      <c r="B127" s="86" t="s">
        <v>394</v>
      </c>
      <c r="C127" s="86"/>
      <c r="D127" s="86" t="s">
        <v>395</v>
      </c>
      <c r="E127" s="102">
        <f t="shared" ref="E127:J127" si="47">E128</f>
        <v>0</v>
      </c>
      <c r="F127" s="102">
        <f t="shared" si="47"/>
        <v>0</v>
      </c>
      <c r="G127" s="102">
        <f t="shared" si="47"/>
        <v>0</v>
      </c>
      <c r="H127" s="88">
        <v>0</v>
      </c>
      <c r="I127" s="102">
        <f t="shared" si="47"/>
        <v>20000000</v>
      </c>
      <c r="J127" s="102">
        <f t="shared" si="47"/>
        <v>0</v>
      </c>
      <c r="K127" s="88">
        <f t="shared" si="46"/>
        <v>0</v>
      </c>
      <c r="L127" s="102"/>
      <c r="M127" s="102"/>
      <c r="N127" s="87">
        <f t="shared" si="40"/>
        <v>0</v>
      </c>
      <c r="O127" s="33"/>
      <c r="P127" s="34"/>
    </row>
    <row r="128" spans="1:16" s="35" customFormat="1" ht="409.6" thickTop="1" thickBot="1" x14ac:dyDescent="0.25">
      <c r="A128" s="67"/>
      <c r="B128" s="84" t="s">
        <v>396</v>
      </c>
      <c r="C128" s="84" t="s">
        <v>317</v>
      </c>
      <c r="D128" s="84" t="s">
        <v>522</v>
      </c>
      <c r="E128" s="79"/>
      <c r="F128" s="79"/>
      <c r="G128" s="79"/>
      <c r="H128" s="80"/>
      <c r="I128" s="79">
        <v>20000000</v>
      </c>
      <c r="J128" s="79">
        <v>0</v>
      </c>
      <c r="K128" s="80">
        <f t="shared" si="46"/>
        <v>0</v>
      </c>
      <c r="L128" s="79"/>
      <c r="M128" s="139"/>
      <c r="N128" s="79">
        <f t="shared" si="40"/>
        <v>0</v>
      </c>
      <c r="O128" s="33"/>
      <c r="P128" s="34"/>
    </row>
    <row r="129" spans="1:16" ht="93" thickTop="1" thickBot="1" x14ac:dyDescent="0.25">
      <c r="A129" s="73" t="s">
        <v>337</v>
      </c>
      <c r="B129" s="86" t="s">
        <v>338</v>
      </c>
      <c r="C129" s="86"/>
      <c r="D129" s="86" t="s">
        <v>339</v>
      </c>
      <c r="E129" s="102">
        <f t="shared" ref="E129:J129" si="48">SUM(E130:E132)</f>
        <v>5261466</v>
      </c>
      <c r="F129" s="102">
        <f>SUM(F130:F132)</f>
        <v>2756036</v>
      </c>
      <c r="G129" s="102">
        <f t="shared" si="48"/>
        <v>1608350.02</v>
      </c>
      <c r="H129" s="88">
        <f t="shared" si="39"/>
        <v>0.5835736615922289</v>
      </c>
      <c r="I129" s="102">
        <f t="shared" si="48"/>
        <v>26552.42</v>
      </c>
      <c r="J129" s="102">
        <f t="shared" si="48"/>
        <v>0</v>
      </c>
      <c r="K129" s="88">
        <v>0</v>
      </c>
      <c r="L129" s="102"/>
      <c r="M129" s="102"/>
      <c r="N129" s="87">
        <f t="shared" si="40"/>
        <v>1608350.02</v>
      </c>
      <c r="O129" s="50" t="s">
        <v>434</v>
      </c>
      <c r="P129" s="26"/>
    </row>
    <row r="130" spans="1:16" s="35" customFormat="1" ht="276" thickTop="1" thickBot="1" x14ac:dyDescent="0.25">
      <c r="A130" s="74" t="s">
        <v>340</v>
      </c>
      <c r="B130" s="109" t="s">
        <v>341</v>
      </c>
      <c r="C130" s="109" t="s">
        <v>317</v>
      </c>
      <c r="D130" s="84" t="s">
        <v>342</v>
      </c>
      <c r="E130" s="78">
        <v>1016620</v>
      </c>
      <c r="F130" s="79">
        <v>699925</v>
      </c>
      <c r="G130" s="79">
        <v>13625</v>
      </c>
      <c r="H130" s="80">
        <f t="shared" si="39"/>
        <v>1.9466371396935387E-2</v>
      </c>
      <c r="I130" s="79"/>
      <c r="J130" s="79"/>
      <c r="K130" s="79"/>
      <c r="L130" s="79"/>
      <c r="M130" s="139"/>
      <c r="N130" s="79">
        <f t="shared" si="40"/>
        <v>13625</v>
      </c>
      <c r="O130" s="33"/>
      <c r="P130" s="34"/>
    </row>
    <row r="131" spans="1:16" s="35" customFormat="1" ht="184.5" thickTop="1" thickBot="1" x14ac:dyDescent="0.25">
      <c r="A131" s="74" t="s">
        <v>343</v>
      </c>
      <c r="B131" s="109" t="s">
        <v>344</v>
      </c>
      <c r="C131" s="109" t="s">
        <v>317</v>
      </c>
      <c r="D131" s="84" t="s">
        <v>345</v>
      </c>
      <c r="E131" s="78">
        <v>2490471</v>
      </c>
      <c r="F131" s="79">
        <v>1165706</v>
      </c>
      <c r="G131" s="79">
        <v>924600</v>
      </c>
      <c r="H131" s="80">
        <f t="shared" si="39"/>
        <v>0.79316740241536032</v>
      </c>
      <c r="I131" s="79"/>
      <c r="J131" s="79"/>
      <c r="K131" s="79"/>
      <c r="L131" s="79"/>
      <c r="M131" s="139"/>
      <c r="N131" s="79">
        <f t="shared" si="40"/>
        <v>924600</v>
      </c>
      <c r="O131" s="33"/>
      <c r="P131" s="34"/>
    </row>
    <row r="132" spans="1:16" s="35" customFormat="1" ht="93" thickTop="1" thickBot="1" x14ac:dyDescent="0.25">
      <c r="A132" s="74" t="s">
        <v>346</v>
      </c>
      <c r="B132" s="109" t="s">
        <v>347</v>
      </c>
      <c r="C132" s="109" t="s">
        <v>317</v>
      </c>
      <c r="D132" s="84" t="s">
        <v>348</v>
      </c>
      <c r="E132" s="78">
        <v>1754375</v>
      </c>
      <c r="F132" s="79">
        <v>890405</v>
      </c>
      <c r="G132" s="79">
        <v>670125.02</v>
      </c>
      <c r="H132" s="80">
        <f t="shared" si="39"/>
        <v>0.7526069822159579</v>
      </c>
      <c r="I132" s="79">
        <v>26552.42</v>
      </c>
      <c r="J132" s="79">
        <v>0</v>
      </c>
      <c r="K132" s="88">
        <v>0</v>
      </c>
      <c r="L132" s="79"/>
      <c r="M132" s="139"/>
      <c r="N132" s="79">
        <f t="shared" si="40"/>
        <v>670125.02</v>
      </c>
      <c r="O132" s="33"/>
      <c r="P132" s="34"/>
    </row>
    <row r="133" spans="1:16" ht="91.5" thickTop="1" thickBot="1" x14ac:dyDescent="0.25">
      <c r="A133" s="66" t="s">
        <v>351</v>
      </c>
      <c r="B133" s="82" t="s">
        <v>261</v>
      </c>
      <c r="C133" s="82"/>
      <c r="D133" s="83" t="s">
        <v>262</v>
      </c>
      <c r="E133" s="81">
        <f>SUM(E134:E146)-E134-E142</f>
        <v>350672037</v>
      </c>
      <c r="F133" s="81">
        <f>SUM(F134:F146)-F134-F142</f>
        <v>196606722</v>
      </c>
      <c r="G133" s="81">
        <f>SUM(G134:G146)-G134-G142</f>
        <v>186884952.62000003</v>
      </c>
      <c r="H133" s="85">
        <f>G133/F133</f>
        <v>0.95055220248268024</v>
      </c>
      <c r="I133" s="81">
        <f>SUM(I134:I146)-I134-I142</f>
        <v>37473600</v>
      </c>
      <c r="J133" s="81">
        <f>SUM(J134:J146)-J134-J142</f>
        <v>756962.99000000011</v>
      </c>
      <c r="K133" s="85">
        <f>J133/I133</f>
        <v>2.0199900463259472E-2</v>
      </c>
      <c r="L133" s="81"/>
      <c r="M133" s="81"/>
      <c r="N133" s="141">
        <f>J133+G133</f>
        <v>187641915.61000004</v>
      </c>
      <c r="O133" s="53" t="b">
        <f>N133=N135+N136+N137+N138+N139+N140+N141+N143+N145+N144</f>
        <v>1</v>
      </c>
      <c r="P133" s="37"/>
    </row>
    <row r="134" spans="1:16" s="18" customFormat="1" ht="184.5" thickTop="1" thickBot="1" x14ac:dyDescent="0.25">
      <c r="A134" s="68" t="s">
        <v>352</v>
      </c>
      <c r="B134" s="86" t="s">
        <v>353</v>
      </c>
      <c r="C134" s="86"/>
      <c r="D134" s="86" t="s">
        <v>354</v>
      </c>
      <c r="E134" s="87">
        <f t="shared" ref="E134:J134" si="49">SUM(E135:E139)</f>
        <v>108450000</v>
      </c>
      <c r="F134" s="87">
        <f t="shared" si="49"/>
        <v>103010000</v>
      </c>
      <c r="G134" s="87">
        <f t="shared" si="49"/>
        <v>102768973.77000001</v>
      </c>
      <c r="H134" s="88">
        <f t="shared" ref="H134:H137" si="50">G134/F134</f>
        <v>0.99766016668284641</v>
      </c>
      <c r="I134" s="87">
        <f t="shared" si="49"/>
        <v>26258600</v>
      </c>
      <c r="J134" s="87">
        <f t="shared" si="49"/>
        <v>748468.12</v>
      </c>
      <c r="K134" s="88">
        <f t="shared" ref="K134:K135" si="51">J134/I134</f>
        <v>2.8503732872278035E-2</v>
      </c>
      <c r="L134" s="87"/>
      <c r="M134" s="87"/>
      <c r="N134" s="87">
        <f t="shared" ref="N134:N183" si="52">G134+J134</f>
        <v>103517441.89000002</v>
      </c>
      <c r="O134" s="20"/>
      <c r="P134" s="37"/>
    </row>
    <row r="135" spans="1:16" ht="138.75" thickTop="1" thickBot="1" x14ac:dyDescent="0.25">
      <c r="A135" s="67" t="s">
        <v>355</v>
      </c>
      <c r="B135" s="84" t="s">
        <v>356</v>
      </c>
      <c r="C135" s="84" t="s">
        <v>265</v>
      </c>
      <c r="D135" s="84" t="s">
        <v>357</v>
      </c>
      <c r="E135" s="78">
        <v>1500000</v>
      </c>
      <c r="F135" s="78">
        <v>100000</v>
      </c>
      <c r="G135" s="78">
        <v>96044.43</v>
      </c>
      <c r="H135" s="80">
        <f t="shared" si="50"/>
        <v>0.96044429999999992</v>
      </c>
      <c r="I135" s="78">
        <v>4508600</v>
      </c>
      <c r="J135" s="142">
        <v>9932.35</v>
      </c>
      <c r="K135" s="80">
        <f t="shared" si="51"/>
        <v>2.2029787517189371E-3</v>
      </c>
      <c r="L135" s="142"/>
      <c r="M135" s="139"/>
      <c r="N135" s="79">
        <f t="shared" si="52"/>
        <v>105976.78</v>
      </c>
      <c r="P135" s="37"/>
    </row>
    <row r="136" spans="1:16" ht="138.75" thickTop="1" thickBot="1" x14ac:dyDescent="0.25">
      <c r="A136" s="67"/>
      <c r="B136" s="84" t="s">
        <v>377</v>
      </c>
      <c r="C136" s="84" t="s">
        <v>360</v>
      </c>
      <c r="D136" s="84" t="s">
        <v>378</v>
      </c>
      <c r="E136" s="78">
        <v>97600000</v>
      </c>
      <c r="F136" s="78">
        <v>97600000</v>
      </c>
      <c r="G136" s="78">
        <v>97599999.900000006</v>
      </c>
      <c r="H136" s="80">
        <f t="shared" si="50"/>
        <v>0.99999999897540992</v>
      </c>
      <c r="I136" s="78"/>
      <c r="J136" s="142"/>
      <c r="K136" s="142"/>
      <c r="L136" s="142"/>
      <c r="M136" s="139"/>
      <c r="N136" s="79">
        <f t="shared" si="52"/>
        <v>97599999.900000006</v>
      </c>
      <c r="P136" s="37"/>
    </row>
    <row r="137" spans="1:16" ht="138.75" thickTop="1" thickBot="1" x14ac:dyDescent="0.25">
      <c r="A137" s="67"/>
      <c r="B137" s="84" t="s">
        <v>379</v>
      </c>
      <c r="C137" s="84" t="s">
        <v>360</v>
      </c>
      <c r="D137" s="84" t="s">
        <v>380</v>
      </c>
      <c r="E137" s="78">
        <v>7650000</v>
      </c>
      <c r="F137" s="78">
        <v>5310000</v>
      </c>
      <c r="G137" s="78">
        <v>5072929.4400000004</v>
      </c>
      <c r="H137" s="80">
        <f t="shared" si="50"/>
        <v>0.95535394350282499</v>
      </c>
      <c r="I137" s="78">
        <v>250000</v>
      </c>
      <c r="J137" s="142">
        <v>0</v>
      </c>
      <c r="K137" s="80">
        <f t="shared" ref="K137:K144" si="53">J137/I137</f>
        <v>0</v>
      </c>
      <c r="L137" s="142"/>
      <c r="M137" s="139"/>
      <c r="N137" s="79">
        <f t="shared" si="52"/>
        <v>5072929.4400000004</v>
      </c>
      <c r="P137" s="37"/>
    </row>
    <row r="138" spans="1:16" ht="138.75" thickTop="1" thickBot="1" x14ac:dyDescent="0.25">
      <c r="A138" s="67" t="s">
        <v>358</v>
      </c>
      <c r="B138" s="84" t="s">
        <v>359</v>
      </c>
      <c r="C138" s="84" t="s">
        <v>360</v>
      </c>
      <c r="D138" s="84" t="s">
        <v>361</v>
      </c>
      <c r="E138" s="78"/>
      <c r="F138" s="78"/>
      <c r="G138" s="78"/>
      <c r="H138" s="78"/>
      <c r="I138" s="78">
        <v>3000000</v>
      </c>
      <c r="J138" s="142">
        <v>686053.75</v>
      </c>
      <c r="K138" s="80">
        <f t="shared" si="53"/>
        <v>0.22868458333333333</v>
      </c>
      <c r="L138" s="142"/>
      <c r="M138" s="139"/>
      <c r="N138" s="79">
        <f t="shared" si="52"/>
        <v>686053.75</v>
      </c>
      <c r="P138" s="37"/>
    </row>
    <row r="139" spans="1:16" ht="184.5" thickTop="1" thickBot="1" x14ac:dyDescent="0.25">
      <c r="A139" s="67" t="s">
        <v>362</v>
      </c>
      <c r="B139" s="84" t="s">
        <v>363</v>
      </c>
      <c r="C139" s="84" t="s">
        <v>360</v>
      </c>
      <c r="D139" s="84" t="s">
        <v>364</v>
      </c>
      <c r="E139" s="78">
        <v>1700000</v>
      </c>
      <c r="F139" s="78">
        <v>0</v>
      </c>
      <c r="G139" s="78">
        <v>0</v>
      </c>
      <c r="H139" s="80">
        <v>0</v>
      </c>
      <c r="I139" s="78">
        <v>18500000</v>
      </c>
      <c r="J139" s="142">
        <v>52482.02</v>
      </c>
      <c r="K139" s="80">
        <f t="shared" si="53"/>
        <v>2.8368659459459458E-3</v>
      </c>
      <c r="L139" s="142"/>
      <c r="M139" s="139"/>
      <c r="N139" s="79">
        <f t="shared" si="52"/>
        <v>52482.02</v>
      </c>
      <c r="O139" s="50" t="s">
        <v>434</v>
      </c>
      <c r="P139" s="37"/>
    </row>
    <row r="140" spans="1:16" ht="230.25" thickTop="1" thickBot="1" x14ac:dyDescent="0.25">
      <c r="A140" s="67" t="s">
        <v>365</v>
      </c>
      <c r="B140" s="84" t="s">
        <v>366</v>
      </c>
      <c r="C140" s="84" t="s">
        <v>360</v>
      </c>
      <c r="D140" s="84" t="s">
        <v>367</v>
      </c>
      <c r="E140" s="78">
        <v>10996245</v>
      </c>
      <c r="F140" s="78">
        <v>5260490</v>
      </c>
      <c r="G140" s="78">
        <v>5257446.49</v>
      </c>
      <c r="H140" s="80">
        <f>G140/F140</f>
        <v>0.99942143982784881</v>
      </c>
      <c r="I140" s="78"/>
      <c r="J140" s="142"/>
      <c r="K140" s="142"/>
      <c r="L140" s="142"/>
      <c r="M140" s="139"/>
      <c r="N140" s="79">
        <f t="shared" si="52"/>
        <v>5257446.49</v>
      </c>
      <c r="O140" s="50"/>
      <c r="P140" s="37"/>
    </row>
    <row r="141" spans="1:16" ht="93" thickTop="1" thickBot="1" x14ac:dyDescent="0.25">
      <c r="A141" s="67"/>
      <c r="B141" s="84" t="s">
        <v>369</v>
      </c>
      <c r="C141" s="84" t="s">
        <v>360</v>
      </c>
      <c r="D141" s="84" t="s">
        <v>370</v>
      </c>
      <c r="E141" s="78">
        <v>226462942</v>
      </c>
      <c r="F141" s="78">
        <v>88297232</v>
      </c>
      <c r="G141" s="78">
        <v>78858532.359999999</v>
      </c>
      <c r="H141" s="80">
        <f t="shared" ref="H141" si="54">G141/F141</f>
        <v>0.89310310837377094</v>
      </c>
      <c r="I141" s="79">
        <v>5215000</v>
      </c>
      <c r="J141" s="78">
        <v>8494.8700000000008</v>
      </c>
      <c r="K141" s="80">
        <f t="shared" si="53"/>
        <v>1.628930009587728E-3</v>
      </c>
      <c r="L141" s="78"/>
      <c r="M141" s="139"/>
      <c r="N141" s="79">
        <f t="shared" si="52"/>
        <v>78867027.230000004</v>
      </c>
      <c r="O141" s="52"/>
      <c r="P141" s="37"/>
    </row>
    <row r="142" spans="1:16" ht="93" thickTop="1" thickBot="1" x14ac:dyDescent="0.25">
      <c r="A142" s="67"/>
      <c r="B142" s="86" t="s">
        <v>263</v>
      </c>
      <c r="C142" s="86"/>
      <c r="D142" s="86" t="s">
        <v>435</v>
      </c>
      <c r="E142" s="102">
        <f>SUM(E143:E145)</f>
        <v>39000</v>
      </c>
      <c r="F142" s="102">
        <f>SUM(F143:F145)</f>
        <v>39000</v>
      </c>
      <c r="G142" s="102">
        <f>SUM(G143:G145)</f>
        <v>0</v>
      </c>
      <c r="H142" s="88">
        <v>0</v>
      </c>
      <c r="I142" s="102">
        <f>SUM(I143:I145)</f>
        <v>6000000</v>
      </c>
      <c r="J142" s="102">
        <f>SUM(J143:J145)</f>
        <v>0</v>
      </c>
      <c r="K142" s="80">
        <f t="shared" si="53"/>
        <v>0</v>
      </c>
      <c r="L142" s="102"/>
      <c r="M142" s="136"/>
      <c r="N142" s="87">
        <f t="shared" si="52"/>
        <v>0</v>
      </c>
      <c r="O142" s="50" t="s">
        <v>434</v>
      </c>
      <c r="P142" s="37"/>
    </row>
    <row r="143" spans="1:16" ht="138.75" thickTop="1" thickBot="1" x14ac:dyDescent="0.25">
      <c r="A143" s="67" t="s">
        <v>368</v>
      </c>
      <c r="B143" s="84" t="s">
        <v>264</v>
      </c>
      <c r="C143" s="84" t="s">
        <v>265</v>
      </c>
      <c r="D143" s="84" t="s">
        <v>436</v>
      </c>
      <c r="E143" s="78"/>
      <c r="F143" s="78"/>
      <c r="G143" s="78"/>
      <c r="H143" s="80"/>
      <c r="I143" s="79">
        <v>6000000</v>
      </c>
      <c r="J143" s="78">
        <v>0</v>
      </c>
      <c r="K143" s="80">
        <f t="shared" si="53"/>
        <v>0</v>
      </c>
      <c r="L143" s="78"/>
      <c r="M143" s="139"/>
      <c r="N143" s="79">
        <f t="shared" si="52"/>
        <v>0</v>
      </c>
      <c r="P143" s="30"/>
    </row>
    <row r="144" spans="1:16" ht="409.6" hidden="1" thickTop="1" thickBot="1" x14ac:dyDescent="0.25">
      <c r="A144" s="67"/>
      <c r="B144" s="93" t="s">
        <v>496</v>
      </c>
      <c r="C144" s="93" t="s">
        <v>265</v>
      </c>
      <c r="D144" s="93" t="s">
        <v>497</v>
      </c>
      <c r="E144" s="100"/>
      <c r="F144" s="100"/>
      <c r="G144" s="100"/>
      <c r="H144" s="101"/>
      <c r="I144" s="94">
        <v>0</v>
      </c>
      <c r="J144" s="100">
        <v>0</v>
      </c>
      <c r="K144" s="101" t="e">
        <f t="shared" si="53"/>
        <v>#DIV/0!</v>
      </c>
      <c r="L144" s="100"/>
      <c r="M144" s="182"/>
      <c r="N144" s="94">
        <f t="shared" si="52"/>
        <v>0</v>
      </c>
      <c r="P144" s="30"/>
    </row>
    <row r="145" spans="1:16" ht="276" thickTop="1" thickBot="1" x14ac:dyDescent="0.25">
      <c r="A145" s="67"/>
      <c r="B145" s="109" t="s">
        <v>349</v>
      </c>
      <c r="C145" s="109" t="s">
        <v>265</v>
      </c>
      <c r="D145" s="84" t="s">
        <v>350</v>
      </c>
      <c r="E145" s="78">
        <v>39000</v>
      </c>
      <c r="F145" s="79">
        <v>39000</v>
      </c>
      <c r="G145" s="79">
        <v>0</v>
      </c>
      <c r="H145" s="80">
        <v>0</v>
      </c>
      <c r="I145" s="79"/>
      <c r="J145" s="79"/>
      <c r="K145" s="79"/>
      <c r="L145" s="79"/>
      <c r="M145" s="139"/>
      <c r="N145" s="79">
        <f t="shared" si="52"/>
        <v>0</v>
      </c>
      <c r="O145" s="50" t="s">
        <v>434</v>
      </c>
      <c r="P145" s="30"/>
    </row>
    <row r="146" spans="1:16" ht="138.75" thickTop="1" thickBot="1" x14ac:dyDescent="0.25">
      <c r="A146" s="67"/>
      <c r="B146" s="84" t="s">
        <v>512</v>
      </c>
      <c r="C146" s="84" t="s">
        <v>513</v>
      </c>
      <c r="D146" s="84" t="s">
        <v>514</v>
      </c>
      <c r="E146" s="78">
        <v>4723850</v>
      </c>
      <c r="F146" s="79">
        <v>0</v>
      </c>
      <c r="G146" s="79">
        <v>0</v>
      </c>
      <c r="H146" s="80" t="e">
        <f>G146/F146</f>
        <v>#DIV/0!</v>
      </c>
      <c r="I146" s="79"/>
      <c r="J146" s="79"/>
      <c r="K146" s="79"/>
      <c r="L146" s="79"/>
      <c r="M146" s="139"/>
      <c r="N146" s="79">
        <f t="shared" si="52"/>
        <v>0</v>
      </c>
      <c r="O146" s="52"/>
      <c r="P146" s="30"/>
    </row>
    <row r="147" spans="1:16" s="38" customFormat="1" ht="101.25" customHeight="1" thickTop="1" thickBot="1" x14ac:dyDescent="0.25">
      <c r="A147" s="75" t="s">
        <v>371</v>
      </c>
      <c r="B147" s="82" t="s">
        <v>32</v>
      </c>
      <c r="C147" s="82"/>
      <c r="D147" s="83" t="s">
        <v>372</v>
      </c>
      <c r="E147" s="81">
        <f>E148+E150+E163+E171+E174+E149</f>
        <v>190434250</v>
      </c>
      <c r="F147" s="81">
        <f t="shared" ref="F147:G147" si="55">F148+F150+F163+F171+F174+F149</f>
        <v>59665822.399999999</v>
      </c>
      <c r="G147" s="81">
        <f t="shared" si="55"/>
        <v>46449916.600000001</v>
      </c>
      <c r="H147" s="85">
        <f>G147/F147</f>
        <v>0.77850123792142689</v>
      </c>
      <c r="I147" s="81">
        <f>I148+I150+I163+I171+I174</f>
        <v>157913399.96000001</v>
      </c>
      <c r="J147" s="81">
        <f>J148+J150+J163+J171+J174</f>
        <v>12789137.119999999</v>
      </c>
      <c r="K147" s="85">
        <f>J147/I147</f>
        <v>8.0988295630640153E-2</v>
      </c>
      <c r="L147" s="81"/>
      <c r="M147" s="81"/>
      <c r="N147" s="141">
        <f>J147+G147</f>
        <v>59239053.719999999</v>
      </c>
      <c r="O147" s="53" t="b">
        <f>N147=N149+N151+N153+N157+N158+N162+N167+N170+N172+N175+N178+N179+N180+N181+N182+N184+N186+N165+N177+N161+N155+N159+N173+N168+N154+N156</f>
        <v>1</v>
      </c>
      <c r="P147" s="51"/>
    </row>
    <row r="148" spans="1:16" s="38" customFormat="1" ht="91.5" thickTop="1" thickBot="1" x14ac:dyDescent="0.25">
      <c r="A148" s="75"/>
      <c r="B148" s="110" t="s">
        <v>415</v>
      </c>
      <c r="C148" s="110"/>
      <c r="D148" s="110" t="s">
        <v>416</v>
      </c>
      <c r="E148" s="111"/>
      <c r="F148" s="111"/>
      <c r="G148" s="111"/>
      <c r="H148" s="112"/>
      <c r="I148" s="111">
        <f t="shared" ref="I148:J148" si="56">SUM(I149)</f>
        <v>400000</v>
      </c>
      <c r="J148" s="111">
        <f t="shared" si="56"/>
        <v>3750</v>
      </c>
      <c r="K148" s="112">
        <f t="shared" ref="K148:K150" si="57">J148/I148</f>
        <v>9.3749999999999997E-3</v>
      </c>
      <c r="L148" s="111"/>
      <c r="M148" s="111"/>
      <c r="N148" s="111">
        <f t="shared" si="52"/>
        <v>3750</v>
      </c>
      <c r="O148" s="39"/>
      <c r="P148" s="51"/>
    </row>
    <row r="149" spans="1:16" s="38" customFormat="1" ht="93" thickTop="1" thickBot="1" x14ac:dyDescent="0.25">
      <c r="A149" s="75"/>
      <c r="B149" s="84" t="s">
        <v>417</v>
      </c>
      <c r="C149" s="84" t="s">
        <v>418</v>
      </c>
      <c r="D149" s="84" t="s">
        <v>419</v>
      </c>
      <c r="E149" s="79">
        <v>300000</v>
      </c>
      <c r="F149" s="79">
        <v>300000</v>
      </c>
      <c r="G149" s="79">
        <v>0</v>
      </c>
      <c r="H149" s="112">
        <v>0</v>
      </c>
      <c r="I149" s="79">
        <v>400000</v>
      </c>
      <c r="J149" s="79">
        <v>3750</v>
      </c>
      <c r="K149" s="80">
        <f>J149/I149</f>
        <v>9.3749999999999997E-3</v>
      </c>
      <c r="L149" s="79"/>
      <c r="M149" s="139"/>
      <c r="N149" s="79">
        <f t="shared" si="52"/>
        <v>3750</v>
      </c>
      <c r="O149" s="39"/>
      <c r="P149" s="51"/>
    </row>
    <row r="150" spans="1:16" s="38" customFormat="1" ht="91.5" thickTop="1" thickBot="1" x14ac:dyDescent="0.25">
      <c r="A150" s="75"/>
      <c r="B150" s="110" t="s">
        <v>266</v>
      </c>
      <c r="C150" s="110"/>
      <c r="D150" s="110" t="s">
        <v>267</v>
      </c>
      <c r="E150" s="113">
        <f>SUM(E151:E162)-E152-E160</f>
        <v>74340</v>
      </c>
      <c r="F150" s="113">
        <f>SUM(F151:F162)-F152-F160</f>
        <v>0</v>
      </c>
      <c r="G150" s="113">
        <f>SUM(G151:G162)-G152-G160</f>
        <v>0</v>
      </c>
      <c r="H150" s="112">
        <v>0</v>
      </c>
      <c r="I150" s="113">
        <f>SUM(I151:I162)-I152-I160</f>
        <v>29682914</v>
      </c>
      <c r="J150" s="113">
        <f>SUM(J151:J162)-J152-J160</f>
        <v>1065800.44</v>
      </c>
      <c r="K150" s="112">
        <f t="shared" si="57"/>
        <v>3.5906193037516465E-2</v>
      </c>
      <c r="L150" s="113"/>
      <c r="M150" s="113"/>
      <c r="N150" s="111">
        <f>G150+J150</f>
        <v>1065800.44</v>
      </c>
      <c r="O150" s="50" t="s">
        <v>434</v>
      </c>
      <c r="P150" s="51"/>
    </row>
    <row r="151" spans="1:16" s="38" customFormat="1" ht="93" thickTop="1" thickBot="1" x14ac:dyDescent="0.25">
      <c r="A151" s="75"/>
      <c r="B151" s="84" t="s">
        <v>381</v>
      </c>
      <c r="C151" s="84" t="s">
        <v>269</v>
      </c>
      <c r="D151" s="84" t="s">
        <v>530</v>
      </c>
      <c r="E151" s="78"/>
      <c r="F151" s="78"/>
      <c r="G151" s="78"/>
      <c r="H151" s="78"/>
      <c r="I151" s="79">
        <f>1968726+7670000+706113</f>
        <v>10344839</v>
      </c>
      <c r="J151" s="78">
        <f>1000000</f>
        <v>1000000</v>
      </c>
      <c r="K151" s="80">
        <f>J151/I151</f>
        <v>9.6666560011228794E-2</v>
      </c>
      <c r="L151" s="78"/>
      <c r="M151" s="139"/>
      <c r="N151" s="79">
        <f t="shared" si="52"/>
        <v>1000000</v>
      </c>
      <c r="O151" s="39"/>
      <c r="P151" s="51"/>
    </row>
    <row r="152" spans="1:16" s="38" customFormat="1" ht="138.75" thickTop="1" thickBot="1" x14ac:dyDescent="0.25">
      <c r="A152" s="75"/>
      <c r="B152" s="86" t="s">
        <v>268</v>
      </c>
      <c r="C152" s="86"/>
      <c r="D152" s="86" t="s">
        <v>531</v>
      </c>
      <c r="E152" s="87"/>
      <c r="F152" s="87"/>
      <c r="G152" s="87"/>
      <c r="H152" s="88"/>
      <c r="I152" s="87">
        <f>SUM(I153:I157)</f>
        <v>10157110</v>
      </c>
      <c r="J152" s="87">
        <f>SUM(J153:J157)</f>
        <v>32710.6</v>
      </c>
      <c r="K152" s="88">
        <f t="shared" ref="K152:K153" si="58">J152/I152</f>
        <v>3.2204633010767827E-3</v>
      </c>
      <c r="L152" s="87"/>
      <c r="M152" s="87"/>
      <c r="N152" s="87">
        <f t="shared" si="52"/>
        <v>32710.6</v>
      </c>
      <c r="O152" s="39"/>
      <c r="P152" s="51"/>
    </row>
    <row r="153" spans="1:16" s="38" customFormat="1" ht="93" thickTop="1" thickBot="1" x14ac:dyDescent="0.25">
      <c r="A153" s="75"/>
      <c r="B153" s="84" t="s">
        <v>397</v>
      </c>
      <c r="C153" s="84" t="s">
        <v>269</v>
      </c>
      <c r="D153" s="84" t="s">
        <v>532</v>
      </c>
      <c r="E153" s="79"/>
      <c r="F153" s="79"/>
      <c r="G153" s="79"/>
      <c r="H153" s="79"/>
      <c r="I153" s="79">
        <f>3068000+1944219</f>
        <v>5012219</v>
      </c>
      <c r="J153" s="79">
        <v>0</v>
      </c>
      <c r="K153" s="80">
        <f t="shared" si="58"/>
        <v>0</v>
      </c>
      <c r="L153" s="79"/>
      <c r="M153" s="139"/>
      <c r="N153" s="79">
        <f t="shared" si="52"/>
        <v>0</v>
      </c>
      <c r="O153" s="39"/>
      <c r="P153" s="51"/>
    </row>
    <row r="154" spans="1:16" s="38" customFormat="1" ht="93" thickTop="1" thickBot="1" x14ac:dyDescent="0.25">
      <c r="A154" s="75"/>
      <c r="B154" s="84" t="s">
        <v>523</v>
      </c>
      <c r="C154" s="84" t="s">
        <v>269</v>
      </c>
      <c r="D154" s="84" t="s">
        <v>533</v>
      </c>
      <c r="E154" s="79"/>
      <c r="F154" s="79"/>
      <c r="G154" s="79"/>
      <c r="H154" s="79"/>
      <c r="I154" s="79">
        <v>300000</v>
      </c>
      <c r="J154" s="79">
        <v>0</v>
      </c>
      <c r="K154" s="80">
        <f t="shared" ref="K154" si="59">J154/I154</f>
        <v>0</v>
      </c>
      <c r="L154" s="79"/>
      <c r="M154" s="139"/>
      <c r="N154" s="79">
        <f t="shared" ref="N154" si="60">G154+J154</f>
        <v>0</v>
      </c>
      <c r="O154" s="39"/>
      <c r="P154" s="51"/>
    </row>
    <row r="155" spans="1:16" s="38" customFormat="1" ht="93" thickTop="1" thickBot="1" x14ac:dyDescent="0.25">
      <c r="A155" s="75"/>
      <c r="B155" s="84" t="s">
        <v>449</v>
      </c>
      <c r="C155" s="84" t="s">
        <v>269</v>
      </c>
      <c r="D155" s="84" t="s">
        <v>528</v>
      </c>
      <c r="E155" s="79"/>
      <c r="F155" s="79"/>
      <c r="G155" s="79"/>
      <c r="H155" s="79"/>
      <c r="I155" s="79">
        <v>2296400</v>
      </c>
      <c r="J155" s="79">
        <v>0</v>
      </c>
      <c r="K155" s="80">
        <f t="shared" ref="K155:K163" si="61">J155/I155</f>
        <v>0</v>
      </c>
      <c r="L155" s="79"/>
      <c r="M155" s="139"/>
      <c r="N155" s="79">
        <f t="shared" si="52"/>
        <v>0</v>
      </c>
      <c r="O155" s="39"/>
      <c r="P155" s="51"/>
    </row>
    <row r="156" spans="1:16" s="38" customFormat="1" ht="93" thickTop="1" thickBot="1" x14ac:dyDescent="0.25">
      <c r="A156" s="75"/>
      <c r="B156" s="84" t="s">
        <v>398</v>
      </c>
      <c r="C156" s="84" t="s">
        <v>269</v>
      </c>
      <c r="D156" s="84" t="s">
        <v>534</v>
      </c>
      <c r="E156" s="79"/>
      <c r="F156" s="79"/>
      <c r="G156" s="79"/>
      <c r="H156" s="79"/>
      <c r="I156" s="79">
        <v>1248491</v>
      </c>
      <c r="J156" s="79">
        <v>1594.6</v>
      </c>
      <c r="K156" s="80">
        <f t="shared" ref="K156" si="62">J156/I156</f>
        <v>1.2772218622320866E-3</v>
      </c>
      <c r="L156" s="79"/>
      <c r="M156" s="139"/>
      <c r="N156" s="79">
        <f t="shared" ref="N156" si="63">G156+J156</f>
        <v>1594.6</v>
      </c>
      <c r="O156" s="39"/>
      <c r="P156" s="51"/>
    </row>
    <row r="157" spans="1:16" s="38" customFormat="1" ht="138.75" thickTop="1" thickBot="1" x14ac:dyDescent="0.25">
      <c r="A157" s="75"/>
      <c r="B157" s="84" t="s">
        <v>524</v>
      </c>
      <c r="C157" s="84" t="s">
        <v>269</v>
      </c>
      <c r="D157" s="84" t="s">
        <v>529</v>
      </c>
      <c r="E157" s="79"/>
      <c r="F157" s="79"/>
      <c r="G157" s="79"/>
      <c r="H157" s="79"/>
      <c r="I157" s="79">
        <v>1300000</v>
      </c>
      <c r="J157" s="79">
        <v>31116</v>
      </c>
      <c r="K157" s="80">
        <f t="shared" si="61"/>
        <v>2.3935384615384615E-2</v>
      </c>
      <c r="L157" s="79"/>
      <c r="M157" s="139"/>
      <c r="N157" s="79">
        <f t="shared" si="52"/>
        <v>31116</v>
      </c>
      <c r="O157" s="39"/>
      <c r="P157" s="51"/>
    </row>
    <row r="158" spans="1:16" s="38" customFormat="1" ht="93" thickTop="1" thickBot="1" x14ac:dyDescent="0.25">
      <c r="A158" s="75"/>
      <c r="B158" s="84" t="s">
        <v>399</v>
      </c>
      <c r="C158" s="84" t="s">
        <v>269</v>
      </c>
      <c r="D158" s="84" t="s">
        <v>535</v>
      </c>
      <c r="E158" s="79"/>
      <c r="F158" s="79"/>
      <c r="G158" s="79"/>
      <c r="H158" s="79"/>
      <c r="I158" s="79">
        <v>7772865</v>
      </c>
      <c r="J158" s="79">
        <v>33089.839999999997</v>
      </c>
      <c r="K158" s="80">
        <f t="shared" si="61"/>
        <v>4.2570969648900369E-3</v>
      </c>
      <c r="L158" s="79"/>
      <c r="M158" s="139"/>
      <c r="N158" s="79">
        <f t="shared" si="52"/>
        <v>33089.839999999997</v>
      </c>
      <c r="O158" s="39"/>
      <c r="P158" s="51"/>
    </row>
    <row r="159" spans="1:16" s="38" customFormat="1" ht="184.5" thickTop="1" thickBot="1" x14ac:dyDescent="0.25">
      <c r="A159" s="75"/>
      <c r="B159" s="84" t="s">
        <v>450</v>
      </c>
      <c r="C159" s="84" t="s">
        <v>269</v>
      </c>
      <c r="D159" s="84" t="s">
        <v>451</v>
      </c>
      <c r="E159" s="79"/>
      <c r="F159" s="79"/>
      <c r="G159" s="79"/>
      <c r="H159" s="79"/>
      <c r="I159" s="79">
        <v>1408100</v>
      </c>
      <c r="J159" s="79">
        <v>0</v>
      </c>
      <c r="K159" s="80">
        <f t="shared" si="61"/>
        <v>0</v>
      </c>
      <c r="L159" s="79"/>
      <c r="M159" s="139"/>
      <c r="N159" s="79">
        <f t="shared" si="52"/>
        <v>0</v>
      </c>
      <c r="O159" s="39"/>
      <c r="P159" s="51"/>
    </row>
    <row r="160" spans="1:16" s="38" customFormat="1" ht="93" hidden="1" thickTop="1" thickBot="1" x14ac:dyDescent="0.25">
      <c r="A160" s="75"/>
      <c r="B160" s="95" t="s">
        <v>498</v>
      </c>
      <c r="C160" s="95"/>
      <c r="D160" s="95" t="s">
        <v>500</v>
      </c>
      <c r="E160" s="96">
        <f>E161</f>
        <v>0</v>
      </c>
      <c r="F160" s="96">
        <f t="shared" ref="F160:G160" si="64">F161</f>
        <v>0</v>
      </c>
      <c r="G160" s="96">
        <f t="shared" si="64"/>
        <v>0</v>
      </c>
      <c r="H160" s="114">
        <v>0</v>
      </c>
      <c r="I160" s="96">
        <f>I161</f>
        <v>0</v>
      </c>
      <c r="J160" s="96">
        <f>J161</f>
        <v>0</v>
      </c>
      <c r="K160" s="101" t="e">
        <f t="shared" si="61"/>
        <v>#DIV/0!</v>
      </c>
      <c r="L160" s="96"/>
      <c r="M160" s="96"/>
      <c r="N160" s="96">
        <f t="shared" si="52"/>
        <v>0</v>
      </c>
      <c r="O160" s="50" t="s">
        <v>434</v>
      </c>
      <c r="P160" s="51"/>
    </row>
    <row r="161" spans="1:16" s="38" customFormat="1" ht="230.25" hidden="1" thickTop="1" thickBot="1" x14ac:dyDescent="0.25">
      <c r="A161" s="75"/>
      <c r="B161" s="93" t="s">
        <v>499</v>
      </c>
      <c r="C161" s="93" t="s">
        <v>40</v>
      </c>
      <c r="D161" s="93" t="s">
        <v>501</v>
      </c>
      <c r="E161" s="94"/>
      <c r="F161" s="94"/>
      <c r="G161" s="94"/>
      <c r="H161" s="94"/>
      <c r="I161" s="94"/>
      <c r="J161" s="94">
        <v>0</v>
      </c>
      <c r="K161" s="101" t="e">
        <f t="shared" si="61"/>
        <v>#DIV/0!</v>
      </c>
      <c r="L161" s="94"/>
      <c r="M161" s="182"/>
      <c r="N161" s="94">
        <f t="shared" si="52"/>
        <v>0</v>
      </c>
      <c r="O161" s="39"/>
      <c r="P161" s="51"/>
    </row>
    <row r="162" spans="1:16" s="38" customFormat="1" ht="138.75" thickTop="1" thickBot="1" x14ac:dyDescent="0.25">
      <c r="A162" s="75"/>
      <c r="B162" s="84" t="s">
        <v>400</v>
      </c>
      <c r="C162" s="84" t="s">
        <v>40</v>
      </c>
      <c r="D162" s="84" t="s">
        <v>401</v>
      </c>
      <c r="E162" s="79">
        <v>74340</v>
      </c>
      <c r="F162" s="79">
        <v>0</v>
      </c>
      <c r="G162" s="79">
        <v>0</v>
      </c>
      <c r="H162" s="80">
        <v>0</v>
      </c>
      <c r="I162" s="79"/>
      <c r="J162" s="79"/>
      <c r="K162" s="80"/>
      <c r="L162" s="79"/>
      <c r="M162" s="139"/>
      <c r="N162" s="79">
        <f t="shared" si="52"/>
        <v>0</v>
      </c>
      <c r="O162" s="50" t="s">
        <v>434</v>
      </c>
      <c r="P162" s="51"/>
    </row>
    <row r="163" spans="1:16" s="38" customFormat="1" ht="136.5" thickTop="1" thickBot="1" x14ac:dyDescent="0.25">
      <c r="A163" s="75"/>
      <c r="B163" s="110" t="s">
        <v>382</v>
      </c>
      <c r="C163" s="110"/>
      <c r="D163" s="110" t="s">
        <v>383</v>
      </c>
      <c r="E163" s="111">
        <f>SUM(E164:E170)-E166-E169-E164</f>
        <v>169677800</v>
      </c>
      <c r="F163" s="111">
        <f>SUM(F164:F170)-F166-F169-F164</f>
        <v>52381415</v>
      </c>
      <c r="G163" s="111">
        <f>SUM(G164:G170)-G166-G169-G164</f>
        <v>41602892</v>
      </c>
      <c r="H163" s="112">
        <f t="shared" ref="H163:H179" si="65">G163/F163</f>
        <v>0.79423001459582565</v>
      </c>
      <c r="I163" s="111">
        <f>SUM(I164:I170)-I166-I169-I164</f>
        <v>16400000</v>
      </c>
      <c r="J163" s="111">
        <f>SUM(J164:J170)-J166-J169-J164</f>
        <v>27932.81</v>
      </c>
      <c r="K163" s="112">
        <f t="shared" si="61"/>
        <v>1.7032201219512196E-3</v>
      </c>
      <c r="L163" s="111"/>
      <c r="M163" s="111"/>
      <c r="N163" s="111">
        <f>G163+J163</f>
        <v>41630824.810000002</v>
      </c>
      <c r="O163" s="39"/>
      <c r="P163" s="51"/>
    </row>
    <row r="164" spans="1:16" s="38" customFormat="1" ht="138.75" hidden="1" thickTop="1" thickBot="1" x14ac:dyDescent="0.25">
      <c r="A164" s="75"/>
      <c r="B164" s="95" t="s">
        <v>466</v>
      </c>
      <c r="C164" s="95"/>
      <c r="D164" s="95" t="s">
        <v>467</v>
      </c>
      <c r="E164" s="96">
        <f>E165</f>
        <v>0</v>
      </c>
      <c r="F164" s="96">
        <f>F165</f>
        <v>0</v>
      </c>
      <c r="G164" s="96">
        <f>G165</f>
        <v>0</v>
      </c>
      <c r="H164" s="114" t="e">
        <f t="shared" si="65"/>
        <v>#DIV/0!</v>
      </c>
      <c r="I164" s="96">
        <f>I165</f>
        <v>0</v>
      </c>
      <c r="J164" s="96">
        <f>J165</f>
        <v>0</v>
      </c>
      <c r="K164" s="101">
        <v>0</v>
      </c>
      <c r="L164" s="96"/>
      <c r="M164" s="96"/>
      <c r="N164" s="96">
        <f t="shared" si="52"/>
        <v>0</v>
      </c>
      <c r="O164" s="50" t="s">
        <v>434</v>
      </c>
      <c r="P164" s="51"/>
    </row>
    <row r="165" spans="1:16" s="38" customFormat="1" ht="93" hidden="1" thickTop="1" thickBot="1" x14ac:dyDescent="0.25">
      <c r="A165" s="75"/>
      <c r="B165" s="93" t="s">
        <v>468</v>
      </c>
      <c r="C165" s="93" t="s">
        <v>469</v>
      </c>
      <c r="D165" s="93" t="s">
        <v>470</v>
      </c>
      <c r="E165" s="94"/>
      <c r="F165" s="94"/>
      <c r="G165" s="94"/>
      <c r="H165" s="101" t="e">
        <f>G165/F165</f>
        <v>#DIV/0!</v>
      </c>
      <c r="I165" s="94"/>
      <c r="J165" s="94"/>
      <c r="K165" s="94"/>
      <c r="L165" s="94"/>
      <c r="M165" s="182"/>
      <c r="N165" s="94">
        <f t="shared" si="52"/>
        <v>0</v>
      </c>
      <c r="O165" s="39"/>
      <c r="P165" s="51"/>
    </row>
    <row r="166" spans="1:16" s="38" customFormat="1" ht="138.75" thickTop="1" thickBot="1" x14ac:dyDescent="0.25">
      <c r="A166" s="75"/>
      <c r="B166" s="86" t="s">
        <v>402</v>
      </c>
      <c r="C166" s="86"/>
      <c r="D166" s="86" t="s">
        <v>403</v>
      </c>
      <c r="E166" s="87">
        <f t="shared" ref="E166:G166" si="66">E167</f>
        <v>109641800</v>
      </c>
      <c r="F166" s="87">
        <f t="shared" si="66"/>
        <v>49231415</v>
      </c>
      <c r="G166" s="87">
        <f t="shared" si="66"/>
        <v>41452892</v>
      </c>
      <c r="H166" s="88">
        <f>G166/F166</f>
        <v>0.84200082406731558</v>
      </c>
      <c r="I166" s="87"/>
      <c r="J166" s="87"/>
      <c r="K166" s="88"/>
      <c r="L166" s="87"/>
      <c r="M166" s="87"/>
      <c r="N166" s="87">
        <f t="shared" si="52"/>
        <v>41452892</v>
      </c>
      <c r="O166" s="50"/>
      <c r="P166" s="51"/>
    </row>
    <row r="167" spans="1:16" s="38" customFormat="1" ht="93" thickTop="1" thickBot="1" x14ac:dyDescent="0.25">
      <c r="A167" s="75"/>
      <c r="B167" s="84" t="s">
        <v>404</v>
      </c>
      <c r="C167" s="84" t="s">
        <v>405</v>
      </c>
      <c r="D167" s="84" t="s">
        <v>406</v>
      </c>
      <c r="E167" s="79">
        <v>109641800</v>
      </c>
      <c r="F167" s="79">
        <v>49231415</v>
      </c>
      <c r="G167" s="79">
        <v>41452892</v>
      </c>
      <c r="H167" s="80">
        <f>G167/F167</f>
        <v>0.84200082406731558</v>
      </c>
      <c r="I167" s="79"/>
      <c r="J167" s="79"/>
      <c r="K167" s="79"/>
      <c r="L167" s="79"/>
      <c r="M167" s="139"/>
      <c r="N167" s="79">
        <f t="shared" si="52"/>
        <v>41452892</v>
      </c>
      <c r="O167" s="39"/>
      <c r="P167" s="51"/>
    </row>
    <row r="168" spans="1:16" s="38" customFormat="1" ht="93" thickTop="1" thickBot="1" x14ac:dyDescent="0.25">
      <c r="A168" s="75"/>
      <c r="B168" s="84" t="s">
        <v>515</v>
      </c>
      <c r="C168" s="115" t="s">
        <v>385</v>
      </c>
      <c r="D168" s="115" t="s">
        <v>516</v>
      </c>
      <c r="E168" s="79">
        <v>150000</v>
      </c>
      <c r="F168" s="79">
        <v>150000</v>
      </c>
      <c r="G168" s="79">
        <v>150000</v>
      </c>
      <c r="H168" s="80">
        <v>0</v>
      </c>
      <c r="I168" s="79"/>
      <c r="J168" s="79"/>
      <c r="K168" s="79"/>
      <c r="L168" s="79"/>
      <c r="M168" s="139"/>
      <c r="N168" s="79">
        <f t="shared" si="52"/>
        <v>150000</v>
      </c>
      <c r="O168" s="50" t="s">
        <v>434</v>
      </c>
      <c r="P168" s="51"/>
    </row>
    <row r="169" spans="1:16" s="38" customFormat="1" ht="138.75" thickTop="1" thickBot="1" x14ac:dyDescent="0.25">
      <c r="A169" s="75"/>
      <c r="B169" s="86" t="s">
        <v>447</v>
      </c>
      <c r="C169" s="86"/>
      <c r="D169" s="86" t="s">
        <v>448</v>
      </c>
      <c r="E169" s="87">
        <f>E170</f>
        <v>59886000</v>
      </c>
      <c r="F169" s="87">
        <f>F170</f>
        <v>3000000</v>
      </c>
      <c r="G169" s="87">
        <f>G170</f>
        <v>0</v>
      </c>
      <c r="H169" s="80">
        <f>G169/F169</f>
        <v>0</v>
      </c>
      <c r="I169" s="87">
        <f>I170</f>
        <v>16400000</v>
      </c>
      <c r="J169" s="87">
        <f>J170</f>
        <v>27932.81</v>
      </c>
      <c r="K169" s="88">
        <f t="shared" ref="K169:K170" si="67">J169/I169</f>
        <v>1.7032201219512196E-3</v>
      </c>
      <c r="L169" s="87"/>
      <c r="M169" s="136"/>
      <c r="N169" s="87">
        <f t="shared" si="52"/>
        <v>27932.81</v>
      </c>
      <c r="O169" s="39"/>
      <c r="P169" s="51"/>
    </row>
    <row r="170" spans="1:16" s="38" customFormat="1" ht="230.25" thickTop="1" thickBot="1" x14ac:dyDescent="0.25">
      <c r="A170" s="75"/>
      <c r="B170" s="84" t="s">
        <v>384</v>
      </c>
      <c r="C170" s="84" t="s">
        <v>385</v>
      </c>
      <c r="D170" s="84" t="s">
        <v>386</v>
      </c>
      <c r="E170" s="78">
        <v>59886000</v>
      </c>
      <c r="F170" s="78">
        <v>3000000</v>
      </c>
      <c r="G170" s="78">
        <v>0</v>
      </c>
      <c r="H170" s="80">
        <f>G170/F170</f>
        <v>0</v>
      </c>
      <c r="I170" s="78">
        <v>16400000</v>
      </c>
      <c r="J170" s="142">
        <v>27932.81</v>
      </c>
      <c r="K170" s="80">
        <f t="shared" si="67"/>
        <v>1.7032201219512196E-3</v>
      </c>
      <c r="L170" s="142"/>
      <c r="M170" s="139"/>
      <c r="N170" s="79">
        <f t="shared" si="52"/>
        <v>27932.81</v>
      </c>
      <c r="O170" s="50"/>
      <c r="P170" s="51"/>
    </row>
    <row r="171" spans="1:16" s="38" customFormat="1" ht="91.5" thickTop="1" thickBot="1" x14ac:dyDescent="0.25">
      <c r="A171" s="75"/>
      <c r="B171" s="110" t="s">
        <v>33</v>
      </c>
      <c r="C171" s="116"/>
      <c r="D171" s="110" t="s">
        <v>34</v>
      </c>
      <c r="E171" s="113">
        <f>E172+E173</f>
        <v>4612300</v>
      </c>
      <c r="F171" s="113">
        <f>F172+F173</f>
        <v>2306160</v>
      </c>
      <c r="G171" s="113">
        <f>G172+G173</f>
        <v>1756843.7</v>
      </c>
      <c r="H171" s="112">
        <f>G171/F171</f>
        <v>0.76180477503729138</v>
      </c>
      <c r="I171" s="113">
        <f>I172+I173</f>
        <v>1000000</v>
      </c>
      <c r="J171" s="113">
        <f>J172+J173</f>
        <v>0</v>
      </c>
      <c r="K171" s="112">
        <f>J171/I171</f>
        <v>0</v>
      </c>
      <c r="L171" s="187"/>
      <c r="M171" s="187"/>
      <c r="N171" s="111">
        <f>G171+J171</f>
        <v>1756843.7</v>
      </c>
      <c r="O171" s="39"/>
      <c r="P171" s="51"/>
    </row>
    <row r="172" spans="1:16" s="38" customFormat="1" ht="93" thickTop="1" thickBot="1" x14ac:dyDescent="0.25">
      <c r="A172" s="75"/>
      <c r="B172" s="84" t="s">
        <v>35</v>
      </c>
      <c r="C172" s="84" t="s">
        <v>502</v>
      </c>
      <c r="D172" s="84" t="s">
        <v>36</v>
      </c>
      <c r="E172" s="78">
        <v>4612300</v>
      </c>
      <c r="F172" s="78">
        <v>2306160</v>
      </c>
      <c r="G172" s="78">
        <v>1756843.7</v>
      </c>
      <c r="H172" s="80">
        <f t="shared" si="65"/>
        <v>0.76180477503729138</v>
      </c>
      <c r="I172" s="78">
        <v>1000000</v>
      </c>
      <c r="J172" s="78">
        <v>0</v>
      </c>
      <c r="K172" s="80">
        <f>J172/I172</f>
        <v>0</v>
      </c>
      <c r="L172" s="187"/>
      <c r="M172" s="187"/>
      <c r="N172" s="79">
        <f t="shared" si="52"/>
        <v>1756843.7</v>
      </c>
      <c r="O172" s="39"/>
      <c r="P172" s="51"/>
    </row>
    <row r="173" spans="1:16" s="38" customFormat="1" ht="230.25" hidden="1" thickTop="1" thickBot="1" x14ac:dyDescent="0.25">
      <c r="A173" s="75"/>
      <c r="B173" s="93" t="s">
        <v>452</v>
      </c>
      <c r="C173" s="93" t="s">
        <v>502</v>
      </c>
      <c r="D173" s="93" t="s">
        <v>453</v>
      </c>
      <c r="E173" s="100"/>
      <c r="F173" s="100"/>
      <c r="G173" s="100"/>
      <c r="H173" s="101" t="e">
        <f>G173/F173</f>
        <v>#DIV/0!</v>
      </c>
      <c r="I173" s="100">
        <v>0</v>
      </c>
      <c r="J173" s="100">
        <v>0</v>
      </c>
      <c r="K173" s="101">
        <v>0</v>
      </c>
      <c r="L173" s="188"/>
      <c r="M173" s="188"/>
      <c r="N173" s="94">
        <f t="shared" si="52"/>
        <v>0</v>
      </c>
      <c r="O173" s="50" t="s">
        <v>434</v>
      </c>
      <c r="P173" s="51"/>
    </row>
    <row r="174" spans="1:16" s="38" customFormat="1" ht="136.5" thickTop="1" thickBot="1" x14ac:dyDescent="0.25">
      <c r="A174" s="75"/>
      <c r="B174" s="110" t="s">
        <v>37</v>
      </c>
      <c r="C174" s="116"/>
      <c r="D174" s="110" t="s">
        <v>38</v>
      </c>
      <c r="E174" s="113">
        <f>SUM(E175:E186)-E183-E176</f>
        <v>15769810</v>
      </c>
      <c r="F174" s="113">
        <f>SUM(F175:F186)-F183-F176</f>
        <v>4678247.4000000004</v>
      </c>
      <c r="G174" s="113">
        <f>SUM(G175:G186)-G183-G176</f>
        <v>3090180.9</v>
      </c>
      <c r="H174" s="112">
        <f t="shared" si="65"/>
        <v>0.66054242877364711</v>
      </c>
      <c r="I174" s="113">
        <f>SUM(I175:I186)-I183-I176</f>
        <v>110430485.96000001</v>
      </c>
      <c r="J174" s="113">
        <f>SUM(J175:J186)-J183-J176</f>
        <v>11691653.869999999</v>
      </c>
      <c r="K174" s="112">
        <f>J174/I174</f>
        <v>0.10587342587838412</v>
      </c>
      <c r="L174" s="187"/>
      <c r="M174" s="187"/>
      <c r="N174" s="111">
        <f t="shared" si="52"/>
        <v>14781834.77</v>
      </c>
      <c r="O174" s="39"/>
      <c r="P174" s="51"/>
    </row>
    <row r="175" spans="1:16" s="38" customFormat="1" ht="93" thickTop="1" thickBot="1" x14ac:dyDescent="0.25">
      <c r="A175" s="75"/>
      <c r="B175" s="84" t="s">
        <v>407</v>
      </c>
      <c r="C175" s="84" t="s">
        <v>408</v>
      </c>
      <c r="D175" s="84" t="s">
        <v>409</v>
      </c>
      <c r="E175" s="79">
        <v>5260060</v>
      </c>
      <c r="F175" s="79">
        <v>1355820.4</v>
      </c>
      <c r="G175" s="79">
        <v>534427.53</v>
      </c>
      <c r="H175" s="80">
        <f t="shared" si="65"/>
        <v>0.39417280489362755</v>
      </c>
      <c r="I175" s="79"/>
      <c r="J175" s="79"/>
      <c r="K175" s="80"/>
      <c r="L175" s="79"/>
      <c r="M175" s="139"/>
      <c r="N175" s="79">
        <f t="shared" si="52"/>
        <v>534427.53</v>
      </c>
      <c r="O175" s="39"/>
      <c r="P175" s="51"/>
    </row>
    <row r="176" spans="1:16" s="38" customFormat="1" ht="93" thickTop="1" thickBot="1" x14ac:dyDescent="0.25">
      <c r="A176" s="75"/>
      <c r="B176" s="86" t="s">
        <v>471</v>
      </c>
      <c r="C176" s="86"/>
      <c r="D176" s="86" t="s">
        <v>473</v>
      </c>
      <c r="E176" s="87">
        <f>E177</f>
        <v>1019860</v>
      </c>
      <c r="F176" s="87">
        <f>F177</f>
        <v>510000</v>
      </c>
      <c r="G176" s="87">
        <f>G177</f>
        <v>398270.73</v>
      </c>
      <c r="H176" s="88">
        <f t="shared" si="65"/>
        <v>0.78092299999999992</v>
      </c>
      <c r="I176" s="87">
        <f>I177</f>
        <v>0</v>
      </c>
      <c r="J176" s="87">
        <f>J177</f>
        <v>0</v>
      </c>
      <c r="K176" s="88">
        <v>0</v>
      </c>
      <c r="L176" s="87"/>
      <c r="M176" s="136"/>
      <c r="N176" s="87">
        <f t="shared" si="52"/>
        <v>398270.73</v>
      </c>
      <c r="O176" s="155" t="s">
        <v>434</v>
      </c>
      <c r="P176" s="156"/>
    </row>
    <row r="177" spans="1:16" s="38" customFormat="1" ht="93" thickTop="1" thickBot="1" x14ac:dyDescent="0.25">
      <c r="A177" s="75"/>
      <c r="B177" s="84" t="s">
        <v>472</v>
      </c>
      <c r="C177" s="84" t="s">
        <v>374</v>
      </c>
      <c r="D177" s="84" t="s">
        <v>474</v>
      </c>
      <c r="E177" s="79">
        <v>1019860</v>
      </c>
      <c r="F177" s="79">
        <v>510000</v>
      </c>
      <c r="G177" s="79">
        <v>398270.73</v>
      </c>
      <c r="H177" s="80">
        <f t="shared" si="65"/>
        <v>0.78092299999999992</v>
      </c>
      <c r="I177" s="79"/>
      <c r="J177" s="79"/>
      <c r="K177" s="80"/>
      <c r="L177" s="79"/>
      <c r="M177" s="139"/>
      <c r="N177" s="79">
        <f t="shared" si="52"/>
        <v>398270.73</v>
      </c>
      <c r="O177" s="39"/>
      <c r="P177" s="51"/>
    </row>
    <row r="178" spans="1:16" s="38" customFormat="1" ht="138.75" thickTop="1" thickBot="1" x14ac:dyDescent="0.25">
      <c r="A178" s="75"/>
      <c r="B178" s="84" t="s">
        <v>410</v>
      </c>
      <c r="C178" s="84" t="s">
        <v>374</v>
      </c>
      <c r="D178" s="84" t="s">
        <v>411</v>
      </c>
      <c r="E178" s="79">
        <v>1085000</v>
      </c>
      <c r="F178" s="79">
        <v>54277</v>
      </c>
      <c r="G178" s="79">
        <v>7357</v>
      </c>
      <c r="H178" s="80">
        <f t="shared" si="65"/>
        <v>0.13554544282108444</v>
      </c>
      <c r="I178" s="79"/>
      <c r="J178" s="79"/>
      <c r="K178" s="79"/>
      <c r="L178" s="79"/>
      <c r="M178" s="139"/>
      <c r="N178" s="79">
        <f t="shared" si="52"/>
        <v>7357</v>
      </c>
      <c r="O178" s="39"/>
      <c r="P178" s="51"/>
    </row>
    <row r="179" spans="1:16" s="38" customFormat="1" ht="62.25" thickTop="1" thickBot="1" x14ac:dyDescent="0.25">
      <c r="A179" s="75"/>
      <c r="B179" s="84" t="s">
        <v>373</v>
      </c>
      <c r="C179" s="84" t="s">
        <v>374</v>
      </c>
      <c r="D179" s="84" t="s">
        <v>375</v>
      </c>
      <c r="E179" s="78">
        <v>1000000</v>
      </c>
      <c r="F179" s="78">
        <v>500000</v>
      </c>
      <c r="G179" s="78">
        <v>494890.44</v>
      </c>
      <c r="H179" s="80">
        <f t="shared" si="65"/>
        <v>0.98978087999999997</v>
      </c>
      <c r="I179" s="79">
        <f>50830000+2000000+13296993.59</f>
        <v>66126993.590000004</v>
      </c>
      <c r="J179" s="78">
        <v>864445.75</v>
      </c>
      <c r="K179" s="80">
        <f>J179/I179</f>
        <v>1.307250947109026E-2</v>
      </c>
      <c r="L179" s="78"/>
      <c r="M179" s="139"/>
      <c r="N179" s="79">
        <f t="shared" si="52"/>
        <v>1359336.19</v>
      </c>
      <c r="O179" s="155" t="s">
        <v>434</v>
      </c>
      <c r="P179" s="156"/>
    </row>
    <row r="180" spans="1:16" s="38" customFormat="1" ht="138.75" thickTop="1" thickBot="1" x14ac:dyDescent="0.25">
      <c r="A180" s="75"/>
      <c r="B180" s="84" t="s">
        <v>420</v>
      </c>
      <c r="C180" s="84" t="s">
        <v>40</v>
      </c>
      <c r="D180" s="84" t="s">
        <v>421</v>
      </c>
      <c r="E180" s="79"/>
      <c r="F180" s="79"/>
      <c r="G180" s="79"/>
      <c r="H180" s="79"/>
      <c r="I180" s="79">
        <v>50000</v>
      </c>
      <c r="J180" s="79">
        <v>1500</v>
      </c>
      <c r="K180" s="80">
        <f>J180/I180</f>
        <v>0.03</v>
      </c>
      <c r="L180" s="79"/>
      <c r="M180" s="139"/>
      <c r="N180" s="79">
        <f t="shared" si="52"/>
        <v>1500</v>
      </c>
      <c r="O180" s="39"/>
      <c r="P180" s="51"/>
    </row>
    <row r="181" spans="1:16" s="38" customFormat="1" ht="93" thickTop="1" thickBot="1" x14ac:dyDescent="0.25">
      <c r="A181" s="75"/>
      <c r="B181" s="84" t="s">
        <v>189</v>
      </c>
      <c r="C181" s="84" t="s">
        <v>40</v>
      </c>
      <c r="D181" s="84" t="s">
        <v>190</v>
      </c>
      <c r="E181" s="78"/>
      <c r="F181" s="78"/>
      <c r="G181" s="78"/>
      <c r="H181" s="78"/>
      <c r="I181" s="79">
        <f>14000+300000+10845000+23631150</f>
        <v>34790150</v>
      </c>
      <c r="J181" s="78">
        <f>14000+359416.79+7820287.5</f>
        <v>8193704.29</v>
      </c>
      <c r="K181" s="80">
        <f>J181/I181</f>
        <v>0.235517935105195</v>
      </c>
      <c r="L181" s="78"/>
      <c r="M181" s="139"/>
      <c r="N181" s="79">
        <f t="shared" si="52"/>
        <v>8193704.29</v>
      </c>
      <c r="O181" s="39"/>
      <c r="P181" s="51"/>
    </row>
    <row r="182" spans="1:16" s="38" customFormat="1" ht="138.75" thickTop="1" thickBot="1" x14ac:dyDescent="0.25">
      <c r="A182" s="75"/>
      <c r="B182" s="84" t="s">
        <v>39</v>
      </c>
      <c r="C182" s="84" t="s">
        <v>40</v>
      </c>
      <c r="D182" s="84" t="s">
        <v>41</v>
      </c>
      <c r="E182" s="79">
        <v>380000</v>
      </c>
      <c r="F182" s="79">
        <v>168700</v>
      </c>
      <c r="G182" s="79">
        <v>48870.5</v>
      </c>
      <c r="H182" s="80">
        <f t="shared" ref="H182:H183" si="68">G182/F182</f>
        <v>0.28968879668049791</v>
      </c>
      <c r="I182" s="187"/>
      <c r="J182" s="187"/>
      <c r="K182" s="187"/>
      <c r="L182" s="187"/>
      <c r="M182" s="187"/>
      <c r="N182" s="79">
        <f t="shared" si="52"/>
        <v>48870.5</v>
      </c>
      <c r="O182" s="39"/>
      <c r="P182" s="51"/>
    </row>
    <row r="183" spans="1:16" s="38" customFormat="1" ht="48" thickTop="1" thickBot="1" x14ac:dyDescent="0.25">
      <c r="A183" s="75"/>
      <c r="B183" s="86" t="s">
        <v>42</v>
      </c>
      <c r="C183" s="86"/>
      <c r="D183" s="86" t="s">
        <v>376</v>
      </c>
      <c r="E183" s="102">
        <f>SUM(E184:E186)</f>
        <v>7024890</v>
      </c>
      <c r="F183" s="102">
        <f>SUM(F184:F186)</f>
        <v>2089450</v>
      </c>
      <c r="G183" s="102">
        <f>SUM(G184:G186)</f>
        <v>1606364.7</v>
      </c>
      <c r="H183" s="88">
        <f t="shared" si="68"/>
        <v>0.76879786546698892</v>
      </c>
      <c r="I183" s="102">
        <f>SUM(I184:I186)</f>
        <v>9463342.370000001</v>
      </c>
      <c r="J183" s="102">
        <f>SUM(J184:J186)</f>
        <v>2632003.83</v>
      </c>
      <c r="K183" s="88">
        <f>J183/I183</f>
        <v>0.27812623987311152</v>
      </c>
      <c r="L183" s="102"/>
      <c r="M183" s="102"/>
      <c r="N183" s="87">
        <f t="shared" si="52"/>
        <v>4238368.53</v>
      </c>
      <c r="O183" s="39"/>
      <c r="P183" s="51"/>
    </row>
    <row r="184" spans="1:16" s="38" customFormat="1" ht="409.6" thickTop="1" thickBot="1" x14ac:dyDescent="0.7">
      <c r="A184" s="75"/>
      <c r="B184" s="169" t="s">
        <v>43</v>
      </c>
      <c r="C184" s="169" t="s">
        <v>40</v>
      </c>
      <c r="D184" s="117" t="s">
        <v>44</v>
      </c>
      <c r="E184" s="176"/>
      <c r="F184" s="176"/>
      <c r="G184" s="176"/>
      <c r="H184" s="176"/>
      <c r="I184" s="176">
        <f>6014342.37+465000+884000+1300000</f>
        <v>8663342.370000001</v>
      </c>
      <c r="J184" s="176">
        <f>2559531.5+68192.75+4279.58</f>
        <v>2632003.83</v>
      </c>
      <c r="K184" s="189">
        <f>J184/I184</f>
        <v>0.30380928255984413</v>
      </c>
      <c r="L184" s="176"/>
      <c r="M184" s="190"/>
      <c r="N184" s="176">
        <f>J184+G184</f>
        <v>2632003.83</v>
      </c>
      <c r="O184" s="39"/>
      <c r="P184" s="51"/>
    </row>
    <row r="185" spans="1:16" s="38" customFormat="1" ht="184.5" thickTop="1" thickBot="1" x14ac:dyDescent="0.25">
      <c r="A185" s="75"/>
      <c r="B185" s="170"/>
      <c r="C185" s="170"/>
      <c r="D185" s="118" t="s">
        <v>45</v>
      </c>
      <c r="E185" s="177"/>
      <c r="F185" s="177"/>
      <c r="G185" s="177"/>
      <c r="H185" s="177"/>
      <c r="I185" s="177"/>
      <c r="J185" s="177"/>
      <c r="K185" s="191"/>
      <c r="L185" s="177"/>
      <c r="M185" s="192"/>
      <c r="N185" s="177"/>
      <c r="O185" s="39"/>
      <c r="P185" s="51"/>
    </row>
    <row r="186" spans="1:16" s="38" customFormat="1" ht="93" thickTop="1" thickBot="1" x14ac:dyDescent="0.25">
      <c r="A186" s="75"/>
      <c r="B186" s="84" t="s">
        <v>46</v>
      </c>
      <c r="C186" s="84" t="s">
        <v>40</v>
      </c>
      <c r="D186" s="84" t="s">
        <v>47</v>
      </c>
      <c r="E186" s="79">
        <v>7024890</v>
      </c>
      <c r="F186" s="79">
        <v>2089450</v>
      </c>
      <c r="G186" s="79">
        <v>1606364.7</v>
      </c>
      <c r="H186" s="80">
        <f t="shared" ref="H186:H191" si="69">G186/F186</f>
        <v>0.76879786546698892</v>
      </c>
      <c r="I186" s="79">
        <v>800000</v>
      </c>
      <c r="J186" s="79">
        <v>0</v>
      </c>
      <c r="K186" s="80">
        <f>J186/I186</f>
        <v>0</v>
      </c>
      <c r="L186" s="79"/>
      <c r="M186" s="139"/>
      <c r="N186" s="79">
        <f t="shared" ref="N186:N205" si="70">G186+J186</f>
        <v>1606364.7</v>
      </c>
      <c r="O186" s="39"/>
      <c r="P186" s="51"/>
    </row>
    <row r="187" spans="1:16" s="38" customFormat="1" ht="107.45" customHeight="1" thickTop="1" thickBot="1" x14ac:dyDescent="0.25">
      <c r="A187" s="75"/>
      <c r="B187" s="82" t="s">
        <v>48</v>
      </c>
      <c r="C187" s="82"/>
      <c r="D187" s="83" t="s">
        <v>49</v>
      </c>
      <c r="E187" s="81">
        <f>SUM(E188:E199)-E188-E193-E195-E198-E191</f>
        <v>49716153.370000005</v>
      </c>
      <c r="F187" s="81">
        <f>SUM(F188:F199)-F188-F193-F195-F198-F191</f>
        <v>20608862</v>
      </c>
      <c r="G187" s="81">
        <f>SUM(G188:G199)-G188-G193-G195-G198-G191</f>
        <v>14095369.870000001</v>
      </c>
      <c r="H187" s="85">
        <f>G187/F187</f>
        <v>0.68394702579890154</v>
      </c>
      <c r="I187" s="81">
        <f>SUM(I188:I199)-I188-I193-I195-I198-I191</f>
        <v>1395600</v>
      </c>
      <c r="J187" s="81">
        <f>SUM(J188:J199)-J188-J193-J195-J198-J191</f>
        <v>695600</v>
      </c>
      <c r="K187" s="85">
        <f>J187/I187</f>
        <v>0.49842361708225852</v>
      </c>
      <c r="L187" s="81"/>
      <c r="M187" s="81"/>
      <c r="N187" s="141">
        <f>J187+G187</f>
        <v>14790969.870000001</v>
      </c>
      <c r="O187" s="53" t="b">
        <f>N187=N189+N190+N194+N196+N197+N199+N192</f>
        <v>1</v>
      </c>
      <c r="P187" s="51"/>
    </row>
    <row r="188" spans="1:16" s="38" customFormat="1" ht="107.45" customHeight="1" thickTop="1" thickBot="1" x14ac:dyDescent="0.25">
      <c r="A188" s="75"/>
      <c r="B188" s="110" t="s">
        <v>387</v>
      </c>
      <c r="C188" s="110"/>
      <c r="D188" s="119" t="s">
        <v>388</v>
      </c>
      <c r="E188" s="111">
        <f>SUM(E189:E190)</f>
        <v>2729070</v>
      </c>
      <c r="F188" s="111">
        <f>SUM(F189:F190)</f>
        <v>1178447</v>
      </c>
      <c r="G188" s="111">
        <f>SUM(G189:G190)</f>
        <v>943910.9</v>
      </c>
      <c r="H188" s="112">
        <f t="shared" si="69"/>
        <v>0.80097866089862335</v>
      </c>
      <c r="I188" s="111">
        <f>SUM(I189:I190)</f>
        <v>0</v>
      </c>
      <c r="J188" s="111">
        <f>SUM(J189:J190)</f>
        <v>0</v>
      </c>
      <c r="K188" s="112">
        <v>0</v>
      </c>
      <c r="L188" s="111"/>
      <c r="M188" s="111"/>
      <c r="N188" s="111">
        <f t="shared" si="70"/>
        <v>943910.9</v>
      </c>
      <c r="O188" s="155" t="s">
        <v>434</v>
      </c>
      <c r="P188" s="156"/>
    </row>
    <row r="189" spans="1:16" s="38" customFormat="1" ht="184.5" thickTop="1" thickBot="1" x14ac:dyDescent="0.25">
      <c r="A189" s="75"/>
      <c r="B189" s="84" t="s">
        <v>389</v>
      </c>
      <c r="C189" s="84" t="s">
        <v>390</v>
      </c>
      <c r="D189" s="84" t="s">
        <v>391</v>
      </c>
      <c r="E189" s="78">
        <v>200000</v>
      </c>
      <c r="F189" s="78">
        <v>200000</v>
      </c>
      <c r="G189" s="78">
        <v>0</v>
      </c>
      <c r="H189" s="80">
        <f>G189/F189</f>
        <v>0</v>
      </c>
      <c r="I189" s="79"/>
      <c r="J189" s="78"/>
      <c r="K189" s="78"/>
      <c r="L189" s="78"/>
      <c r="M189" s="139"/>
      <c r="N189" s="79">
        <f t="shared" si="70"/>
        <v>0</v>
      </c>
      <c r="O189" s="155"/>
      <c r="P189" s="156"/>
    </row>
    <row r="190" spans="1:16" s="38" customFormat="1" ht="93" thickTop="1" thickBot="1" x14ac:dyDescent="0.25">
      <c r="A190" s="75"/>
      <c r="B190" s="84" t="s">
        <v>392</v>
      </c>
      <c r="C190" s="84" t="s">
        <v>390</v>
      </c>
      <c r="D190" s="84" t="s">
        <v>393</v>
      </c>
      <c r="E190" s="78">
        <v>2529070</v>
      </c>
      <c r="F190" s="78">
        <v>978447</v>
      </c>
      <c r="G190" s="78">
        <v>943910.9</v>
      </c>
      <c r="H190" s="80">
        <f t="shared" si="69"/>
        <v>0.96470314692568937</v>
      </c>
      <c r="I190" s="79"/>
      <c r="J190" s="79"/>
      <c r="K190" s="80"/>
      <c r="L190" s="78"/>
      <c r="M190" s="139"/>
      <c r="N190" s="79">
        <f t="shared" si="70"/>
        <v>943910.9</v>
      </c>
      <c r="O190" s="12"/>
      <c r="P190" s="51"/>
    </row>
    <row r="191" spans="1:16" s="38" customFormat="1" ht="91.5" thickTop="1" thickBot="1" x14ac:dyDescent="0.25">
      <c r="A191" s="75"/>
      <c r="B191" s="120" t="s">
        <v>517</v>
      </c>
      <c r="C191" s="120"/>
      <c r="D191" s="120" t="s">
        <v>518</v>
      </c>
      <c r="E191" s="113">
        <f>E192</f>
        <v>10578315</v>
      </c>
      <c r="F191" s="113">
        <f>F192</f>
        <v>10578315</v>
      </c>
      <c r="G191" s="113">
        <f>G192</f>
        <v>7214015.8399999999</v>
      </c>
      <c r="H191" s="112">
        <f t="shared" si="69"/>
        <v>0.6819626604047998</v>
      </c>
      <c r="I191" s="113">
        <f>I192</f>
        <v>695600</v>
      </c>
      <c r="J191" s="113">
        <f>J192</f>
        <v>695600</v>
      </c>
      <c r="K191" s="88">
        <f>J191/I191</f>
        <v>1</v>
      </c>
      <c r="L191" s="113"/>
      <c r="M191" s="113"/>
      <c r="N191" s="111">
        <f t="shared" ref="N191:N192" si="71">G191+J191</f>
        <v>7909615.8399999999</v>
      </c>
      <c r="O191" s="155"/>
      <c r="P191" s="156"/>
    </row>
    <row r="192" spans="1:16" s="38" customFormat="1" ht="93" thickTop="1" thickBot="1" x14ac:dyDescent="0.25">
      <c r="A192" s="75"/>
      <c r="B192" s="115" t="s">
        <v>519</v>
      </c>
      <c r="C192" s="115" t="s">
        <v>520</v>
      </c>
      <c r="D192" s="115" t="s">
        <v>521</v>
      </c>
      <c r="E192" s="78">
        <v>10578315</v>
      </c>
      <c r="F192" s="78">
        <v>10578315</v>
      </c>
      <c r="G192" s="78">
        <v>7214015.8399999999</v>
      </c>
      <c r="H192" s="80">
        <f>G192/F192</f>
        <v>0.6819626604047998</v>
      </c>
      <c r="I192" s="79">
        <v>695600</v>
      </c>
      <c r="J192" s="78">
        <v>695600</v>
      </c>
      <c r="K192" s="88">
        <f>J192/I192</f>
        <v>1</v>
      </c>
      <c r="L192" s="78"/>
      <c r="M192" s="139"/>
      <c r="N192" s="79">
        <f t="shared" si="71"/>
        <v>7909615.8399999999</v>
      </c>
      <c r="O192" s="12"/>
      <c r="P192" s="51"/>
    </row>
    <row r="193" spans="1:17" s="38" customFormat="1" ht="91.5" thickTop="1" thickBot="1" x14ac:dyDescent="0.25">
      <c r="A193" s="75"/>
      <c r="B193" s="110" t="s">
        <v>412</v>
      </c>
      <c r="C193" s="110"/>
      <c r="D193" s="110" t="s">
        <v>413</v>
      </c>
      <c r="E193" s="113">
        <f>SUM(E194:E194)</f>
        <v>0</v>
      </c>
      <c r="F193" s="113">
        <f>SUM(F194:F194)</f>
        <v>0</v>
      </c>
      <c r="G193" s="113">
        <f>SUM(G194:G194)</f>
        <v>0</v>
      </c>
      <c r="H193" s="112">
        <v>0</v>
      </c>
      <c r="I193" s="113">
        <f>SUM(I194:I194)</f>
        <v>700000</v>
      </c>
      <c r="J193" s="113">
        <f>SUM(J194:J194)</f>
        <v>0</v>
      </c>
      <c r="K193" s="112">
        <f t="shared" ref="K193:K194" si="72">J193/I193</f>
        <v>0</v>
      </c>
      <c r="L193" s="113"/>
      <c r="M193" s="113"/>
      <c r="N193" s="111">
        <f t="shared" si="70"/>
        <v>0</v>
      </c>
      <c r="O193" s="155" t="s">
        <v>434</v>
      </c>
      <c r="P193" s="156"/>
    </row>
    <row r="194" spans="1:17" s="38" customFormat="1" ht="93" thickTop="1" thickBot="1" x14ac:dyDescent="0.25">
      <c r="A194" s="75"/>
      <c r="B194" s="84" t="s">
        <v>525</v>
      </c>
      <c r="C194" s="84" t="s">
        <v>414</v>
      </c>
      <c r="D194" s="84" t="s">
        <v>526</v>
      </c>
      <c r="E194" s="79"/>
      <c r="F194" s="79"/>
      <c r="G194" s="79"/>
      <c r="H194" s="79"/>
      <c r="I194" s="79">
        <v>700000</v>
      </c>
      <c r="J194" s="79">
        <v>0</v>
      </c>
      <c r="K194" s="80">
        <f t="shared" si="72"/>
        <v>0</v>
      </c>
      <c r="L194" s="79"/>
      <c r="M194" s="139"/>
      <c r="N194" s="79">
        <f t="shared" si="70"/>
        <v>0</v>
      </c>
      <c r="O194" s="39"/>
      <c r="P194" s="51"/>
    </row>
    <row r="195" spans="1:17" s="38" customFormat="1" ht="62.25" thickTop="1" thickBot="1" x14ac:dyDescent="0.25">
      <c r="A195" s="75"/>
      <c r="B195" s="110" t="s">
        <v>50</v>
      </c>
      <c r="C195" s="110"/>
      <c r="D195" s="110" t="s">
        <v>51</v>
      </c>
      <c r="E195" s="111">
        <f>SUM(E196)</f>
        <v>7313195</v>
      </c>
      <c r="F195" s="111">
        <f t="shared" ref="F195:J195" si="73">SUM(F196)</f>
        <v>3656615</v>
      </c>
      <c r="G195" s="111">
        <f t="shared" si="73"/>
        <v>2875857.15</v>
      </c>
      <c r="H195" s="112">
        <f t="shared" ref="H195:H197" si="74">G195/F195</f>
        <v>0.78648070688327865</v>
      </c>
      <c r="I195" s="111">
        <f t="shared" si="73"/>
        <v>0</v>
      </c>
      <c r="J195" s="111">
        <f t="shared" si="73"/>
        <v>0</v>
      </c>
      <c r="K195" s="112">
        <v>0</v>
      </c>
      <c r="L195" s="111"/>
      <c r="M195" s="111"/>
      <c r="N195" s="111">
        <f t="shared" si="70"/>
        <v>2875857.15</v>
      </c>
      <c r="O195" s="155" t="s">
        <v>434</v>
      </c>
      <c r="P195" s="156"/>
    </row>
    <row r="196" spans="1:17" s="38" customFormat="1" ht="93" thickTop="1" thickBot="1" x14ac:dyDescent="0.25">
      <c r="A196" s="75"/>
      <c r="B196" s="84" t="s">
        <v>52</v>
      </c>
      <c r="C196" s="84" t="s">
        <v>53</v>
      </c>
      <c r="D196" s="84" t="s">
        <v>54</v>
      </c>
      <c r="E196" s="79">
        <v>7313195</v>
      </c>
      <c r="F196" s="79">
        <v>3656615</v>
      </c>
      <c r="G196" s="79">
        <v>2875857.15</v>
      </c>
      <c r="H196" s="80">
        <f t="shared" si="74"/>
        <v>0.78648070688327865</v>
      </c>
      <c r="I196" s="79"/>
      <c r="J196" s="79"/>
      <c r="K196" s="79"/>
      <c r="L196" s="79"/>
      <c r="M196" s="139"/>
      <c r="N196" s="79">
        <f t="shared" si="70"/>
        <v>2875857.15</v>
      </c>
      <c r="O196" s="39"/>
      <c r="P196" s="51"/>
    </row>
    <row r="197" spans="1:17" s="38" customFormat="1" ht="91.5" thickTop="1" thickBot="1" x14ac:dyDescent="0.25">
      <c r="A197" s="75"/>
      <c r="B197" s="121">
        <v>8600</v>
      </c>
      <c r="C197" s="110" t="s">
        <v>25</v>
      </c>
      <c r="D197" s="121" t="s">
        <v>422</v>
      </c>
      <c r="E197" s="111">
        <v>9112018</v>
      </c>
      <c r="F197" s="111">
        <v>5195485</v>
      </c>
      <c r="G197" s="111">
        <v>3061585.98</v>
      </c>
      <c r="H197" s="112">
        <f t="shared" si="74"/>
        <v>0.58927818673328858</v>
      </c>
      <c r="I197" s="111"/>
      <c r="J197" s="111"/>
      <c r="K197" s="111"/>
      <c r="L197" s="111"/>
      <c r="M197" s="133"/>
      <c r="N197" s="111">
        <f t="shared" si="70"/>
        <v>3061585.98</v>
      </c>
      <c r="O197" s="39"/>
      <c r="P197" s="51"/>
    </row>
    <row r="198" spans="1:17" s="38" customFormat="1" ht="62.25" thickTop="1" thickBot="1" x14ac:dyDescent="0.25">
      <c r="A198" s="75"/>
      <c r="B198" s="121">
        <v>8700</v>
      </c>
      <c r="C198" s="110"/>
      <c r="D198" s="121" t="s">
        <v>423</v>
      </c>
      <c r="E198" s="111">
        <f t="shared" ref="E198:J198" si="75">E199</f>
        <v>19983555.370000001</v>
      </c>
      <c r="F198" s="111">
        <f t="shared" si="75"/>
        <v>0</v>
      </c>
      <c r="G198" s="111">
        <f t="shared" si="75"/>
        <v>0</v>
      </c>
      <c r="H198" s="112">
        <v>0</v>
      </c>
      <c r="I198" s="111">
        <f t="shared" si="75"/>
        <v>0</v>
      </c>
      <c r="J198" s="111">
        <f t="shared" si="75"/>
        <v>0</v>
      </c>
      <c r="K198" s="112">
        <v>0</v>
      </c>
      <c r="L198" s="111"/>
      <c r="M198" s="111"/>
      <c r="N198" s="111">
        <f t="shared" si="70"/>
        <v>0</v>
      </c>
      <c r="O198" s="155" t="s">
        <v>434</v>
      </c>
      <c r="P198" s="156"/>
    </row>
    <row r="199" spans="1:17" s="38" customFormat="1" ht="93" thickTop="1" thickBot="1" x14ac:dyDescent="0.25">
      <c r="A199" s="75"/>
      <c r="B199" s="98">
        <v>8710</v>
      </c>
      <c r="C199" s="84" t="s">
        <v>30</v>
      </c>
      <c r="D199" s="97" t="s">
        <v>424</v>
      </c>
      <c r="E199" s="79">
        <v>19983555.370000001</v>
      </c>
      <c r="F199" s="79">
        <v>0</v>
      </c>
      <c r="G199" s="79">
        <v>0</v>
      </c>
      <c r="H199" s="80">
        <v>0</v>
      </c>
      <c r="I199" s="79"/>
      <c r="J199" s="79"/>
      <c r="K199" s="79"/>
      <c r="L199" s="79"/>
      <c r="M199" s="139"/>
      <c r="N199" s="79">
        <f t="shared" si="70"/>
        <v>0</v>
      </c>
      <c r="O199" s="155" t="s">
        <v>434</v>
      </c>
      <c r="P199" s="156"/>
    </row>
    <row r="200" spans="1:17" s="38" customFormat="1" ht="103.7" customHeight="1" thickTop="1" thickBot="1" x14ac:dyDescent="0.25">
      <c r="A200" s="75"/>
      <c r="B200" s="82" t="s">
        <v>55</v>
      </c>
      <c r="C200" s="82"/>
      <c r="D200" s="83" t="s">
        <v>56</v>
      </c>
      <c r="E200" s="81">
        <f>SUM(E201:E206)-E201-E203</f>
        <v>104506600</v>
      </c>
      <c r="F200" s="81">
        <f>SUM(F201:F206)-F201-F203</f>
        <v>58397230</v>
      </c>
      <c r="G200" s="81">
        <f>SUM(G201:G206)-G201-G203</f>
        <v>25049603.32</v>
      </c>
      <c r="H200" s="85">
        <f>G200/F200</f>
        <v>0.42895190953406526</v>
      </c>
      <c r="I200" s="81">
        <f>SUM(I201:I206)-I201-I203</f>
        <v>1154000</v>
      </c>
      <c r="J200" s="81">
        <f>SUM(J201:J206)-J201-J203</f>
        <v>1154000</v>
      </c>
      <c r="K200" s="85">
        <f>J200/I200</f>
        <v>1</v>
      </c>
      <c r="L200" s="81"/>
      <c r="M200" s="81"/>
      <c r="N200" s="141">
        <f>J200+G200</f>
        <v>26203603.32</v>
      </c>
      <c r="O200" s="53" t="b">
        <f>N200=N202+N204+N205+N206</f>
        <v>1</v>
      </c>
      <c r="P200" s="155"/>
      <c r="Q200" s="156"/>
    </row>
    <row r="201" spans="1:17" s="38" customFormat="1" ht="103.7" customHeight="1" thickTop="1" thickBot="1" x14ac:dyDescent="0.25">
      <c r="A201" s="75"/>
      <c r="B201" s="110" t="s">
        <v>425</v>
      </c>
      <c r="C201" s="110"/>
      <c r="D201" s="110" t="s">
        <v>426</v>
      </c>
      <c r="E201" s="111">
        <f t="shared" ref="E201:J201" si="76">E202</f>
        <v>91712900</v>
      </c>
      <c r="F201" s="111">
        <f t="shared" si="76"/>
        <v>45856200</v>
      </c>
      <c r="G201" s="111">
        <f t="shared" si="76"/>
        <v>12737833.32</v>
      </c>
      <c r="H201" s="112">
        <f t="shared" ref="H201:H204" si="77">G201/F201</f>
        <v>0.27777777748701377</v>
      </c>
      <c r="I201" s="111">
        <f t="shared" si="76"/>
        <v>0</v>
      </c>
      <c r="J201" s="111">
        <f t="shared" si="76"/>
        <v>0</v>
      </c>
      <c r="K201" s="112">
        <v>0</v>
      </c>
      <c r="L201" s="111"/>
      <c r="M201" s="111"/>
      <c r="N201" s="111">
        <f t="shared" si="70"/>
        <v>12737833.32</v>
      </c>
      <c r="O201" s="155" t="s">
        <v>434</v>
      </c>
      <c r="P201" s="156"/>
    </row>
    <row r="202" spans="1:17" s="38" customFormat="1" ht="103.7" customHeight="1" thickTop="1" thickBot="1" x14ac:dyDescent="0.25">
      <c r="A202" s="75"/>
      <c r="B202" s="98">
        <v>9110</v>
      </c>
      <c r="C202" s="84" t="s">
        <v>29</v>
      </c>
      <c r="D202" s="97" t="s">
        <v>427</v>
      </c>
      <c r="E202" s="79">
        <v>91712900</v>
      </c>
      <c r="F202" s="79">
        <v>45856200</v>
      </c>
      <c r="G202" s="79">
        <v>12737833.32</v>
      </c>
      <c r="H202" s="80">
        <f t="shared" si="77"/>
        <v>0.27777777748701377</v>
      </c>
      <c r="I202" s="79"/>
      <c r="J202" s="79"/>
      <c r="K202" s="79"/>
      <c r="L202" s="79"/>
      <c r="M202" s="139"/>
      <c r="N202" s="79">
        <f t="shared" si="70"/>
        <v>12737833.32</v>
      </c>
      <c r="O202" s="12"/>
    </row>
    <row r="203" spans="1:17" s="38" customFormat="1" ht="271.5" thickTop="1" thickBot="1" x14ac:dyDescent="0.25">
      <c r="A203" s="75"/>
      <c r="B203" s="110" t="s">
        <v>57</v>
      </c>
      <c r="C203" s="110"/>
      <c r="D203" s="110" t="s">
        <v>58</v>
      </c>
      <c r="E203" s="111">
        <f>SUM(E204:E205)</f>
        <v>732700</v>
      </c>
      <c r="F203" s="111">
        <f t="shared" ref="F203:G203" si="78">SUM(F204:F205)</f>
        <v>480030</v>
      </c>
      <c r="G203" s="111">
        <f t="shared" si="78"/>
        <v>400770</v>
      </c>
      <c r="H203" s="112">
        <f t="shared" si="77"/>
        <v>0.83488531966752078</v>
      </c>
      <c r="I203" s="111">
        <f t="shared" ref="I203:J203" si="79">SUM(I204:I205)</f>
        <v>0</v>
      </c>
      <c r="J203" s="111">
        <f t="shared" si="79"/>
        <v>0</v>
      </c>
      <c r="K203" s="112">
        <v>0</v>
      </c>
      <c r="L203" s="111"/>
      <c r="M203" s="111"/>
      <c r="N203" s="111">
        <f t="shared" si="70"/>
        <v>400770</v>
      </c>
      <c r="O203" s="155" t="s">
        <v>434</v>
      </c>
      <c r="P203" s="156"/>
    </row>
    <row r="204" spans="1:17" s="38" customFormat="1" ht="276" thickTop="1" thickBot="1" x14ac:dyDescent="0.25">
      <c r="A204" s="75"/>
      <c r="B204" s="84" t="s">
        <v>59</v>
      </c>
      <c r="C204" s="84" t="s">
        <v>29</v>
      </c>
      <c r="D204" s="84" t="s">
        <v>60</v>
      </c>
      <c r="E204" s="79">
        <v>600600</v>
      </c>
      <c r="F204" s="79">
        <v>400770</v>
      </c>
      <c r="G204" s="79">
        <v>400770</v>
      </c>
      <c r="H204" s="80">
        <f t="shared" si="77"/>
        <v>1</v>
      </c>
      <c r="I204" s="79"/>
      <c r="J204" s="79"/>
      <c r="K204" s="79"/>
      <c r="L204" s="79"/>
      <c r="M204" s="139"/>
      <c r="N204" s="79">
        <f t="shared" si="70"/>
        <v>400770</v>
      </c>
      <c r="O204" s="39"/>
      <c r="P204" s="51"/>
    </row>
    <row r="205" spans="1:17" s="38" customFormat="1" ht="93" thickTop="1" thickBot="1" x14ac:dyDescent="0.8">
      <c r="A205" s="75"/>
      <c r="B205" s="84" t="s">
        <v>61</v>
      </c>
      <c r="C205" s="84" t="s">
        <v>29</v>
      </c>
      <c r="D205" s="84" t="s">
        <v>62</v>
      </c>
      <c r="E205" s="79">
        <v>132100</v>
      </c>
      <c r="F205" s="79">
        <v>79260</v>
      </c>
      <c r="G205" s="79">
        <v>0</v>
      </c>
      <c r="H205" s="80">
        <f>G205/F205</f>
        <v>0</v>
      </c>
      <c r="I205" s="79"/>
      <c r="J205" s="79"/>
      <c r="K205" s="80"/>
      <c r="L205" s="79"/>
      <c r="M205" s="139"/>
      <c r="N205" s="79">
        <f t="shared" si="70"/>
        <v>0</v>
      </c>
      <c r="O205" s="55"/>
      <c r="P205" s="51"/>
    </row>
    <row r="206" spans="1:17" s="38" customFormat="1" ht="271.5" thickTop="1" thickBot="1" x14ac:dyDescent="0.25">
      <c r="A206" s="75"/>
      <c r="B206" s="110" t="s">
        <v>63</v>
      </c>
      <c r="C206" s="110" t="s">
        <v>29</v>
      </c>
      <c r="D206" s="110" t="s">
        <v>64</v>
      </c>
      <c r="E206" s="122">
        <v>12061000</v>
      </c>
      <c r="F206" s="122">
        <v>12061000</v>
      </c>
      <c r="G206" s="122">
        <v>11911000</v>
      </c>
      <c r="H206" s="123">
        <f t="shared" ref="H206" si="80">G206/F206</f>
        <v>0.98756322029682453</v>
      </c>
      <c r="I206" s="122">
        <v>1154000</v>
      </c>
      <c r="J206" s="122">
        <v>1154000</v>
      </c>
      <c r="K206" s="123">
        <f t="shared" ref="K206" si="81">J206/I206</f>
        <v>1</v>
      </c>
      <c r="L206" s="111"/>
      <c r="M206" s="111"/>
      <c r="N206" s="122">
        <f t="shared" ref="N206" si="82">G206+J206</f>
        <v>13065000</v>
      </c>
      <c r="O206" s="39"/>
      <c r="P206" s="51"/>
    </row>
    <row r="207" spans="1:17" s="38" customFormat="1" ht="71.45" customHeight="1" thickTop="1" thickBot="1" x14ac:dyDescent="0.25">
      <c r="A207" s="75"/>
      <c r="B207" s="124" t="s">
        <v>428</v>
      </c>
      <c r="C207" s="124" t="s">
        <v>428</v>
      </c>
      <c r="D207" s="125" t="s">
        <v>437</v>
      </c>
      <c r="E207" s="126">
        <f>E14+E19+E51+E64+E109+E118+E133+E147+E187+E200</f>
        <v>3267259727.6699996</v>
      </c>
      <c r="F207" s="126">
        <f>F14+F19+F51+F64+F109+F118+F133+F147+F187+F200</f>
        <v>1568123910.55</v>
      </c>
      <c r="G207" s="126">
        <f>G14+G19+G51+G64+G109+G118+G133+G147+G187+G200</f>
        <v>1421302488.8199995</v>
      </c>
      <c r="H207" s="127">
        <f>G207/F207</f>
        <v>0.90637128817294499</v>
      </c>
      <c r="I207" s="126">
        <f>I14+I19+I51+I64+I109+I118+I133+I147+I187+I200</f>
        <v>447811542.16000009</v>
      </c>
      <c r="J207" s="126">
        <f>J14+J19+J51+J64+J109+J118+J133+J147+J187+J200</f>
        <v>60150665.43</v>
      </c>
      <c r="K207" s="127">
        <f>J207/I207</f>
        <v>0.13432138247233602</v>
      </c>
      <c r="L207" s="126" t="e">
        <f>#REF!+#REF!+#REF!+#REF!+#REF!+#REF!++L126+L134+L196+L157+L178+L190+L142+#REF!+#REF!</f>
        <v>#REF!</v>
      </c>
      <c r="M207" s="126" t="e">
        <f>#REF!+#REF!+#REF!+#REF!+#REF!+#REF!++M126+M134+M196+M157+M178+M190+M142+#REF!+#REF!</f>
        <v>#REF!</v>
      </c>
      <c r="N207" s="126">
        <f>N14+N19+N51+N64+N109+N118+N133+N147+N187+N200</f>
        <v>1481453154.2499993</v>
      </c>
      <c r="O207" s="53" t="b">
        <f>N207=J207+G207</f>
        <v>1</v>
      </c>
      <c r="P207" s="51"/>
    </row>
    <row r="208" spans="1:17" s="38" customFormat="1" ht="62.25" thickTop="1" thickBot="1" x14ac:dyDescent="0.25">
      <c r="A208" s="75"/>
      <c r="B208" s="116" t="s">
        <v>48</v>
      </c>
      <c r="C208" s="128"/>
      <c r="D208" s="129" t="s">
        <v>442</v>
      </c>
      <c r="E208" s="130">
        <f t="shared" ref="E208:G209" si="83">E209</f>
        <v>500000</v>
      </c>
      <c r="F208" s="130">
        <f t="shared" si="83"/>
        <v>500000</v>
      </c>
      <c r="G208" s="130">
        <f t="shared" si="83"/>
        <v>0</v>
      </c>
      <c r="H208" s="131">
        <v>0</v>
      </c>
      <c r="I208" s="130">
        <f>I209</f>
        <v>0</v>
      </c>
      <c r="J208" s="130">
        <f>J209</f>
        <v>-66417.58</v>
      </c>
      <c r="K208" s="123"/>
      <c r="L208" s="130"/>
      <c r="M208" s="130"/>
      <c r="N208" s="122">
        <f t="shared" ref="N208:N212" si="84">G208+J208</f>
        <v>-66417.58</v>
      </c>
      <c r="O208" s="155" t="s">
        <v>434</v>
      </c>
      <c r="P208" s="156"/>
    </row>
    <row r="209" spans="1:27" s="38" customFormat="1" ht="62.25" thickTop="1" thickBot="1" x14ac:dyDescent="0.25">
      <c r="A209" s="75"/>
      <c r="B209" s="110" t="s">
        <v>440</v>
      </c>
      <c r="C209" s="128"/>
      <c r="D209" s="132" t="s">
        <v>443</v>
      </c>
      <c r="E209" s="133">
        <f t="shared" si="83"/>
        <v>500000</v>
      </c>
      <c r="F209" s="133">
        <f t="shared" si="83"/>
        <v>500000</v>
      </c>
      <c r="G209" s="133">
        <f t="shared" si="83"/>
        <v>0</v>
      </c>
      <c r="H209" s="134">
        <v>0</v>
      </c>
      <c r="I209" s="133">
        <f>I210</f>
        <v>0</v>
      </c>
      <c r="J209" s="133">
        <f>J210</f>
        <v>-66417.58</v>
      </c>
      <c r="K209" s="112"/>
      <c r="L209" s="133"/>
      <c r="M209" s="133"/>
      <c r="N209" s="111">
        <f t="shared" si="84"/>
        <v>-66417.58</v>
      </c>
      <c r="O209" s="155" t="s">
        <v>434</v>
      </c>
      <c r="P209" s="156"/>
    </row>
    <row r="210" spans="1:27" s="38" customFormat="1" ht="321.75" thickTop="1" thickBot="1" x14ac:dyDescent="0.25">
      <c r="A210" s="75"/>
      <c r="B210" s="86" t="s">
        <v>441</v>
      </c>
      <c r="C210" s="128"/>
      <c r="D210" s="135" t="s">
        <v>444</v>
      </c>
      <c r="E210" s="136">
        <f>E211+E212</f>
        <v>500000</v>
      </c>
      <c r="F210" s="136">
        <f>F211+F212</f>
        <v>500000</v>
      </c>
      <c r="G210" s="136">
        <f>G211+G212</f>
        <v>0</v>
      </c>
      <c r="H210" s="88">
        <v>0</v>
      </c>
      <c r="I210" s="136">
        <f>I211+I212</f>
        <v>0</v>
      </c>
      <c r="J210" s="136">
        <f>J211+J212</f>
        <v>-66417.58</v>
      </c>
      <c r="K210" s="80"/>
      <c r="L210" s="136"/>
      <c r="M210" s="136"/>
      <c r="N210" s="87">
        <f t="shared" si="84"/>
        <v>-66417.58</v>
      </c>
      <c r="O210" s="155" t="s">
        <v>434</v>
      </c>
      <c r="P210" s="156"/>
    </row>
    <row r="211" spans="1:27" s="38" customFormat="1" ht="276" thickTop="1" thickBot="1" x14ac:dyDescent="0.25">
      <c r="A211" s="75"/>
      <c r="B211" s="137" t="s">
        <v>438</v>
      </c>
      <c r="C211" s="128"/>
      <c r="D211" s="138" t="s">
        <v>445</v>
      </c>
      <c r="E211" s="139">
        <v>500000</v>
      </c>
      <c r="F211" s="139">
        <v>500000</v>
      </c>
      <c r="G211" s="139">
        <v>0</v>
      </c>
      <c r="H211" s="80">
        <v>0</v>
      </c>
      <c r="I211" s="139">
        <v>150000</v>
      </c>
      <c r="J211" s="139">
        <v>0</v>
      </c>
      <c r="K211" s="80">
        <f t="shared" ref="K211:K212" si="85">J211/I211</f>
        <v>0</v>
      </c>
      <c r="L211" s="130"/>
      <c r="M211" s="130"/>
      <c r="N211" s="79">
        <f t="shared" si="84"/>
        <v>0</v>
      </c>
      <c r="O211" s="155" t="s">
        <v>434</v>
      </c>
      <c r="P211" s="156"/>
    </row>
    <row r="212" spans="1:27" s="38" customFormat="1" ht="321.75" thickTop="1" thickBot="1" x14ac:dyDescent="1.2">
      <c r="A212" s="75"/>
      <c r="B212" s="137" t="s">
        <v>439</v>
      </c>
      <c r="C212" s="128"/>
      <c r="D212" s="138" t="s">
        <v>446</v>
      </c>
      <c r="E212" s="130"/>
      <c r="F212" s="130"/>
      <c r="G212" s="130"/>
      <c r="H212" s="131"/>
      <c r="I212" s="139">
        <v>-150000</v>
      </c>
      <c r="J212" s="139">
        <v>-66417.58</v>
      </c>
      <c r="K212" s="80">
        <f t="shared" si="85"/>
        <v>0.44278386666666669</v>
      </c>
      <c r="L212" s="130"/>
      <c r="M212" s="130"/>
      <c r="N212" s="79">
        <f t="shared" si="84"/>
        <v>-66417.58</v>
      </c>
      <c r="O212" s="39"/>
      <c r="P212" s="51"/>
      <c r="AA212" s="57"/>
    </row>
    <row r="213" spans="1:27" s="38" customFormat="1" ht="119.25" customHeight="1" thickTop="1" thickBot="1" x14ac:dyDescent="0.25">
      <c r="A213" s="75"/>
      <c r="B213" s="124" t="s">
        <v>428</v>
      </c>
      <c r="C213" s="124" t="s">
        <v>428</v>
      </c>
      <c r="D213" s="125" t="s">
        <v>429</v>
      </c>
      <c r="E213" s="126">
        <f>E207+E208</f>
        <v>3267759727.6699996</v>
      </c>
      <c r="F213" s="126">
        <f>F207+F208</f>
        <v>1568623910.55</v>
      </c>
      <c r="G213" s="126">
        <f>G207+G208</f>
        <v>1421302488.8199995</v>
      </c>
      <c r="H213" s="127">
        <f>G213/F213</f>
        <v>0.90608238167277089</v>
      </c>
      <c r="I213" s="126">
        <f>I207+I208</f>
        <v>447811542.16000009</v>
      </c>
      <c r="J213" s="126">
        <f>J207+J208</f>
        <v>60084247.850000001</v>
      </c>
      <c r="K213" s="127">
        <f>J213/I213</f>
        <v>0.13417306655426112</v>
      </c>
      <c r="L213" s="126" t="e">
        <f>#REF!+#REF!+#REF!+#REF!+#REF!+#REF!++L132+L140+L202+L170+L184+#REF!+L150+#REF!+#REF!</f>
        <v>#REF!</v>
      </c>
      <c r="M213" s="126" t="e">
        <f>#REF!+#REF!+#REF!+#REF!+#REF!+#REF!++M132+M140+M202+M170+M184+#REF!+M150+#REF!+#REF!</f>
        <v>#REF!</v>
      </c>
      <c r="N213" s="126">
        <f>N207+N208</f>
        <v>1481386736.6699994</v>
      </c>
      <c r="O213" s="53" t="b">
        <f>N213=J213+G213</f>
        <v>1</v>
      </c>
      <c r="P213" s="51"/>
    </row>
    <row r="214" spans="1:27" ht="58.7" customHeight="1" thickTop="1" x14ac:dyDescent="0.2">
      <c r="A214" s="174" t="s">
        <v>547</v>
      </c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40"/>
    </row>
    <row r="215" spans="1:27" ht="45.75" x14ac:dyDescent="0.65">
      <c r="A215" s="41"/>
      <c r="B215" s="42"/>
      <c r="C215" s="42"/>
      <c r="D215" s="43" t="s">
        <v>503</v>
      </c>
      <c r="E215" s="140"/>
      <c r="F215" s="140"/>
      <c r="G215" s="43"/>
      <c r="H215" s="45"/>
      <c r="I215" s="43" t="s">
        <v>504</v>
      </c>
      <c r="J215" s="45"/>
      <c r="K215" s="45"/>
      <c r="L215" s="45"/>
      <c r="M215" s="45"/>
      <c r="N215" s="45"/>
      <c r="O215" s="40"/>
    </row>
    <row r="216" spans="1:27" ht="23.25" customHeight="1" x14ac:dyDescent="0.65">
      <c r="A216" s="76"/>
      <c r="B216" s="77"/>
      <c r="C216" s="77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40"/>
    </row>
    <row r="217" spans="1:27" ht="45.75" x14ac:dyDescent="0.65">
      <c r="A217" s="41"/>
      <c r="B217" s="42"/>
      <c r="C217" s="42"/>
      <c r="D217" s="43" t="s">
        <v>536</v>
      </c>
      <c r="E217" s="44"/>
      <c r="F217" s="44"/>
      <c r="G217" s="43"/>
      <c r="H217" s="45"/>
      <c r="I217" s="43" t="s">
        <v>537</v>
      </c>
      <c r="J217" s="45"/>
      <c r="K217" s="45"/>
      <c r="L217" s="45"/>
      <c r="M217" s="45"/>
      <c r="N217" s="45"/>
      <c r="O217" s="40"/>
    </row>
    <row r="218" spans="1:27" ht="45.75" x14ac:dyDescent="0.65">
      <c r="A218" s="2"/>
      <c r="B218" s="2"/>
      <c r="C218" s="2"/>
      <c r="D218" s="171"/>
      <c r="E218" s="171"/>
      <c r="F218" s="171"/>
      <c r="G218" s="171"/>
      <c r="H218" s="171"/>
      <c r="I218" s="171"/>
      <c r="J218" s="171"/>
      <c r="K218" s="171"/>
      <c r="L218" s="171"/>
      <c r="M218" s="171"/>
      <c r="N218" s="171"/>
      <c r="O218" s="46"/>
    </row>
    <row r="235" spans="5:9" ht="47.25" hidden="1" thickTop="1" thickBot="1" x14ac:dyDescent="0.25">
      <c r="E235" s="56">
        <f>E207-E200-E198</f>
        <v>3142769572.2999997</v>
      </c>
      <c r="I235" s="56">
        <f>I207-I200-I198</f>
        <v>446657542.16000009</v>
      </c>
    </row>
    <row r="241" ht="408" customHeight="1" x14ac:dyDescent="0.2"/>
    <row r="242" ht="396" customHeight="1" x14ac:dyDescent="0.2"/>
    <row r="243" ht="357" customHeight="1" x14ac:dyDescent="0.2"/>
    <row r="244" ht="312" customHeight="1" x14ac:dyDescent="0.2"/>
    <row r="245" ht="183" customHeight="1" x14ac:dyDescent="0.2"/>
    <row r="246" ht="228" customHeight="1" x14ac:dyDescent="0.2"/>
    <row r="247" ht="294" customHeight="1" x14ac:dyDescent="0.2"/>
    <row r="248" ht="258" customHeight="1" x14ac:dyDescent="0.2"/>
    <row r="249" ht="180" customHeight="1" x14ac:dyDescent="0.2"/>
    <row r="250" ht="249" customHeight="1" x14ac:dyDescent="0.2"/>
  </sheetData>
  <mergeCells count="105">
    <mergeCell ref="O211:P211"/>
    <mergeCell ref="O210:P210"/>
    <mergeCell ref="O209:P209"/>
    <mergeCell ref="O208:P208"/>
    <mergeCell ref="O189:P189"/>
    <mergeCell ref="O199:P199"/>
    <mergeCell ref="O198:P198"/>
    <mergeCell ref="O191:P191"/>
    <mergeCell ref="C184:C185"/>
    <mergeCell ref="E184:E185"/>
    <mergeCell ref="F184:F185"/>
    <mergeCell ref="G184:G185"/>
    <mergeCell ref="H184:H185"/>
    <mergeCell ref="I184:I185"/>
    <mergeCell ref="J184:J185"/>
    <mergeCell ref="K184:K185"/>
    <mergeCell ref="O203:P203"/>
    <mergeCell ref="P200:Q200"/>
    <mergeCell ref="O188:P188"/>
    <mergeCell ref="O193:P193"/>
    <mergeCell ref="O195:P195"/>
    <mergeCell ref="D218:N218"/>
    <mergeCell ref="F11:F12"/>
    <mergeCell ref="G11:G12"/>
    <mergeCell ref="K11:K12"/>
    <mergeCell ref="L184:L185"/>
    <mergeCell ref="M184:M185"/>
    <mergeCell ref="N184:N185"/>
    <mergeCell ref="L28:L29"/>
    <mergeCell ref="M28:M29"/>
    <mergeCell ref="N28:N29"/>
    <mergeCell ref="G28:G29"/>
    <mergeCell ref="H28:H29"/>
    <mergeCell ref="I28:I29"/>
    <mergeCell ref="J28:J29"/>
    <mergeCell ref="K28:K29"/>
    <mergeCell ref="A214:N214"/>
    <mergeCell ref="D216:N216"/>
    <mergeCell ref="N102:N104"/>
    <mergeCell ref="F102:F104"/>
    <mergeCell ref="G102:G104"/>
    <mergeCell ref="H102:H104"/>
    <mergeCell ref="F95:F98"/>
    <mergeCell ref="G95:G98"/>
    <mergeCell ref="O179:P179"/>
    <mergeCell ref="O201:P201"/>
    <mergeCell ref="A28:A29"/>
    <mergeCell ref="B28:B29"/>
    <mergeCell ref="C28:C29"/>
    <mergeCell ref="E28:E29"/>
    <mergeCell ref="F28:F29"/>
    <mergeCell ref="B184:B185"/>
    <mergeCell ref="H95:H98"/>
    <mergeCell ref="I95:I98"/>
    <mergeCell ref="J95:J98"/>
    <mergeCell ref="N95:N98"/>
    <mergeCell ref="F99:F101"/>
    <mergeCell ref="G99:G101"/>
    <mergeCell ref="H99:H101"/>
    <mergeCell ref="I99:I101"/>
    <mergeCell ref="J99:J101"/>
    <mergeCell ref="N99:N101"/>
    <mergeCell ref="K99:K101"/>
    <mergeCell ref="K95:K98"/>
    <mergeCell ref="N92:N94"/>
    <mergeCell ref="E95:E98"/>
    <mergeCell ref="E99:E101"/>
    <mergeCell ref="E102:E104"/>
    <mergeCell ref="O176:P176"/>
    <mergeCell ref="I102:I104"/>
    <mergeCell ref="J102:J104"/>
    <mergeCell ref="K102:K104"/>
    <mergeCell ref="B102:B104"/>
    <mergeCell ref="C102:C104"/>
    <mergeCell ref="E92:E94"/>
    <mergeCell ref="K92:K94"/>
    <mergeCell ref="F92:F94"/>
    <mergeCell ref="G92:G94"/>
    <mergeCell ref="H92:H94"/>
    <mergeCell ref="I92:I94"/>
    <mergeCell ref="J92:J94"/>
    <mergeCell ref="B92:B94"/>
    <mergeCell ref="C92:C94"/>
    <mergeCell ref="B95:B98"/>
    <mergeCell ref="C95:C98"/>
    <mergeCell ref="B99:B101"/>
    <mergeCell ref="C99:C101"/>
    <mergeCell ref="K2:N2"/>
    <mergeCell ref="J3:N3"/>
    <mergeCell ref="A8:B8"/>
    <mergeCell ref="A10:A12"/>
    <mergeCell ref="B10:B12"/>
    <mergeCell ref="C10:C12"/>
    <mergeCell ref="D10:D12"/>
    <mergeCell ref="M11:M12"/>
    <mergeCell ref="I10:M10"/>
    <mergeCell ref="N10:N12"/>
    <mergeCell ref="E11:E12"/>
    <mergeCell ref="H11:H12"/>
    <mergeCell ref="I11:I12"/>
    <mergeCell ref="J11:J12"/>
    <mergeCell ref="E10:H10"/>
    <mergeCell ref="A4:N4"/>
    <mergeCell ref="A5:N5"/>
    <mergeCell ref="A7:B7"/>
  </mergeCells>
  <pageMargins left="0.23622047244094491" right="0.27559055118110237" top="0.27559055118110237" bottom="0.15748031496062992" header="0.23622047244094491" footer="0.27559055118110237"/>
  <pageSetup paperSize="9" scale="21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Сандула Алла Альфредівна</cp:lastModifiedBy>
  <cp:lastPrinted>2022-05-18T07:06:48Z</cp:lastPrinted>
  <dcterms:created xsi:type="dcterms:W3CDTF">2021-05-18T12:47:38Z</dcterms:created>
  <dcterms:modified xsi:type="dcterms:W3CDTF">2022-07-27T11:39:44Z</dcterms:modified>
</cp:coreProperties>
</file>