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UDJET\2022\Звіт за ІІІ квартал\"/>
    </mc:Choice>
  </mc:AlternateContent>
  <xr:revisionPtr revIDLastSave="0" documentId="13_ncr:1_{4F41DF92-2C92-4335-867D-98C92F080D69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'd2'!$B$1:$N$219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5" i="1" l="1"/>
  <c r="H212" i="1" l="1"/>
  <c r="H213" i="1"/>
  <c r="K213" i="1"/>
  <c r="N213" i="1"/>
  <c r="J194" i="1"/>
  <c r="I194" i="1"/>
  <c r="K188" i="1"/>
  <c r="K190" i="1"/>
  <c r="K189" i="1"/>
  <c r="J184" i="1"/>
  <c r="I184" i="1"/>
  <c r="J181" i="1"/>
  <c r="I181" i="1"/>
  <c r="J179" i="1"/>
  <c r="I179" i="1"/>
  <c r="I153" i="1"/>
  <c r="I151" i="1"/>
  <c r="J151" i="1"/>
  <c r="H145" i="1"/>
  <c r="K129" i="1"/>
  <c r="K132" i="1"/>
  <c r="K105" i="1"/>
  <c r="J105" i="1"/>
  <c r="I105" i="1"/>
  <c r="N89" i="1"/>
  <c r="N90" i="1"/>
  <c r="K89" i="1"/>
  <c r="K90" i="1"/>
  <c r="K18" i="1" l="1"/>
  <c r="I16" i="1"/>
  <c r="J16" i="1"/>
  <c r="E202" i="1" l="1"/>
  <c r="N193" i="1"/>
  <c r="G191" i="1"/>
  <c r="J191" i="1"/>
  <c r="I191" i="1"/>
  <c r="F191" i="1"/>
  <c r="E191" i="1"/>
  <c r="H193" i="1"/>
  <c r="H191" i="1" l="1"/>
  <c r="N192" i="1"/>
  <c r="H192" i="1"/>
  <c r="H189" i="1"/>
  <c r="H168" i="1" l="1"/>
  <c r="N162" i="1"/>
  <c r="H162" i="1"/>
  <c r="H149" i="1"/>
  <c r="H148" i="1"/>
  <c r="G148" i="1"/>
  <c r="F148" i="1"/>
  <c r="E148" i="1"/>
  <c r="I148" i="1"/>
  <c r="N114" i="1" l="1"/>
  <c r="N105" i="1"/>
  <c r="N72" i="1"/>
  <c r="H72" i="1"/>
  <c r="K194" i="1" l="1"/>
  <c r="J169" i="1"/>
  <c r="N132" i="1"/>
  <c r="H114" i="1" l="1"/>
  <c r="H105" i="1"/>
  <c r="F57" i="1"/>
  <c r="G57" i="1"/>
  <c r="E14" i="1" l="1"/>
  <c r="F14" i="1"/>
  <c r="G14" i="1"/>
  <c r="H15" i="1"/>
  <c r="K15" i="1"/>
  <c r="N15" i="1"/>
  <c r="H16" i="1"/>
  <c r="I14" i="1"/>
  <c r="N16" i="1"/>
  <c r="H17" i="1"/>
  <c r="N17" i="1"/>
  <c r="H18" i="1"/>
  <c r="N18" i="1"/>
  <c r="H20" i="1"/>
  <c r="K20" i="1"/>
  <c r="N20" i="1"/>
  <c r="E21" i="1"/>
  <c r="F21" i="1"/>
  <c r="G21" i="1"/>
  <c r="I21" i="1"/>
  <c r="J21" i="1"/>
  <c r="H22" i="1"/>
  <c r="K22" i="1"/>
  <c r="N22" i="1"/>
  <c r="H23" i="1"/>
  <c r="K23" i="1"/>
  <c r="N23" i="1"/>
  <c r="H24" i="1"/>
  <c r="N24" i="1"/>
  <c r="E25" i="1"/>
  <c r="F25" i="1"/>
  <c r="G25" i="1"/>
  <c r="N25" i="1" s="1"/>
  <c r="I25" i="1"/>
  <c r="J25" i="1"/>
  <c r="H26" i="1"/>
  <c r="N26" i="1"/>
  <c r="H27" i="1"/>
  <c r="N27" i="1"/>
  <c r="E28" i="1"/>
  <c r="F28" i="1"/>
  <c r="G28" i="1"/>
  <c r="I28" i="1"/>
  <c r="J28" i="1"/>
  <c r="N28" i="1" s="1"/>
  <c r="K30" i="1"/>
  <c r="N30" i="1"/>
  <c r="H31" i="1"/>
  <c r="K31" i="1"/>
  <c r="N31" i="1"/>
  <c r="H32" i="1"/>
  <c r="K32" i="1"/>
  <c r="N32" i="1"/>
  <c r="E33" i="1"/>
  <c r="F33" i="1"/>
  <c r="G33" i="1"/>
  <c r="I33" i="1"/>
  <c r="J33" i="1"/>
  <c r="H34" i="1"/>
  <c r="K34" i="1"/>
  <c r="N34" i="1"/>
  <c r="H35" i="1"/>
  <c r="N35" i="1"/>
  <c r="E36" i="1"/>
  <c r="F36" i="1"/>
  <c r="G36" i="1"/>
  <c r="H36" i="1" s="1"/>
  <c r="I36" i="1"/>
  <c r="J36" i="1"/>
  <c r="H37" i="1"/>
  <c r="K37" i="1"/>
  <c r="N37" i="1"/>
  <c r="H38" i="1"/>
  <c r="N38" i="1"/>
  <c r="E39" i="1"/>
  <c r="F39" i="1"/>
  <c r="G39" i="1"/>
  <c r="I39" i="1"/>
  <c r="J39" i="1"/>
  <c r="H40" i="1"/>
  <c r="N40" i="1"/>
  <c r="H41" i="1"/>
  <c r="N41" i="1"/>
  <c r="H42" i="1"/>
  <c r="N42" i="1"/>
  <c r="E43" i="1"/>
  <c r="F43" i="1"/>
  <c r="G43" i="1"/>
  <c r="I43" i="1"/>
  <c r="J43" i="1"/>
  <c r="H44" i="1"/>
  <c r="K44" i="1"/>
  <c r="N44" i="1"/>
  <c r="H45" i="1"/>
  <c r="K45" i="1"/>
  <c r="N45" i="1"/>
  <c r="H46" i="1"/>
  <c r="K46" i="1"/>
  <c r="N46" i="1"/>
  <c r="H47" i="1"/>
  <c r="K47" i="1"/>
  <c r="N47" i="1"/>
  <c r="E48" i="1"/>
  <c r="F48" i="1"/>
  <c r="G48" i="1"/>
  <c r="I48" i="1"/>
  <c r="J48" i="1"/>
  <c r="K49" i="1"/>
  <c r="N49" i="1"/>
  <c r="K50" i="1"/>
  <c r="N50" i="1"/>
  <c r="H52" i="1"/>
  <c r="K52" i="1"/>
  <c r="N52" i="1"/>
  <c r="H53" i="1"/>
  <c r="K53" i="1"/>
  <c r="N53" i="1"/>
  <c r="H54" i="1"/>
  <c r="K54" i="1"/>
  <c r="N54" i="1"/>
  <c r="H55" i="1"/>
  <c r="N55" i="1"/>
  <c r="H56" i="1"/>
  <c r="K56" i="1"/>
  <c r="N56" i="1"/>
  <c r="E57" i="1"/>
  <c r="H57" i="1"/>
  <c r="N57" i="1"/>
  <c r="H58" i="1"/>
  <c r="N58" i="1"/>
  <c r="E59" i="1"/>
  <c r="F59" i="1"/>
  <c r="G59" i="1"/>
  <c r="H59" i="1"/>
  <c r="H60" i="1"/>
  <c r="N60" i="1"/>
  <c r="E61" i="1"/>
  <c r="F61" i="1"/>
  <c r="G61" i="1"/>
  <c r="I61" i="1"/>
  <c r="I51" i="1" s="1"/>
  <c r="J61" i="1"/>
  <c r="H62" i="1"/>
  <c r="N62" i="1"/>
  <c r="H63" i="1"/>
  <c r="N63" i="1"/>
  <c r="E65" i="1"/>
  <c r="F65" i="1"/>
  <c r="G65" i="1"/>
  <c r="I65" i="1"/>
  <c r="J65" i="1"/>
  <c r="H66" i="1"/>
  <c r="K66" i="1"/>
  <c r="N66" i="1"/>
  <c r="H67" i="1"/>
  <c r="N67" i="1"/>
  <c r="H68" i="1"/>
  <c r="N68" i="1"/>
  <c r="H69" i="1"/>
  <c r="N69" i="1"/>
  <c r="H70" i="1"/>
  <c r="N70" i="1"/>
  <c r="H71" i="1"/>
  <c r="N71" i="1"/>
  <c r="H73" i="1"/>
  <c r="N73" i="1"/>
  <c r="E74" i="1"/>
  <c r="F74" i="1"/>
  <c r="G74" i="1"/>
  <c r="I74" i="1"/>
  <c r="J74" i="1"/>
  <c r="H75" i="1"/>
  <c r="K75" i="1"/>
  <c r="N75" i="1"/>
  <c r="H76" i="1"/>
  <c r="K76" i="1"/>
  <c r="N76" i="1"/>
  <c r="E77" i="1"/>
  <c r="F77" i="1"/>
  <c r="G77" i="1"/>
  <c r="H77" i="1" s="1"/>
  <c r="I77" i="1"/>
  <c r="J77" i="1"/>
  <c r="H78" i="1"/>
  <c r="N78" i="1"/>
  <c r="H79" i="1"/>
  <c r="K79" i="1"/>
  <c r="N79" i="1"/>
  <c r="E80" i="1"/>
  <c r="F80" i="1"/>
  <c r="G80" i="1"/>
  <c r="I80" i="1"/>
  <c r="J80" i="1"/>
  <c r="H81" i="1"/>
  <c r="K81" i="1"/>
  <c r="N81" i="1"/>
  <c r="H82" i="1"/>
  <c r="K82" i="1"/>
  <c r="N82" i="1"/>
  <c r="H83" i="1"/>
  <c r="N83" i="1"/>
  <c r="E84" i="1"/>
  <c r="F84" i="1"/>
  <c r="G84" i="1"/>
  <c r="N84" i="1" s="1"/>
  <c r="H85" i="1"/>
  <c r="N85" i="1"/>
  <c r="H86" i="1"/>
  <c r="N86" i="1"/>
  <c r="E87" i="1"/>
  <c r="F87" i="1"/>
  <c r="G87" i="1"/>
  <c r="H88" i="1"/>
  <c r="N88" i="1"/>
  <c r="E89" i="1"/>
  <c r="F89" i="1"/>
  <c r="G89" i="1"/>
  <c r="I89" i="1"/>
  <c r="J89" i="1"/>
  <c r="H90" i="1"/>
  <c r="E91" i="1"/>
  <c r="F91" i="1"/>
  <c r="G91" i="1"/>
  <c r="I91" i="1"/>
  <c r="J91" i="1"/>
  <c r="K92" i="1"/>
  <c r="N92" i="1"/>
  <c r="K95" i="1"/>
  <c r="N95" i="1"/>
  <c r="K99" i="1"/>
  <c r="N99" i="1"/>
  <c r="K102" i="1"/>
  <c r="N102" i="1"/>
  <c r="E106" i="1"/>
  <c r="F106" i="1"/>
  <c r="G106" i="1"/>
  <c r="I106" i="1"/>
  <c r="J106" i="1"/>
  <c r="H107" i="1"/>
  <c r="K107" i="1"/>
  <c r="N107" i="1"/>
  <c r="H108" i="1"/>
  <c r="K108" i="1"/>
  <c r="N108" i="1"/>
  <c r="H110" i="1"/>
  <c r="N110" i="1"/>
  <c r="H111" i="1"/>
  <c r="K111" i="1"/>
  <c r="N111" i="1"/>
  <c r="H112" i="1"/>
  <c r="K112" i="1"/>
  <c r="N112" i="1"/>
  <c r="H113" i="1"/>
  <c r="K113" i="1"/>
  <c r="N113" i="1"/>
  <c r="E115" i="1"/>
  <c r="E109" i="1" s="1"/>
  <c r="F115" i="1"/>
  <c r="F109" i="1" s="1"/>
  <c r="G115" i="1"/>
  <c r="G109" i="1" s="1"/>
  <c r="I115" i="1"/>
  <c r="I109" i="1" s="1"/>
  <c r="J115" i="1"/>
  <c r="H116" i="1"/>
  <c r="K116" i="1"/>
  <c r="N116" i="1"/>
  <c r="H117" i="1"/>
  <c r="N117" i="1"/>
  <c r="E119" i="1"/>
  <c r="F119" i="1"/>
  <c r="G119" i="1"/>
  <c r="N119" i="1" s="1"/>
  <c r="H120" i="1"/>
  <c r="N120" i="1"/>
  <c r="H121" i="1"/>
  <c r="N121" i="1"/>
  <c r="E122" i="1"/>
  <c r="F122" i="1"/>
  <c r="G122" i="1"/>
  <c r="H123" i="1"/>
  <c r="N123" i="1"/>
  <c r="E124" i="1"/>
  <c r="F124" i="1"/>
  <c r="G124" i="1"/>
  <c r="I124" i="1"/>
  <c r="J124" i="1"/>
  <c r="H125" i="1"/>
  <c r="K125" i="1"/>
  <c r="N125" i="1"/>
  <c r="H126" i="1"/>
  <c r="N126" i="1"/>
  <c r="E127" i="1"/>
  <c r="F127" i="1"/>
  <c r="G127" i="1"/>
  <c r="I127" i="1"/>
  <c r="J127" i="1"/>
  <c r="K128" i="1"/>
  <c r="N128" i="1"/>
  <c r="E129" i="1"/>
  <c r="F129" i="1"/>
  <c r="G129" i="1"/>
  <c r="I129" i="1"/>
  <c r="J129" i="1"/>
  <c r="H130" i="1"/>
  <c r="N130" i="1"/>
  <c r="H131" i="1"/>
  <c r="N131" i="1"/>
  <c r="H132" i="1"/>
  <c r="E134" i="1"/>
  <c r="F134" i="1"/>
  <c r="G134" i="1"/>
  <c r="I134" i="1"/>
  <c r="J134" i="1"/>
  <c r="H135" i="1"/>
  <c r="K135" i="1"/>
  <c r="N135" i="1"/>
  <c r="H136" i="1"/>
  <c r="N136" i="1"/>
  <c r="H137" i="1"/>
  <c r="K137" i="1"/>
  <c r="N137" i="1"/>
  <c r="K138" i="1"/>
  <c r="N138" i="1"/>
  <c r="K139" i="1"/>
  <c r="N139" i="1"/>
  <c r="H140" i="1"/>
  <c r="H141" i="1"/>
  <c r="K141" i="1"/>
  <c r="N141" i="1"/>
  <c r="E142" i="1"/>
  <c r="F142" i="1"/>
  <c r="G142" i="1"/>
  <c r="I142" i="1"/>
  <c r="J142" i="1"/>
  <c r="K143" i="1"/>
  <c r="N143" i="1"/>
  <c r="K144" i="1"/>
  <c r="N144" i="1"/>
  <c r="N145" i="1"/>
  <c r="N146" i="1"/>
  <c r="J148" i="1"/>
  <c r="K149" i="1"/>
  <c r="N149" i="1"/>
  <c r="K151" i="1"/>
  <c r="N151" i="1"/>
  <c r="J152" i="1"/>
  <c r="I152" i="1"/>
  <c r="N153" i="1"/>
  <c r="K154" i="1"/>
  <c r="N154" i="1"/>
  <c r="N155" i="1"/>
  <c r="K156" i="1"/>
  <c r="N156" i="1"/>
  <c r="K157" i="1"/>
  <c r="N157" i="1"/>
  <c r="K158" i="1"/>
  <c r="N158" i="1"/>
  <c r="K159" i="1"/>
  <c r="N159" i="1"/>
  <c r="E160" i="1"/>
  <c r="E150" i="1" s="1"/>
  <c r="E147" i="1" s="1"/>
  <c r="F160" i="1"/>
  <c r="F150" i="1" s="1"/>
  <c r="F147" i="1" s="1"/>
  <c r="G160" i="1"/>
  <c r="G150" i="1" s="1"/>
  <c r="I160" i="1"/>
  <c r="J160" i="1"/>
  <c r="K161" i="1"/>
  <c r="N161" i="1"/>
  <c r="E164" i="1"/>
  <c r="F164" i="1"/>
  <c r="G164" i="1"/>
  <c r="I164" i="1"/>
  <c r="J164" i="1"/>
  <c r="H165" i="1"/>
  <c r="N165" i="1"/>
  <c r="E166" i="1"/>
  <c r="F166" i="1"/>
  <c r="G166" i="1"/>
  <c r="N166" i="1"/>
  <c r="H167" i="1"/>
  <c r="N167" i="1"/>
  <c r="N168" i="1"/>
  <c r="E169" i="1"/>
  <c r="F169" i="1"/>
  <c r="G169" i="1"/>
  <c r="I169" i="1"/>
  <c r="N169" i="1"/>
  <c r="H170" i="1"/>
  <c r="K170" i="1"/>
  <c r="N170" i="1"/>
  <c r="E171" i="1"/>
  <c r="F171" i="1"/>
  <c r="G171" i="1"/>
  <c r="I171" i="1"/>
  <c r="J171" i="1"/>
  <c r="K171" i="1" s="1"/>
  <c r="H172" i="1"/>
  <c r="K172" i="1"/>
  <c r="N172" i="1"/>
  <c r="H173" i="1"/>
  <c r="N173" i="1"/>
  <c r="H175" i="1"/>
  <c r="N175" i="1"/>
  <c r="E176" i="1"/>
  <c r="F176" i="1"/>
  <c r="G176" i="1"/>
  <c r="I176" i="1"/>
  <c r="J176" i="1"/>
  <c r="H177" i="1"/>
  <c r="N177" i="1"/>
  <c r="H178" i="1"/>
  <c r="N178" i="1"/>
  <c r="H179" i="1"/>
  <c r="K179" i="1"/>
  <c r="N179" i="1"/>
  <c r="K180" i="1"/>
  <c r="N180" i="1"/>
  <c r="N181" i="1"/>
  <c r="H182" i="1"/>
  <c r="N182" i="1"/>
  <c r="F183" i="1"/>
  <c r="I183" i="1"/>
  <c r="J183" i="1"/>
  <c r="E183" i="1"/>
  <c r="H186" i="1"/>
  <c r="K186" i="1"/>
  <c r="E188" i="1"/>
  <c r="F188" i="1"/>
  <c r="G188" i="1"/>
  <c r="I188" i="1"/>
  <c r="J188" i="1"/>
  <c r="N189" i="1"/>
  <c r="H190" i="1"/>
  <c r="N190" i="1"/>
  <c r="K191" i="1"/>
  <c r="H194" i="1"/>
  <c r="N194" i="1"/>
  <c r="E195" i="1"/>
  <c r="F195" i="1"/>
  <c r="G195" i="1"/>
  <c r="I195" i="1"/>
  <c r="J195" i="1"/>
  <c r="K196" i="1"/>
  <c r="N196" i="1"/>
  <c r="E197" i="1"/>
  <c r="F197" i="1"/>
  <c r="G197" i="1"/>
  <c r="I197" i="1"/>
  <c r="J197" i="1"/>
  <c r="H198" i="1"/>
  <c r="N198" i="1"/>
  <c r="H199" i="1"/>
  <c r="N199" i="1"/>
  <c r="E200" i="1"/>
  <c r="F200" i="1"/>
  <c r="G200" i="1"/>
  <c r="N200" i="1" s="1"/>
  <c r="I200" i="1"/>
  <c r="J200" i="1"/>
  <c r="N201" i="1"/>
  <c r="E203" i="1"/>
  <c r="F203" i="1"/>
  <c r="G203" i="1"/>
  <c r="I203" i="1"/>
  <c r="J203" i="1"/>
  <c r="H204" i="1"/>
  <c r="N204" i="1"/>
  <c r="E205" i="1"/>
  <c r="F205" i="1"/>
  <c r="G205" i="1"/>
  <c r="I205" i="1"/>
  <c r="J205" i="1"/>
  <c r="H206" i="1"/>
  <c r="N206" i="1"/>
  <c r="H207" i="1"/>
  <c r="N207" i="1"/>
  <c r="H208" i="1"/>
  <c r="K208" i="1"/>
  <c r="N208" i="1"/>
  <c r="L209" i="1"/>
  <c r="M209" i="1"/>
  <c r="E212" i="1"/>
  <c r="E211" i="1" s="1"/>
  <c r="E210" i="1" s="1"/>
  <c r="F212" i="1"/>
  <c r="F211" i="1" s="1"/>
  <c r="F210" i="1" s="1"/>
  <c r="G212" i="1"/>
  <c r="I212" i="1"/>
  <c r="I211" i="1" s="1"/>
  <c r="I210" i="1" s="1"/>
  <c r="J212" i="1"/>
  <c r="J211" i="1" s="1"/>
  <c r="K214" i="1"/>
  <c r="N214" i="1"/>
  <c r="L215" i="1"/>
  <c r="M215" i="1"/>
  <c r="G147" i="1" l="1"/>
  <c r="H147" i="1" s="1"/>
  <c r="H150" i="1"/>
  <c r="K80" i="1"/>
  <c r="N134" i="1"/>
  <c r="H109" i="1"/>
  <c r="K91" i="1"/>
  <c r="N106" i="1"/>
  <c r="N61" i="1"/>
  <c r="G51" i="1"/>
  <c r="K48" i="1"/>
  <c r="K195" i="1"/>
  <c r="N188" i="1"/>
  <c r="H33" i="1"/>
  <c r="I118" i="1"/>
  <c r="F202" i="1"/>
  <c r="H176" i="1"/>
  <c r="H169" i="1"/>
  <c r="N91" i="1"/>
  <c r="N59" i="1"/>
  <c r="N212" i="1"/>
  <c r="J133" i="1"/>
  <c r="K134" i="1"/>
  <c r="K36" i="1"/>
  <c r="K21" i="1"/>
  <c r="N191" i="1"/>
  <c r="N129" i="1"/>
  <c r="H122" i="1"/>
  <c r="H106" i="1"/>
  <c r="H80" i="1"/>
  <c r="N33" i="1"/>
  <c r="H14" i="1"/>
  <c r="K169" i="1"/>
  <c r="H166" i="1"/>
  <c r="I64" i="1"/>
  <c r="E187" i="1"/>
  <c r="G202" i="1"/>
  <c r="K160" i="1"/>
  <c r="H134" i="1"/>
  <c r="K127" i="1"/>
  <c r="E118" i="1"/>
  <c r="H124" i="1"/>
  <c r="K106" i="1"/>
  <c r="H89" i="1"/>
  <c r="H84" i="1"/>
  <c r="N80" i="1"/>
  <c r="N77" i="1"/>
  <c r="H65" i="1"/>
  <c r="H39" i="1"/>
  <c r="N36" i="1"/>
  <c r="K28" i="1"/>
  <c r="J118" i="1"/>
  <c r="F19" i="1"/>
  <c r="H205" i="1"/>
  <c r="N203" i="1"/>
  <c r="H197" i="1"/>
  <c r="N195" i="1"/>
  <c r="I187" i="1"/>
  <c r="N186" i="1"/>
  <c r="E174" i="1"/>
  <c r="F174" i="1"/>
  <c r="H171" i="1"/>
  <c r="G163" i="1"/>
  <c r="K153" i="1"/>
  <c r="K148" i="1"/>
  <c r="F133" i="1"/>
  <c r="I133" i="1"/>
  <c r="F118" i="1"/>
  <c r="H87" i="1"/>
  <c r="H74" i="1"/>
  <c r="E51" i="1"/>
  <c r="H43" i="1"/>
  <c r="H25" i="1"/>
  <c r="J19" i="1"/>
  <c r="E19" i="1"/>
  <c r="K16" i="1"/>
  <c r="N205" i="1"/>
  <c r="I202" i="1"/>
  <c r="N197" i="1"/>
  <c r="H188" i="1"/>
  <c r="N184" i="1"/>
  <c r="G183" i="1"/>
  <c r="H183" i="1" s="1"/>
  <c r="N176" i="1"/>
  <c r="F163" i="1"/>
  <c r="E133" i="1"/>
  <c r="N140" i="1"/>
  <c r="G133" i="1"/>
  <c r="H129" i="1"/>
  <c r="N127" i="1"/>
  <c r="N124" i="1"/>
  <c r="K115" i="1"/>
  <c r="K74" i="1"/>
  <c r="N48" i="1"/>
  <c r="I19" i="1"/>
  <c r="I163" i="1"/>
  <c r="G211" i="1"/>
  <c r="G210" i="1" s="1"/>
  <c r="H203" i="1"/>
  <c r="F187" i="1"/>
  <c r="I174" i="1"/>
  <c r="J163" i="1"/>
  <c r="E163" i="1"/>
  <c r="J150" i="1"/>
  <c r="N150" i="1" s="1"/>
  <c r="K124" i="1"/>
  <c r="H119" i="1"/>
  <c r="K65" i="1"/>
  <c r="E64" i="1"/>
  <c r="H61" i="1"/>
  <c r="K43" i="1"/>
  <c r="K33" i="1"/>
  <c r="H21" i="1"/>
  <c r="N183" i="1"/>
  <c r="K183" i="1"/>
  <c r="J210" i="1"/>
  <c r="N160" i="1"/>
  <c r="N39" i="1"/>
  <c r="G19" i="1"/>
  <c r="J202" i="1"/>
  <c r="J187" i="1"/>
  <c r="K184" i="1"/>
  <c r="G174" i="1"/>
  <c r="N171" i="1"/>
  <c r="H164" i="1"/>
  <c r="J64" i="1"/>
  <c r="F64" i="1"/>
  <c r="J51" i="1"/>
  <c r="F51" i="1"/>
  <c r="G187" i="1"/>
  <c r="I150" i="1"/>
  <c r="G64" i="1"/>
  <c r="J174" i="1"/>
  <c r="N164" i="1"/>
  <c r="N152" i="1"/>
  <c r="N148" i="1"/>
  <c r="N142" i="1"/>
  <c r="N122" i="1"/>
  <c r="G118" i="1"/>
  <c r="N115" i="1"/>
  <c r="H115" i="1"/>
  <c r="N87" i="1"/>
  <c r="N74" i="1"/>
  <c r="N65" i="1"/>
  <c r="N43" i="1"/>
  <c r="J14" i="1"/>
  <c r="J109" i="1"/>
  <c r="K181" i="1"/>
  <c r="K152" i="1"/>
  <c r="K142" i="1"/>
  <c r="N21" i="1"/>
  <c r="K174" i="1" l="1"/>
  <c r="K118" i="1"/>
  <c r="G209" i="1"/>
  <c r="F209" i="1"/>
  <c r="F215" i="1" s="1"/>
  <c r="K133" i="1"/>
  <c r="H202" i="1"/>
  <c r="N210" i="1"/>
  <c r="K163" i="1"/>
  <c r="K19" i="1"/>
  <c r="H187" i="1"/>
  <c r="H133" i="1"/>
  <c r="N133" i="1"/>
  <c r="O133" i="1" s="1"/>
  <c r="E209" i="1"/>
  <c r="E215" i="1" s="1"/>
  <c r="N163" i="1"/>
  <c r="H163" i="1"/>
  <c r="H51" i="1"/>
  <c r="N211" i="1"/>
  <c r="H118" i="1"/>
  <c r="I147" i="1"/>
  <c r="I209" i="1" s="1"/>
  <c r="I237" i="1" s="1"/>
  <c r="K109" i="1"/>
  <c r="N109" i="1"/>
  <c r="O109" i="1" s="1"/>
  <c r="N202" i="1"/>
  <c r="O202" i="1" s="1"/>
  <c r="K202" i="1"/>
  <c r="N118" i="1"/>
  <c r="O118" i="1" s="1"/>
  <c r="N14" i="1"/>
  <c r="K14" i="1"/>
  <c r="N64" i="1"/>
  <c r="O64" i="1" s="1"/>
  <c r="K64" i="1"/>
  <c r="N174" i="1"/>
  <c r="H174" i="1"/>
  <c r="H19" i="1"/>
  <c r="N19" i="1"/>
  <c r="O19" i="1" s="1"/>
  <c r="K150" i="1"/>
  <c r="J147" i="1"/>
  <c r="J209" i="1" s="1"/>
  <c r="H64" i="1"/>
  <c r="N51" i="1"/>
  <c r="O51" i="1" s="1"/>
  <c r="K51" i="1"/>
  <c r="N187" i="1"/>
  <c r="O187" i="1" s="1"/>
  <c r="K187" i="1"/>
  <c r="I215" i="1" l="1"/>
  <c r="E237" i="1"/>
  <c r="N147" i="1"/>
  <c r="O147" i="1" s="1"/>
  <c r="K147" i="1"/>
  <c r="H209" i="1"/>
  <c r="G215" i="1"/>
  <c r="O14" i="1"/>
  <c r="K209" i="1"/>
  <c r="J215" i="1"/>
  <c r="H215" i="1" l="1"/>
  <c r="T215" i="1"/>
  <c r="K215" i="1"/>
  <c r="N209" i="1"/>
  <c r="N215" i="1" l="1"/>
  <c r="O209" i="1"/>
  <c r="O215" i="1" l="1"/>
</calcChain>
</file>

<file path=xl/sharedStrings.xml><?xml version="1.0" encoding="utf-8"?>
<sst xmlns="http://schemas.openxmlformats.org/spreadsheetml/2006/main" count="672" uniqueCount="552">
  <si>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</si>
  <si>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</si>
  <si>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</si>
  <si>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</si>
  <si>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</si>
  <si>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</si>
  <si>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</si>
  <si>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</si>
  <si>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</si>
  <si>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</si>
  <si>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</si>
  <si>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</si>
  <si>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</si>
  <si>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</si>
  <si>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</si>
  <si>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</si>
  <si>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</si>
  <si>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</si>
  <si>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</si>
  <si>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</si>
  <si>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</si>
  <si>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</si>
  <si>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</si>
  <si>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</si>
  <si>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</si>
  <si>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</si>
  <si>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</si>
  <si>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</si>
  <si>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</si>
  <si>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</si>
  <si>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</si>
  <si>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</si>
  <si>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</si>
  <si>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</si>
  <si>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</si>
  <si>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</si>
  <si>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</si>
  <si>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</si>
  <si>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</si>
  <si>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</si>
  <si>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</si>
  <si>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</si>
  <si>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</si>
  <si>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</si>
  <si>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</si>
  <si>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</si>
  <si>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</si>
  <si>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</si>
  <si>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</si>
  <si>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</si>
  <si>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</si>
  <si>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</si>
  <si>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</si>
  <si>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</si>
  <si>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</si>
  <si>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</si>
  <si>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</si>
  <si>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</si>
  <si>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</si>
  <si>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</si>
  <si>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</si>
  <si>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</si>
  <si>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</si>
  <si>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</si>
  <si>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</si>
  <si>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</si>
  <si>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</si>
  <si>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</si>
  <si>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</si>
  <si>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</si>
  <si>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</si>
  <si>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</si>
  <si>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</si>
  <si>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</si>
  <si>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</si>
  <si>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</si>
  <si>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</si>
  <si>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</si>
  <si>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</si>
  <si>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</si>
  <si>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</si>
  <si>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</si>
  <si>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</si>
  <si>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</si>
  <si>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</si>
  <si>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</si>
  <si>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</si>
  <si>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</si>
  <si>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</si>
  <si>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</si>
  <si>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</si>
  <si>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</si>
  <si>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</si>
  <si>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</si>
  <si>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</si>
  <si>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</si>
  <si>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</si>
  <si>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</si>
  <si>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</si>
  <si>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</si>
  <si>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</si>
  <si>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</si>
  <si>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</si>
  <si>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</si>
  <si>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</si>
  <si>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</si>
  <si>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</si>
  <si>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</si>
  <si>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</si>
  <si>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</si>
  <si>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</si>
  <si>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</si>
  <si>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</si>
  <si>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</si>
  <si>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</si>
  <si>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</si>
  <si>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</si>
  <si>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</si>
  <si>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</si>
  <si>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</si>
  <si>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</si>
  <si>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</si>
  <si>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</si>
  <si>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</si>
  <si>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</si>
  <si>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</si>
  <si>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</si>
  <si>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</si>
  <si>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</si>
  <si>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</si>
  <si>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</si>
  <si>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</si>
  <si>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</si>
  <si>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</si>
  <si>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</si>
  <si>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</si>
  <si>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</si>
  <si>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</si>
  <si>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</si>
  <si>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</si>
  <si>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</si>
  <si>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</si>
  <si>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</si>
  <si>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</si>
  <si>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</si>
  <si>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</si>
  <si>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</si>
  <si>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</si>
  <si>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</si>
  <si>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</si>
  <si>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</si>
  <si>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</si>
  <si>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</si>
  <si>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</si>
  <si>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</si>
  <si>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</si>
  <si>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</si>
  <si>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</si>
  <si>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</si>
  <si>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</si>
  <si>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</si>
  <si>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</si>
  <si>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</si>
  <si>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</si>
  <si>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</si>
  <si>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</si>
  <si>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</si>
  <si>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</si>
  <si>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</si>
  <si>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</si>
  <si>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</si>
  <si>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</si>
  <si>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</si>
  <si>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</si>
  <si>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</si>
  <si>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</si>
  <si>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</si>
  <si>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</si>
  <si>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</si>
  <si>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</si>
  <si>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</si>
  <si>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</si>
  <si>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</si>
  <si>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</si>
  <si>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</si>
  <si>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</si>
  <si>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</si>
  <si>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</si>
  <si>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</si>
  <si>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</si>
  <si>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</si>
  <si>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</si>
  <si>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</si>
  <si>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</si>
  <si>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</si>
  <si>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</si>
  <si>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</si>
  <si>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</si>
  <si>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</si>
  <si>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</si>
  <si>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</si>
  <si>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</si>
  <si>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</si>
  <si>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</si>
  <si>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</si>
  <si>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</si>
  <si>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</si>
  <si>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</si>
  <si>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</si>
  <si>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</si>
  <si>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</si>
  <si>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</si>
  <si>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</si>
  <si>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</si>
  <si>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</si>
  <si>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</si>
  <si>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</si>
  <si>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</si>
  <si>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</si>
  <si>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</si>
  <si>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</si>
  <si>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</si>
  <si>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</si>
  <si>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</si>
  <si>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</si>
  <si>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</si>
  <si>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</si>
  <si>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</si>
  <si>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</si>
  <si>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</si>
  <si>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</si>
  <si>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</si>
  <si>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</si>
  <si>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</si>
  <si>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</si>
  <si>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</si>
  <si>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</si>
  <si>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</si>
  <si>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</si>
  <si>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</si>
  <si>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</si>
  <si>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</si>
  <si>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</si>
  <si>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</si>
  <si>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</si>
  <si>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</si>
  <si>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</si>
  <si>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</si>
  <si>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</si>
  <si>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</si>
  <si>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</si>
  <si>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</si>
  <si>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</si>
  <si>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</si>
  <si>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</si>
  <si>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</si>
  <si>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</si>
  <si>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</si>
  <si>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</si>
  <si>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</si>
  <si>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</si>
  <si>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</si>
  <si>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</si>
  <si>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</si>
  <si>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</si>
  <si>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</si>
  <si>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</si>
  <si>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</si>
  <si>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</si>
  <si>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</si>
  <si>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</si>
  <si>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</si>
  <si>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</si>
  <si>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</si>
  <si>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</si>
  <si>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</si>
  <si>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</si>
  <si>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</si>
  <si>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</si>
  <si>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</si>
  <si>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</si>
  <si>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</si>
  <si>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</si>
  <si>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</si>
  <si>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</si>
  <si>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</si>
  <si>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</si>
  <si>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</si>
  <si>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</si>
  <si>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</si>
  <si>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</si>
  <si>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</si>
  <si>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</si>
  <si>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</si>
  <si>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</si>
  <si>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</si>
  <si>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</si>
  <si>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</si>
  <si>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</si>
  <si>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</si>
  <si>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</si>
  <si>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</si>
  <si>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</si>
  <si>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</si>
  <si>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</si>
  <si>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</si>
  <si>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</si>
  <si>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</si>
  <si>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</si>
  <si>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</si>
  <si>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</si>
  <si>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</si>
  <si>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</si>
  <si>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</si>
  <si>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</si>
  <si>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</si>
  <si>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</si>
  <si>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</si>
  <si>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</si>
  <si>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</si>
  <si>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</si>
  <si>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</si>
  <si>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</si>
  <si>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</si>
  <si>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</si>
  <si>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</si>
  <si>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</si>
  <si>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</si>
  <si>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</si>
  <si>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</si>
  <si>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</si>
  <si>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</si>
  <si>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</si>
  <si>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</si>
  <si>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</si>
  <si>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</si>
  <si>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</si>
  <si>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</si>
  <si>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</si>
  <si>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</si>
  <si>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</si>
  <si>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</si>
  <si>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</si>
  <si>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</si>
  <si>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</si>
  <si>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</si>
  <si>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</si>
  <si>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</si>
  <si>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</si>
  <si>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</si>
  <si>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</si>
  <si>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</si>
  <si>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</si>
  <si>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</si>
  <si>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</si>
  <si>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</si>
  <si>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</si>
  <si>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</si>
  <si>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</si>
  <si>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</si>
  <si>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</si>
  <si>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</si>
  <si>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</si>
  <si>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</si>
  <si>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</si>
  <si>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</si>
  <si>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</si>
  <si>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</si>
  <si>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</si>
  <si>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</si>
  <si>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</si>
  <si>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</si>
  <si>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</si>
  <si>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</si>
  <si>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</si>
  <si>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</si>
  <si>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</si>
  <si>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</si>
  <si>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</si>
  <si>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</si>
  <si>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</si>
  <si>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</si>
  <si>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</si>
  <si>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</si>
  <si>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</si>
  <si>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</si>
  <si>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</si>
  <si>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</si>
  <si>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</si>
  <si>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</si>
  <si>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</si>
  <si>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</si>
  <si>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</si>
  <si>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</si>
  <si>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</si>
  <si>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</si>
  <si>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</si>
  <si>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</si>
  <si>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</si>
  <si>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</si>
  <si>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</si>
  <si>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</si>
  <si>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</si>
  <si>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</si>
  <si>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</si>
  <si>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</si>
  <si>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</si>
  <si>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</si>
  <si>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</si>
  <si>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</si>
  <si>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</si>
  <si>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</si>
  <si>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</si>
  <si>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</si>
  <si>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</si>
  <si>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</si>
  <si>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</si>
  <si>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</si>
  <si>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</si>
  <si>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</si>
  <si>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</si>
  <si>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</si>
  <si>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</si>
  <si>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</si>
  <si>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</si>
  <si>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</si>
  <si>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</si>
  <si>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</si>
  <si>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</si>
  <si>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</si>
  <si>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</si>
  <si>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</si>
  <si>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</si>
  <si>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</si>
  <si>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</si>
  <si>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</si>
  <si>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</si>
  <si>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</si>
  <si>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</si>
  <si>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</si>
  <si>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</si>
  <si>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</si>
  <si>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</si>
  <si>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</si>
  <si>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</si>
  <si>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</si>
  <si>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</si>
  <si>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</si>
  <si>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</si>
  <si>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</si>
  <si>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</si>
  <si>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</si>
  <si>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</si>
  <si>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</si>
  <si>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</si>
  <si>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</si>
  <si>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</si>
  <si>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</si>
  <si>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</si>
  <si>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</si>
  <si>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</si>
  <si>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</si>
  <si>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</si>
  <si>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</si>
  <si>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</si>
  <si>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</si>
  <si>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</si>
  <si>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</si>
  <si>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</si>
  <si>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</si>
  <si>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</si>
  <si>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</si>
  <si>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</si>
  <si>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</si>
  <si>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</si>
  <si>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</si>
  <si>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</si>
  <si>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</si>
  <si>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</si>
  <si>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</si>
  <si>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</si>
  <si>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</si>
  <si>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</si>
  <si>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</si>
  <si>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</si>
  <si>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</si>
  <si>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</si>
  <si>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</si>
  <si>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</si>
  <si>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</si>
  <si>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</si>
  <si>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</si>
  <si>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</si>
  <si>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</si>
  <si>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</si>
  <si>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</si>
  <si>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</si>
  <si>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</si>
  <si>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</si>
  <si>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</si>
  <si>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</si>
  <si>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</si>
  <si>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</si>
  <si>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 xml:space="preserve">Керуючий справами виконавчого комітету </t>
  </si>
  <si>
    <t>Ю. САБІЙ</t>
  </si>
  <si>
    <t>Затверджено на 2022 рік з урахуванням змін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</si>
  <si>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</si>
  <si>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</si>
  <si>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</si>
  <si>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</si>
  <si>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</si>
  <si>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</si>
  <si>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</si>
  <si>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</si>
  <si>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</si>
  <si>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</si>
  <si>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</si>
  <si>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</si>
  <si>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</si>
  <si>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</si>
  <si>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</si>
  <si>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</si>
  <si>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</si>
  <si>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</si>
  <si>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</si>
  <si>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</si>
  <si>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</si>
  <si>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 xml:space="preserve">до рішення  №    від        .2022 року 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</si>
  <si>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</si>
  <si>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</si>
  <si>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</si>
  <si>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</si>
  <si>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</si>
  <si>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</si>
  <si>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</si>
  <si>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</si>
  <si>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Начальник фінансового управління</t>
  </si>
  <si>
    <t>С. ЯМЧУК</t>
  </si>
  <si>
    <t>3230</t>
  </si>
  <si>
    <t>Видатки повязані з наданням підтримки внутрішньо переміщених та/або евакуйованих особам у звязку із введенням воєнного стану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</si>
  <si>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</si>
  <si>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</si>
  <si>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</si>
  <si>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</si>
  <si>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за 9-ть місяців 2022 року</t>
  </si>
  <si>
    <t>Затверджено на 9-ть місяців 2022 року з урахуванням змін</t>
  </si>
  <si>
    <t>Виконано за 9-ть місяців 2022 року</t>
  </si>
  <si>
    <t>Виконано за 9-ть місяців 2022 року разом по загальному та спеціальному фондах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</si>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</sst>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b/>
      <i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i/>
      <sz val="36"/>
      <name val="Times New Roman"/>
      <family val="1"/>
      <charset val="204"/>
    </font>
    <font>
      <sz val="2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7" tint="0.59999389629810485"/>
        </stop>
      </gradient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0" borderId="0" xfId="0" applyNumberFormat="1" applyFont="1" applyAlignment="1">
      <alignment horizontal="left" vertical="center"/>
    </xf>
    <xf numFmtId="4" fontId="37" fillId="3" borderId="0" xfId="0" applyNumberFormat="1" applyFont="1" applyFill="1"/>
    <xf numFmtId="4" fontId="38" fillId="4" borderId="1" xfId="0" applyNumberFormat="1" applyFont="1" applyFill="1" applyBorder="1" applyAlignment="1">
      <alignment horizontal="center" vertical="center"/>
    </xf>
    <xf numFmtId="0" fontId="39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top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5" borderId="1" xfId="1" applyNumberFormat="1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horizontal="center" vertical="center" wrapText="1"/>
    </xf>
    <xf numFmtId="4" fontId="27" fillId="5" borderId="1" xfId="0" applyNumberFormat="1" applyFont="1" applyFill="1" applyBorder="1" applyAlignment="1">
      <alignment horizontal="center" vertical="center" wrapText="1"/>
    </xf>
    <xf numFmtId="164" fontId="27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1" xfId="0" applyNumberFormat="1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16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 wrapText="1"/>
    </xf>
    <xf numFmtId="164" fontId="3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28" fillId="5" borderId="1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wrapTex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top" wrapText="1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Alignment="1">
      <alignment horizontal="center" wrapText="1"/>
    </xf>
    <xf numFmtId="49" fontId="43" fillId="0" borderId="3" xfId="0" applyNumberFormat="1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Fill="1" applyBorder="1" applyAlignment="1">
      <alignment horizontal="center" vertical="center"/>
    </xf>
    <xf numFmtId="0" fontId="43" fillId="0" borderId="1" xfId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21" fillId="0" borderId="2" xfId="0" applyNumberFormat="1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vertical="center" wrapText="1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4" fontId="14" fillId="5" borderId="5" xfId="0" applyNumberFormat="1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center" wrapText="1"/>
    </xf>
    <xf numFmtId="49" fontId="40" fillId="0" borderId="2" xfId="0" applyNumberFormat="1" applyFont="1" applyFill="1" applyBorder="1" applyAlignment="1">
      <alignment horizontal="center" vertical="center" wrapText="1"/>
    </xf>
    <xf numFmtId="49" fontId="40" fillId="0" borderId="3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Fill="1" applyBorder="1" applyAlignment="1">
      <alignment horizontal="center" vertical="center" wrapText="1"/>
    </xf>
    <xf numFmtId="49" fontId="43" fillId="0" borderId="3" xfId="0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Обычны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52"/>
  <sheetViews>
    <sheetView tabSelected="1" view="pageBreakPreview" topLeftCell="B1" zoomScale="30" zoomScaleNormal="25" zoomScaleSheetLayoutView="30" zoomScalePageLayoutView="10" workbookViewId="0">
      <pane ySplit="13" topLeftCell="A214" activePane="bottomLeft" state="frozen"/>
      <selection activeCell="B1" sqref="B1"/>
      <selection pane="bottomLeft" activeCell="S216" sqref="S216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06.28515625" style="1" customWidth="1"/>
    <col min="5" max="5" width="62.5703125" style="1" customWidth="1"/>
    <col min="6" max="6" width="59.71093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33.28515625" style="5" hidden="1" customWidth="1"/>
    <col min="16" max="16" width="45.5703125" style="5" hidden="1" customWidth="1"/>
    <col min="17" max="17" width="104.5703125" hidden="1" customWidth="1"/>
    <col min="18" max="18" width="72.5703125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185" t="s">
        <v>430</v>
      </c>
      <c r="L2" s="185"/>
      <c r="M2" s="185"/>
      <c r="N2" s="185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186" t="s">
        <v>527</v>
      </c>
      <c r="K3" s="186"/>
      <c r="L3" s="186"/>
      <c r="M3" s="186"/>
      <c r="N3" s="186"/>
      <c r="O3" s="49"/>
    </row>
    <row r="4" spans="1:16" ht="45" x14ac:dyDescent="0.2">
      <c r="A4" s="192" t="s">
        <v>431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6" ht="45" x14ac:dyDescent="0.2">
      <c r="A5" s="192" t="s">
        <v>544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193">
        <v>22564000000</v>
      </c>
      <c r="B7" s="19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187" t="s">
        <v>0</v>
      </c>
      <c r="B8" s="18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59" t="s">
        <v>2</v>
      </c>
      <c r="B10" s="159" t="s">
        <v>3</v>
      </c>
      <c r="C10" s="159" t="s">
        <v>4</v>
      </c>
      <c r="D10" s="159" t="s">
        <v>432</v>
      </c>
      <c r="E10" s="189" t="s">
        <v>5</v>
      </c>
      <c r="F10" s="190"/>
      <c r="G10" s="190"/>
      <c r="H10" s="191"/>
      <c r="I10" s="189" t="s">
        <v>6</v>
      </c>
      <c r="J10" s="190"/>
      <c r="K10" s="190"/>
      <c r="L10" s="190"/>
      <c r="M10" s="191"/>
      <c r="N10" s="159" t="s">
        <v>547</v>
      </c>
    </row>
    <row r="11" spans="1:16" ht="96" customHeight="1" thickTop="1" thickBot="1" x14ac:dyDescent="0.25">
      <c r="A11" s="188"/>
      <c r="B11" s="188"/>
      <c r="C11" s="188"/>
      <c r="D11" s="188"/>
      <c r="E11" s="159" t="s">
        <v>505</v>
      </c>
      <c r="F11" s="159" t="s">
        <v>545</v>
      </c>
      <c r="G11" s="159" t="s">
        <v>546</v>
      </c>
      <c r="H11" s="159" t="s">
        <v>433</v>
      </c>
      <c r="I11" s="159" t="s">
        <v>505</v>
      </c>
      <c r="J11" s="159" t="s">
        <v>546</v>
      </c>
      <c r="K11" s="159" t="s">
        <v>433</v>
      </c>
      <c r="L11" s="7"/>
      <c r="M11" s="159"/>
      <c r="N11" s="188"/>
    </row>
    <row r="12" spans="1:16" ht="208.5" customHeight="1" thickTop="1" thickBot="1" x14ac:dyDescent="0.2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7"/>
      <c r="M12" s="160"/>
      <c r="N12" s="160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507</v>
      </c>
      <c r="I13" s="8" t="s">
        <v>508</v>
      </c>
      <c r="J13" s="8" t="s">
        <v>509</v>
      </c>
      <c r="K13" s="8" t="s">
        <v>510</v>
      </c>
      <c r="L13" s="8"/>
      <c r="M13" s="8"/>
      <c r="N13" s="8" t="s">
        <v>13</v>
      </c>
      <c r="O13" s="9"/>
      <c r="P13" s="10"/>
    </row>
    <row r="14" spans="1:16" s="14" customFormat="1" ht="88.5" customHeight="1" thickTop="1" thickBot="1" x14ac:dyDescent="0.25">
      <c r="A14" s="58" t="s">
        <v>14</v>
      </c>
      <c r="B14" s="107" t="s">
        <v>15</v>
      </c>
      <c r="C14" s="107"/>
      <c r="D14" s="108" t="s">
        <v>16</v>
      </c>
      <c r="E14" s="109">
        <f>SUM(E15:E18)</f>
        <v>267893589.92000002</v>
      </c>
      <c r="F14" s="109">
        <f t="shared" ref="F14:J14" si="0">SUM(F15:F18)</f>
        <v>185951993</v>
      </c>
      <c r="G14" s="109">
        <f t="shared" si="0"/>
        <v>147125997.42000002</v>
      </c>
      <c r="H14" s="110">
        <f t="shared" ref="H14:H27" si="1">G14/F14</f>
        <v>0.79120419763395611</v>
      </c>
      <c r="I14" s="109">
        <f t="shared" si="0"/>
        <v>2712122</v>
      </c>
      <c r="J14" s="109">
        <f t="shared" si="0"/>
        <v>185140</v>
      </c>
      <c r="K14" s="110">
        <f>J14/I14</f>
        <v>6.8263890783674189E-2</v>
      </c>
      <c r="L14" s="109"/>
      <c r="M14" s="109"/>
      <c r="N14" s="111">
        <f t="shared" ref="N14:N27" si="2">G14+J14</f>
        <v>147311137.42000002</v>
      </c>
      <c r="O14" s="54" t="b">
        <f>N14=N15+N16+N17+N18</f>
        <v>1</v>
      </c>
      <c r="P14" s="13"/>
    </row>
    <row r="15" spans="1:16" ht="321.75" thickTop="1" thickBot="1" x14ac:dyDescent="0.25">
      <c r="A15" s="59" t="s">
        <v>17</v>
      </c>
      <c r="B15" s="67" t="s">
        <v>18</v>
      </c>
      <c r="C15" s="67" t="s">
        <v>19</v>
      </c>
      <c r="D15" s="67" t="s">
        <v>20</v>
      </c>
      <c r="E15" s="64">
        <v>125443062</v>
      </c>
      <c r="F15" s="64">
        <v>76569697</v>
      </c>
      <c r="G15" s="64">
        <v>73482596.900000006</v>
      </c>
      <c r="H15" s="66">
        <f t="shared" si="1"/>
        <v>0.95968248248389965</v>
      </c>
      <c r="I15" s="64">
        <v>1900000</v>
      </c>
      <c r="J15" s="132">
        <v>0</v>
      </c>
      <c r="K15" s="66">
        <f t="shared" ref="K15:K18" si="3">J15/I15</f>
        <v>0</v>
      </c>
      <c r="L15" s="133"/>
      <c r="M15" s="134"/>
      <c r="N15" s="65">
        <f t="shared" si="2"/>
        <v>73482596.900000006</v>
      </c>
      <c r="O15" s="15"/>
      <c r="P15" s="16"/>
    </row>
    <row r="16" spans="1:16" ht="230.25" thickTop="1" thickBot="1" x14ac:dyDescent="0.25">
      <c r="A16" s="59" t="s">
        <v>21</v>
      </c>
      <c r="B16" s="67" t="s">
        <v>22</v>
      </c>
      <c r="C16" s="67" t="s">
        <v>19</v>
      </c>
      <c r="D16" s="67" t="s">
        <v>23</v>
      </c>
      <c r="E16" s="64">
        <v>123176518.92</v>
      </c>
      <c r="F16" s="64">
        <v>91702083</v>
      </c>
      <c r="G16" s="64">
        <v>72023667.950000003</v>
      </c>
      <c r="H16" s="66">
        <f t="shared" si="1"/>
        <v>0.78540929053923458</v>
      </c>
      <c r="I16" s="64">
        <f>399300+88000+22000+90000+110500+46000+40000</f>
        <v>795800</v>
      </c>
      <c r="J16" s="132">
        <f>61140+108500</f>
        <v>169640</v>
      </c>
      <c r="K16" s="66">
        <f t="shared" si="3"/>
        <v>0.21316913797436543</v>
      </c>
      <c r="L16" s="133"/>
      <c r="M16" s="134"/>
      <c r="N16" s="65">
        <f t="shared" si="2"/>
        <v>72193307.950000003</v>
      </c>
      <c r="O16" s="15"/>
      <c r="P16" s="16"/>
    </row>
    <row r="17" spans="1:18" ht="184.5" thickTop="1" thickBot="1" x14ac:dyDescent="0.25">
      <c r="A17" s="59" t="s">
        <v>24</v>
      </c>
      <c r="B17" s="67" t="s">
        <v>25</v>
      </c>
      <c r="C17" s="67" t="s">
        <v>26</v>
      </c>
      <c r="D17" s="67" t="s">
        <v>27</v>
      </c>
      <c r="E17" s="64">
        <v>145588</v>
      </c>
      <c r="F17" s="64">
        <v>129388</v>
      </c>
      <c r="G17" s="64">
        <v>10000</v>
      </c>
      <c r="H17" s="66">
        <f t="shared" si="1"/>
        <v>7.7286919961665687E-2</v>
      </c>
      <c r="I17" s="64"/>
      <c r="J17" s="132"/>
      <c r="K17" s="133"/>
      <c r="L17" s="133"/>
      <c r="M17" s="134"/>
      <c r="N17" s="65">
        <f t="shared" si="2"/>
        <v>10000</v>
      </c>
      <c r="O17" s="15"/>
      <c r="P17" s="17"/>
    </row>
    <row r="18" spans="1:18" ht="111" customHeight="1" thickTop="1" thickBot="1" x14ac:dyDescent="0.25">
      <c r="A18" s="59" t="s">
        <v>28</v>
      </c>
      <c r="B18" s="67" t="s">
        <v>29</v>
      </c>
      <c r="C18" s="67" t="s">
        <v>30</v>
      </c>
      <c r="D18" s="67" t="s">
        <v>31</v>
      </c>
      <c r="E18" s="65">
        <v>19128421</v>
      </c>
      <c r="F18" s="65">
        <v>17550825</v>
      </c>
      <c r="G18" s="65">
        <v>1609732.57</v>
      </c>
      <c r="H18" s="66">
        <f t="shared" si="1"/>
        <v>9.1718342015261398E-2</v>
      </c>
      <c r="I18" s="64">
        <v>16322</v>
      </c>
      <c r="J18" s="132">
        <v>15500</v>
      </c>
      <c r="K18" s="66">
        <f t="shared" si="3"/>
        <v>0.94963852469060162</v>
      </c>
      <c r="L18" s="135"/>
      <c r="M18" s="136"/>
      <c r="N18" s="65">
        <f t="shared" si="2"/>
        <v>1625232.57</v>
      </c>
      <c r="O18" s="15"/>
      <c r="P18" s="17"/>
    </row>
    <row r="19" spans="1:18" ht="83.25" customHeight="1" thickTop="1" thickBot="1" x14ac:dyDescent="0.25">
      <c r="A19" s="58" t="s">
        <v>65</v>
      </c>
      <c r="B19" s="107" t="s">
        <v>66</v>
      </c>
      <c r="C19" s="107"/>
      <c r="D19" s="108" t="s">
        <v>67</v>
      </c>
      <c r="E19" s="109">
        <f>SUM(E20:E50)-E21-E25-E33-E36-E39-E43-E48-E28</f>
        <v>1882747862.0800004</v>
      </c>
      <c r="F19" s="109">
        <f>SUM(F20:F50)-F21-F25-F33-F36-F39-F43-F48-F28</f>
        <v>1260218693.01</v>
      </c>
      <c r="G19" s="109">
        <f>SUM(G20:G50)-G21-G25-G33-G36-G39-G43-G48-G28</f>
        <v>1231869304.5199997</v>
      </c>
      <c r="H19" s="110">
        <f t="shared" si="1"/>
        <v>0.97750438979579923</v>
      </c>
      <c r="I19" s="109">
        <f>SUM(I20:I50)-I21-I25-I33-I36-I39-I43-I48-I28</f>
        <v>193315407.94999999</v>
      </c>
      <c r="J19" s="109">
        <f>SUM(J20:J50)-J21-J25-J33-J36-J39-J43-J48-J28</f>
        <v>54773041.749999978</v>
      </c>
      <c r="K19" s="110">
        <f>J19/I19</f>
        <v>0.28333510676069201</v>
      </c>
      <c r="L19" s="109"/>
      <c r="M19" s="109"/>
      <c r="N19" s="111">
        <f>G19+J19</f>
        <v>1286642346.2699997</v>
      </c>
      <c r="O19" s="53" t="b">
        <f>N19=N20+N22+N23+N24+N26+N31+N32+N34+N35+N37+N38+N40+N41+N42+N44+N45+N46+N47+N50+N30+N49+N27</f>
        <v>1</v>
      </c>
      <c r="P19" s="12"/>
    </row>
    <row r="20" spans="1:18" ht="99" customHeight="1" thickTop="1" thickBot="1" x14ac:dyDescent="0.6">
      <c r="A20" s="59" t="s">
        <v>68</v>
      </c>
      <c r="B20" s="67" t="s">
        <v>69</v>
      </c>
      <c r="C20" s="67" t="s">
        <v>70</v>
      </c>
      <c r="D20" s="67" t="s">
        <v>71</v>
      </c>
      <c r="E20" s="65">
        <v>541133719.13999999</v>
      </c>
      <c r="F20" s="65">
        <v>327995158.95999998</v>
      </c>
      <c r="G20" s="65">
        <v>323389713.20999998</v>
      </c>
      <c r="H20" s="66">
        <f t="shared" si="1"/>
        <v>0.98595879962191257</v>
      </c>
      <c r="I20" s="65">
        <v>72487560.560000002</v>
      </c>
      <c r="J20" s="65">
        <v>16597151.810000001</v>
      </c>
      <c r="K20" s="66">
        <f t="shared" ref="K20:K23" si="4">J20/I20</f>
        <v>0.2289655174181516</v>
      </c>
      <c r="L20" s="65"/>
      <c r="M20" s="134"/>
      <c r="N20" s="65">
        <f t="shared" si="2"/>
        <v>339986865.01999998</v>
      </c>
      <c r="O20" s="21"/>
      <c r="P20" s="12"/>
    </row>
    <row r="21" spans="1:18" ht="138.75" thickTop="1" thickBot="1" x14ac:dyDescent="0.6">
      <c r="A21" s="60" t="s">
        <v>72</v>
      </c>
      <c r="B21" s="68" t="s">
        <v>73</v>
      </c>
      <c r="C21" s="68"/>
      <c r="D21" s="68" t="s">
        <v>74</v>
      </c>
      <c r="E21" s="69">
        <f>E22+E23+E24</f>
        <v>398276470.82999998</v>
      </c>
      <c r="F21" s="69">
        <f>F22+F23+F24</f>
        <v>230077847.77000001</v>
      </c>
      <c r="G21" s="69">
        <f>G22+G23+G24</f>
        <v>216194574.93000001</v>
      </c>
      <c r="H21" s="70">
        <f t="shared" si="1"/>
        <v>0.93965836791954616</v>
      </c>
      <c r="I21" s="69">
        <f>I22+I23+I24</f>
        <v>74918596.950000003</v>
      </c>
      <c r="J21" s="69">
        <f>J22+J23+J24</f>
        <v>14612248.32</v>
      </c>
      <c r="K21" s="70">
        <f t="shared" si="4"/>
        <v>0.19504167075835768</v>
      </c>
      <c r="L21" s="69"/>
      <c r="M21" s="137"/>
      <c r="N21" s="69">
        <f>G21+J21</f>
        <v>230806823.25</v>
      </c>
      <c r="O21" s="21"/>
      <c r="P21" s="22"/>
    </row>
    <row r="22" spans="1:18" ht="138.75" thickTop="1" thickBot="1" x14ac:dyDescent="0.6">
      <c r="A22" s="59" t="s">
        <v>75</v>
      </c>
      <c r="B22" s="67" t="s">
        <v>76</v>
      </c>
      <c r="C22" s="67" t="s">
        <v>77</v>
      </c>
      <c r="D22" s="67" t="s">
        <v>78</v>
      </c>
      <c r="E22" s="65">
        <v>354844165.43000001</v>
      </c>
      <c r="F22" s="65">
        <v>203151402.37</v>
      </c>
      <c r="G22" s="65">
        <v>190412571.40000001</v>
      </c>
      <c r="H22" s="66">
        <f t="shared" si="1"/>
        <v>0.93729390581907601</v>
      </c>
      <c r="I22" s="65">
        <v>74827196.950000003</v>
      </c>
      <c r="J22" s="65">
        <v>14575262.68</v>
      </c>
      <c r="K22" s="66">
        <f t="shared" si="4"/>
        <v>0.19478562974554933</v>
      </c>
      <c r="L22" s="65"/>
      <c r="M22" s="134"/>
      <c r="N22" s="65">
        <f t="shared" si="2"/>
        <v>204987834.08000001</v>
      </c>
      <c r="O22" s="21"/>
      <c r="P22" s="13"/>
      <c r="R22" s="23"/>
    </row>
    <row r="23" spans="1:18" ht="276" thickTop="1" thickBot="1" x14ac:dyDescent="0.25">
      <c r="A23" s="59" t="s">
        <v>79</v>
      </c>
      <c r="B23" s="67" t="s">
        <v>80</v>
      </c>
      <c r="C23" s="67" t="s">
        <v>81</v>
      </c>
      <c r="D23" s="67" t="s">
        <v>82</v>
      </c>
      <c r="E23" s="65">
        <v>24885295.399999999</v>
      </c>
      <c r="F23" s="65">
        <v>17607006.399999999</v>
      </c>
      <c r="G23" s="65">
        <v>17427908.370000001</v>
      </c>
      <c r="H23" s="66">
        <f t="shared" si="1"/>
        <v>0.98982802493898125</v>
      </c>
      <c r="I23" s="65">
        <v>91400</v>
      </c>
      <c r="J23" s="65">
        <v>36985.64</v>
      </c>
      <c r="K23" s="66">
        <f t="shared" si="4"/>
        <v>0.40465689277899342</v>
      </c>
      <c r="L23" s="65"/>
      <c r="M23" s="134"/>
      <c r="N23" s="65">
        <f t="shared" si="2"/>
        <v>17464894.010000002</v>
      </c>
      <c r="P23" s="13"/>
    </row>
    <row r="24" spans="1:18" ht="184.5" thickTop="1" thickBot="1" x14ac:dyDescent="0.25">
      <c r="A24" s="112"/>
      <c r="B24" s="67" t="s">
        <v>456</v>
      </c>
      <c r="C24" s="67" t="s">
        <v>81</v>
      </c>
      <c r="D24" s="67" t="s">
        <v>457</v>
      </c>
      <c r="E24" s="65">
        <v>18547010</v>
      </c>
      <c r="F24" s="65">
        <v>9319439</v>
      </c>
      <c r="G24" s="65">
        <v>8354095.1600000001</v>
      </c>
      <c r="H24" s="66">
        <f t="shared" si="1"/>
        <v>0.89641609972445768</v>
      </c>
      <c r="I24" s="65"/>
      <c r="J24" s="65"/>
      <c r="K24" s="66"/>
      <c r="L24" s="65"/>
      <c r="M24" s="134"/>
      <c r="N24" s="65">
        <f t="shared" si="2"/>
        <v>8354095.1600000001</v>
      </c>
      <c r="P24" s="13"/>
    </row>
    <row r="25" spans="1:18" ht="244.5" thickTop="1" thickBot="1" x14ac:dyDescent="0.25">
      <c r="A25" s="113" t="s">
        <v>83</v>
      </c>
      <c r="B25" s="68" t="s">
        <v>84</v>
      </c>
      <c r="C25" s="68"/>
      <c r="D25" s="68" t="s">
        <v>85</v>
      </c>
      <c r="E25" s="69">
        <f>E26+E27</f>
        <v>632703833</v>
      </c>
      <c r="F25" s="69">
        <f>F26+F27</f>
        <v>487020242</v>
      </c>
      <c r="G25" s="69">
        <f>G26+G27</f>
        <v>485951326.55000001</v>
      </c>
      <c r="H25" s="70">
        <f t="shared" si="1"/>
        <v>0.99780519297183545</v>
      </c>
      <c r="I25" s="69">
        <f>I26+I27</f>
        <v>0</v>
      </c>
      <c r="J25" s="69">
        <f>J26+J27</f>
        <v>0</v>
      </c>
      <c r="K25" s="66">
        <v>0</v>
      </c>
      <c r="L25" s="69"/>
      <c r="M25" s="69"/>
      <c r="N25" s="69">
        <f>G25+J25</f>
        <v>485951326.55000001</v>
      </c>
      <c r="O25" s="50" t="s">
        <v>434</v>
      </c>
      <c r="P25" s="19"/>
    </row>
    <row r="26" spans="1:18" ht="138.75" thickTop="1" thickBot="1" x14ac:dyDescent="0.25">
      <c r="A26" s="112" t="s">
        <v>86</v>
      </c>
      <c r="B26" s="67" t="s">
        <v>87</v>
      </c>
      <c r="C26" s="67" t="s">
        <v>77</v>
      </c>
      <c r="D26" s="67" t="s">
        <v>78</v>
      </c>
      <c r="E26" s="65">
        <v>628868833</v>
      </c>
      <c r="F26" s="65">
        <v>483551242</v>
      </c>
      <c r="G26" s="65">
        <v>482482326.55000001</v>
      </c>
      <c r="H26" s="66">
        <f t="shared" si="1"/>
        <v>0.99778944741082898</v>
      </c>
      <c r="I26" s="65"/>
      <c r="J26" s="65"/>
      <c r="K26" s="65"/>
      <c r="L26" s="65"/>
      <c r="M26" s="134"/>
      <c r="N26" s="65">
        <f t="shared" si="2"/>
        <v>482482326.55000001</v>
      </c>
      <c r="P26" s="17"/>
    </row>
    <row r="27" spans="1:18" ht="184.5" thickTop="1" thickBot="1" x14ac:dyDescent="0.25">
      <c r="A27" s="114"/>
      <c r="B27" s="83" t="s">
        <v>506</v>
      </c>
      <c r="C27" s="67" t="s">
        <v>81</v>
      </c>
      <c r="D27" s="67" t="s">
        <v>457</v>
      </c>
      <c r="E27" s="71">
        <v>3835000</v>
      </c>
      <c r="F27" s="71">
        <v>3469000</v>
      </c>
      <c r="G27" s="71">
        <v>3469000</v>
      </c>
      <c r="H27" s="66">
        <f t="shared" si="1"/>
        <v>1</v>
      </c>
      <c r="I27" s="71"/>
      <c r="J27" s="71"/>
      <c r="K27" s="71"/>
      <c r="L27" s="71"/>
      <c r="M27" s="138"/>
      <c r="N27" s="65">
        <f t="shared" si="2"/>
        <v>3469000</v>
      </c>
      <c r="P27" s="17"/>
    </row>
    <row r="28" spans="1:18" ht="409.6" hidden="1" thickTop="1" thickBot="1" x14ac:dyDescent="0.7">
      <c r="A28" s="175" t="s">
        <v>88</v>
      </c>
      <c r="B28" s="177" t="s">
        <v>89</v>
      </c>
      <c r="C28" s="177"/>
      <c r="D28" s="115" t="s">
        <v>462</v>
      </c>
      <c r="E28" s="163">
        <f t="shared" ref="E28:J28" si="5">E30</f>
        <v>0</v>
      </c>
      <c r="F28" s="163">
        <f t="shared" si="5"/>
        <v>0</v>
      </c>
      <c r="G28" s="163">
        <f t="shared" si="5"/>
        <v>0</v>
      </c>
      <c r="H28" s="163"/>
      <c r="I28" s="163">
        <f t="shared" si="5"/>
        <v>0</v>
      </c>
      <c r="J28" s="163">
        <f t="shared" si="5"/>
        <v>0</v>
      </c>
      <c r="K28" s="165" t="e">
        <f t="shared" ref="K28:K30" si="6">J28/I28</f>
        <v>#DIV/0!</v>
      </c>
      <c r="L28" s="163"/>
      <c r="M28" s="163"/>
      <c r="N28" s="163">
        <f>J28+G28</f>
        <v>0</v>
      </c>
      <c r="P28" s="17"/>
    </row>
    <row r="29" spans="1:18" ht="229.7" hidden="1" customHeight="1" thickTop="1" thickBot="1" x14ac:dyDescent="0.25">
      <c r="A29" s="176"/>
      <c r="B29" s="178"/>
      <c r="C29" s="178"/>
      <c r="D29" s="116" t="s">
        <v>463</v>
      </c>
      <c r="E29" s="164"/>
      <c r="F29" s="164"/>
      <c r="G29" s="164"/>
      <c r="H29" s="164"/>
      <c r="I29" s="164"/>
      <c r="J29" s="164"/>
      <c r="K29" s="166"/>
      <c r="L29" s="164"/>
      <c r="M29" s="164"/>
      <c r="N29" s="164"/>
      <c r="P29" s="17"/>
    </row>
    <row r="30" spans="1:18" ht="138.75" hidden="1" thickTop="1" thickBot="1" x14ac:dyDescent="0.25">
      <c r="A30" s="112" t="s">
        <v>90</v>
      </c>
      <c r="B30" s="67" t="s">
        <v>91</v>
      </c>
      <c r="C30" s="67" t="s">
        <v>77</v>
      </c>
      <c r="D30" s="67" t="s">
        <v>92</v>
      </c>
      <c r="E30" s="65"/>
      <c r="F30" s="65"/>
      <c r="G30" s="65"/>
      <c r="H30" s="65"/>
      <c r="I30" s="65"/>
      <c r="J30" s="65"/>
      <c r="K30" s="66" t="e">
        <f t="shared" si="6"/>
        <v>#DIV/0!</v>
      </c>
      <c r="L30" s="65"/>
      <c r="M30" s="134"/>
      <c r="N30" s="65">
        <f t="shared" ref="N30:N36" si="7">G30+J30</f>
        <v>0</v>
      </c>
      <c r="P30" s="12"/>
    </row>
    <row r="31" spans="1:18" ht="184.5" thickTop="1" thickBot="1" x14ac:dyDescent="0.25">
      <c r="A31" s="112" t="s">
        <v>93</v>
      </c>
      <c r="B31" s="67" t="s">
        <v>94</v>
      </c>
      <c r="C31" s="67" t="s">
        <v>95</v>
      </c>
      <c r="D31" s="67" t="s">
        <v>96</v>
      </c>
      <c r="E31" s="65">
        <v>33645580</v>
      </c>
      <c r="F31" s="65">
        <v>20344177</v>
      </c>
      <c r="G31" s="65">
        <v>19542302.149999999</v>
      </c>
      <c r="H31" s="66">
        <f t="shared" ref="H31:H36" si="8">G31/F31</f>
        <v>0.96058455203176807</v>
      </c>
      <c r="I31" s="65">
        <v>1519391</v>
      </c>
      <c r="J31" s="65">
        <v>651506.43000000005</v>
      </c>
      <c r="K31" s="66">
        <f t="shared" ref="K31:K37" si="9">J31/I31</f>
        <v>0.42879445119788129</v>
      </c>
      <c r="L31" s="65"/>
      <c r="M31" s="134"/>
      <c r="N31" s="65">
        <f t="shared" si="7"/>
        <v>20193808.579999998</v>
      </c>
      <c r="P31" s="12"/>
    </row>
    <row r="32" spans="1:18" ht="93" thickTop="1" thickBot="1" x14ac:dyDescent="0.25">
      <c r="A32" s="59"/>
      <c r="B32" s="67" t="s">
        <v>270</v>
      </c>
      <c r="C32" s="67" t="s">
        <v>95</v>
      </c>
      <c r="D32" s="67" t="s">
        <v>511</v>
      </c>
      <c r="E32" s="65">
        <v>78240350</v>
      </c>
      <c r="F32" s="65">
        <v>56830754</v>
      </c>
      <c r="G32" s="65">
        <v>54239005.350000001</v>
      </c>
      <c r="H32" s="66">
        <f t="shared" si="8"/>
        <v>0.95439531472695227</v>
      </c>
      <c r="I32" s="65">
        <v>8879540</v>
      </c>
      <c r="J32" s="65">
        <v>3233712.73</v>
      </c>
      <c r="K32" s="66">
        <f t="shared" si="9"/>
        <v>0.36417570392159954</v>
      </c>
      <c r="L32" s="65"/>
      <c r="M32" s="134"/>
      <c r="N32" s="65">
        <f t="shared" si="7"/>
        <v>57472718.079999998</v>
      </c>
      <c r="P32" s="12"/>
    </row>
    <row r="33" spans="1:16" ht="184.5" thickTop="1" thickBot="1" x14ac:dyDescent="0.25">
      <c r="A33" s="113" t="s">
        <v>97</v>
      </c>
      <c r="B33" s="68" t="s">
        <v>98</v>
      </c>
      <c r="C33" s="68"/>
      <c r="D33" s="68" t="s">
        <v>99</v>
      </c>
      <c r="E33" s="69">
        <f>E34+E35</f>
        <v>155156328.11000001</v>
      </c>
      <c r="F33" s="69">
        <f t="shared" ref="F33:J33" si="10">F34+F35</f>
        <v>109829215.28</v>
      </c>
      <c r="G33" s="69">
        <f>G34+G35</f>
        <v>107903560.87</v>
      </c>
      <c r="H33" s="70">
        <f t="shared" si="8"/>
        <v>0.98246682902094207</v>
      </c>
      <c r="I33" s="69">
        <f t="shared" si="10"/>
        <v>32544137.620000001</v>
      </c>
      <c r="J33" s="69">
        <f t="shared" si="10"/>
        <v>19545294.219999999</v>
      </c>
      <c r="K33" s="70">
        <f t="shared" si="9"/>
        <v>0.60057803492044104</v>
      </c>
      <c r="L33" s="69"/>
      <c r="M33" s="69"/>
      <c r="N33" s="69">
        <f t="shared" si="7"/>
        <v>127448855.09</v>
      </c>
      <c r="P33" s="19"/>
    </row>
    <row r="34" spans="1:16" ht="230.25" thickTop="1" thickBot="1" x14ac:dyDescent="0.25">
      <c r="A34" s="112" t="s">
        <v>100</v>
      </c>
      <c r="B34" s="67" t="s">
        <v>101</v>
      </c>
      <c r="C34" s="67" t="s">
        <v>102</v>
      </c>
      <c r="D34" s="67" t="s">
        <v>103</v>
      </c>
      <c r="E34" s="65">
        <v>137739012.11000001</v>
      </c>
      <c r="F34" s="65">
        <v>95712672.280000001</v>
      </c>
      <c r="G34" s="65">
        <v>94152682.409999996</v>
      </c>
      <c r="H34" s="66">
        <f t="shared" si="8"/>
        <v>0.98370132362999563</v>
      </c>
      <c r="I34" s="65">
        <v>32544137.620000001</v>
      </c>
      <c r="J34" s="65">
        <v>19545294.219999999</v>
      </c>
      <c r="K34" s="66">
        <f t="shared" si="9"/>
        <v>0.60057803492044104</v>
      </c>
      <c r="L34" s="65"/>
      <c r="M34" s="134"/>
      <c r="N34" s="65">
        <f t="shared" si="7"/>
        <v>113697976.63</v>
      </c>
      <c r="P34" s="12"/>
    </row>
    <row r="35" spans="1:16" ht="230.25" thickTop="1" thickBot="1" x14ac:dyDescent="0.25">
      <c r="A35" s="112" t="s">
        <v>104</v>
      </c>
      <c r="B35" s="67" t="s">
        <v>105</v>
      </c>
      <c r="C35" s="67" t="s">
        <v>102</v>
      </c>
      <c r="D35" s="67" t="s">
        <v>106</v>
      </c>
      <c r="E35" s="65">
        <v>17417316</v>
      </c>
      <c r="F35" s="65">
        <v>14116543</v>
      </c>
      <c r="G35" s="65">
        <v>13750878.460000001</v>
      </c>
      <c r="H35" s="66">
        <f t="shared" si="8"/>
        <v>0.97409673600682556</v>
      </c>
      <c r="I35" s="65"/>
      <c r="J35" s="65"/>
      <c r="K35" s="65"/>
      <c r="L35" s="65"/>
      <c r="M35" s="134"/>
      <c r="N35" s="65">
        <f t="shared" si="7"/>
        <v>13750878.460000001</v>
      </c>
      <c r="P35" s="17"/>
    </row>
    <row r="36" spans="1:16" ht="93" thickTop="1" thickBot="1" x14ac:dyDescent="0.25">
      <c r="A36" s="60" t="s">
        <v>107</v>
      </c>
      <c r="B36" s="68" t="s">
        <v>108</v>
      </c>
      <c r="C36" s="68"/>
      <c r="D36" s="68" t="s">
        <v>109</v>
      </c>
      <c r="E36" s="69">
        <f t="shared" ref="E36:J36" si="11">E37+E38</f>
        <v>30502885</v>
      </c>
      <c r="F36" s="69">
        <f t="shared" si="11"/>
        <v>18157675</v>
      </c>
      <c r="G36" s="69">
        <f t="shared" si="11"/>
        <v>17125550.82</v>
      </c>
      <c r="H36" s="70">
        <f t="shared" si="8"/>
        <v>0.94315769061842991</v>
      </c>
      <c r="I36" s="69">
        <f t="shared" si="11"/>
        <v>1435265.82</v>
      </c>
      <c r="J36" s="69">
        <f t="shared" si="11"/>
        <v>133128.24</v>
      </c>
      <c r="K36" s="70">
        <f t="shared" si="9"/>
        <v>9.2755110687440454E-2</v>
      </c>
      <c r="L36" s="69"/>
      <c r="M36" s="69"/>
      <c r="N36" s="69">
        <f t="shared" si="7"/>
        <v>17258679.059999999</v>
      </c>
      <c r="P36" s="19"/>
    </row>
    <row r="37" spans="1:16" ht="93" thickTop="1" thickBot="1" x14ac:dyDescent="0.25">
      <c r="A37" s="59" t="s">
        <v>110</v>
      </c>
      <c r="B37" s="67" t="s">
        <v>111</v>
      </c>
      <c r="C37" s="67" t="s">
        <v>112</v>
      </c>
      <c r="D37" s="67" t="s">
        <v>113</v>
      </c>
      <c r="E37" s="65">
        <v>30284875</v>
      </c>
      <c r="F37" s="65">
        <v>17948715</v>
      </c>
      <c r="G37" s="65">
        <v>17034231.82</v>
      </c>
      <c r="H37" s="66">
        <f t="shared" ref="H37:H46" si="12">G37/F37</f>
        <v>0.94905021445824955</v>
      </c>
      <c r="I37" s="65">
        <v>1435265.82</v>
      </c>
      <c r="J37" s="65">
        <v>133128.24</v>
      </c>
      <c r="K37" s="66">
        <f t="shared" si="9"/>
        <v>9.2755110687440454E-2</v>
      </c>
      <c r="L37" s="65"/>
      <c r="M37" s="134"/>
      <c r="N37" s="65">
        <f t="shared" ref="N37:N46" si="13">G37+J37</f>
        <v>17167360.059999999</v>
      </c>
      <c r="P37" s="17"/>
    </row>
    <row r="38" spans="1:16" ht="93" thickTop="1" thickBot="1" x14ac:dyDescent="0.25">
      <c r="A38" s="59" t="s">
        <v>114</v>
      </c>
      <c r="B38" s="67" t="s">
        <v>115</v>
      </c>
      <c r="C38" s="67" t="s">
        <v>112</v>
      </c>
      <c r="D38" s="67" t="s">
        <v>116</v>
      </c>
      <c r="E38" s="65">
        <v>218010</v>
      </c>
      <c r="F38" s="65">
        <v>208960</v>
      </c>
      <c r="G38" s="65">
        <v>91319</v>
      </c>
      <c r="H38" s="66">
        <f t="shared" si="12"/>
        <v>0.43701665390505362</v>
      </c>
      <c r="I38" s="65"/>
      <c r="J38" s="65"/>
      <c r="K38" s="65"/>
      <c r="L38" s="65"/>
      <c r="M38" s="134"/>
      <c r="N38" s="65">
        <f t="shared" si="13"/>
        <v>91319</v>
      </c>
      <c r="P38" s="17"/>
    </row>
    <row r="39" spans="1:16" ht="244.5" thickTop="1" thickBot="1" x14ac:dyDescent="0.25">
      <c r="A39" s="60" t="s">
        <v>117</v>
      </c>
      <c r="B39" s="68" t="s">
        <v>118</v>
      </c>
      <c r="C39" s="68"/>
      <c r="D39" s="68" t="s">
        <v>119</v>
      </c>
      <c r="E39" s="69">
        <f>E40+E41</f>
        <v>5722975</v>
      </c>
      <c r="F39" s="69">
        <f t="shared" ref="F39:J39" si="14">F40+F41</f>
        <v>4479363</v>
      </c>
      <c r="G39" s="69">
        <f t="shared" si="14"/>
        <v>2899374.65</v>
      </c>
      <c r="H39" s="70">
        <f>G39/F39</f>
        <v>0.64727387577206841</v>
      </c>
      <c r="I39" s="69">
        <f t="shared" si="14"/>
        <v>0</v>
      </c>
      <c r="J39" s="69">
        <f t="shared" si="14"/>
        <v>0</v>
      </c>
      <c r="K39" s="70">
        <v>0</v>
      </c>
      <c r="L39" s="69"/>
      <c r="M39" s="69"/>
      <c r="N39" s="69">
        <f t="shared" si="13"/>
        <v>2899374.65</v>
      </c>
      <c r="O39" s="50" t="s">
        <v>434</v>
      </c>
      <c r="P39" s="19"/>
    </row>
    <row r="40" spans="1:16" ht="184.5" thickTop="1" thickBot="1" x14ac:dyDescent="0.25">
      <c r="A40" s="59" t="s">
        <v>120</v>
      </c>
      <c r="B40" s="67" t="s">
        <v>121</v>
      </c>
      <c r="C40" s="67" t="s">
        <v>112</v>
      </c>
      <c r="D40" s="67" t="s">
        <v>122</v>
      </c>
      <c r="E40" s="65">
        <v>1120505</v>
      </c>
      <c r="F40" s="65">
        <v>858121</v>
      </c>
      <c r="G40" s="65">
        <v>572139.37</v>
      </c>
      <c r="H40" s="66">
        <f t="shared" si="12"/>
        <v>0.66673507582264036</v>
      </c>
      <c r="I40" s="65"/>
      <c r="J40" s="65"/>
      <c r="K40" s="66"/>
      <c r="L40" s="65"/>
      <c r="M40" s="134"/>
      <c r="N40" s="65">
        <f>G40+J40</f>
        <v>572139.37</v>
      </c>
      <c r="P40" s="12"/>
    </row>
    <row r="41" spans="1:16" ht="138.75" thickTop="1" thickBot="1" x14ac:dyDescent="0.25">
      <c r="A41" s="59" t="s">
        <v>123</v>
      </c>
      <c r="B41" s="67" t="s">
        <v>124</v>
      </c>
      <c r="C41" s="67" t="s">
        <v>112</v>
      </c>
      <c r="D41" s="67" t="s">
        <v>125</v>
      </c>
      <c r="E41" s="65">
        <v>4602470</v>
      </c>
      <c r="F41" s="65">
        <v>3621242</v>
      </c>
      <c r="G41" s="65">
        <v>2327235.2799999998</v>
      </c>
      <c r="H41" s="66">
        <f t="shared" si="12"/>
        <v>0.64266218054468605</v>
      </c>
      <c r="I41" s="65"/>
      <c r="J41" s="65"/>
      <c r="K41" s="65"/>
      <c r="L41" s="65"/>
      <c r="M41" s="134"/>
      <c r="N41" s="65">
        <f t="shared" si="13"/>
        <v>2327235.2799999998</v>
      </c>
      <c r="P41" s="17"/>
    </row>
    <row r="42" spans="1:16" ht="138.75" thickTop="1" thickBot="1" x14ac:dyDescent="0.25">
      <c r="A42" s="112" t="s">
        <v>126</v>
      </c>
      <c r="B42" s="67" t="s">
        <v>127</v>
      </c>
      <c r="C42" s="67" t="s">
        <v>112</v>
      </c>
      <c r="D42" s="67" t="s">
        <v>128</v>
      </c>
      <c r="E42" s="65">
        <v>3056165</v>
      </c>
      <c r="F42" s="65">
        <v>2424063</v>
      </c>
      <c r="G42" s="65">
        <v>2180255.9500000002</v>
      </c>
      <c r="H42" s="66">
        <f t="shared" si="12"/>
        <v>0.89942214785671837</v>
      </c>
      <c r="I42" s="65"/>
      <c r="J42" s="65"/>
      <c r="K42" s="66"/>
      <c r="L42" s="65"/>
      <c r="M42" s="134"/>
      <c r="N42" s="65">
        <f t="shared" si="13"/>
        <v>2180255.9500000002</v>
      </c>
      <c r="O42" s="50"/>
      <c r="P42" s="12"/>
    </row>
    <row r="43" spans="1:16" s="18" customFormat="1" ht="230.25" hidden="1" thickTop="1" thickBot="1" x14ac:dyDescent="0.25">
      <c r="A43" s="113" t="s">
        <v>129</v>
      </c>
      <c r="B43" s="68" t="s">
        <v>130</v>
      </c>
      <c r="C43" s="68"/>
      <c r="D43" s="68" t="s">
        <v>131</v>
      </c>
      <c r="E43" s="69">
        <f>E44+E45</f>
        <v>0</v>
      </c>
      <c r="F43" s="69">
        <f>F44+F45</f>
        <v>0</v>
      </c>
      <c r="G43" s="69">
        <f>G44+G45</f>
        <v>0</v>
      </c>
      <c r="H43" s="70" t="e">
        <f t="shared" si="12"/>
        <v>#DIV/0!</v>
      </c>
      <c r="I43" s="69">
        <f>I44+I45</f>
        <v>0</v>
      </c>
      <c r="J43" s="69">
        <f>J44+J45</f>
        <v>0</v>
      </c>
      <c r="K43" s="70" t="e">
        <f t="shared" ref="K43:K45" si="15">J43/I43</f>
        <v>#DIV/0!</v>
      </c>
      <c r="L43" s="69"/>
      <c r="M43" s="69"/>
      <c r="N43" s="69">
        <f t="shared" si="13"/>
        <v>0</v>
      </c>
      <c r="O43" s="50"/>
      <c r="P43" s="22"/>
    </row>
    <row r="44" spans="1:16" s="18" customFormat="1" ht="367.5" hidden="1" thickTop="1" thickBot="1" x14ac:dyDescent="0.25">
      <c r="A44" s="112" t="s">
        <v>132</v>
      </c>
      <c r="B44" s="67" t="s">
        <v>133</v>
      </c>
      <c r="C44" s="67" t="s">
        <v>112</v>
      </c>
      <c r="D44" s="67" t="s">
        <v>134</v>
      </c>
      <c r="E44" s="65"/>
      <c r="F44" s="65"/>
      <c r="G44" s="65"/>
      <c r="H44" s="66" t="e">
        <f t="shared" si="12"/>
        <v>#DIV/0!</v>
      </c>
      <c r="I44" s="65"/>
      <c r="J44" s="65"/>
      <c r="K44" s="66" t="e">
        <f t="shared" si="15"/>
        <v>#DIV/0!</v>
      </c>
      <c r="L44" s="65"/>
      <c r="M44" s="134"/>
      <c r="N44" s="65">
        <f t="shared" si="13"/>
        <v>0</v>
      </c>
      <c r="O44" s="50"/>
      <c r="P44" s="12"/>
    </row>
    <row r="45" spans="1:16" s="18" customFormat="1" ht="321.75" hidden="1" thickTop="1" thickBot="1" x14ac:dyDescent="0.25">
      <c r="A45" s="112"/>
      <c r="B45" s="67" t="s">
        <v>454</v>
      </c>
      <c r="C45" s="67" t="s">
        <v>112</v>
      </c>
      <c r="D45" s="67" t="s">
        <v>455</v>
      </c>
      <c r="E45" s="65"/>
      <c r="F45" s="65"/>
      <c r="G45" s="65"/>
      <c r="H45" s="66" t="e">
        <f t="shared" si="12"/>
        <v>#DIV/0!</v>
      </c>
      <c r="I45" s="65"/>
      <c r="J45" s="65"/>
      <c r="K45" s="66" t="e">
        <f t="shared" si="15"/>
        <v>#DIV/0!</v>
      </c>
      <c r="L45" s="65"/>
      <c r="M45" s="134"/>
      <c r="N45" s="65">
        <f t="shared" si="13"/>
        <v>0</v>
      </c>
      <c r="O45" s="52"/>
      <c r="P45" s="12"/>
    </row>
    <row r="46" spans="1:16" s="18" customFormat="1" ht="321.75" thickTop="1" thickBot="1" x14ac:dyDescent="0.25">
      <c r="A46" s="112" t="s">
        <v>135</v>
      </c>
      <c r="B46" s="67" t="s">
        <v>136</v>
      </c>
      <c r="C46" s="67" t="s">
        <v>112</v>
      </c>
      <c r="D46" s="67" t="s">
        <v>137</v>
      </c>
      <c r="E46" s="65">
        <v>4309556</v>
      </c>
      <c r="F46" s="65">
        <v>3060197</v>
      </c>
      <c r="G46" s="65">
        <v>2443640.04</v>
      </c>
      <c r="H46" s="66">
        <f t="shared" si="12"/>
        <v>0.79852376824106419</v>
      </c>
      <c r="I46" s="65">
        <v>1530916</v>
      </c>
      <c r="J46" s="65">
        <v>0</v>
      </c>
      <c r="K46" s="66">
        <f t="shared" ref="K46:K51" si="16">J46/I46</f>
        <v>0</v>
      </c>
      <c r="L46" s="65"/>
      <c r="M46" s="134"/>
      <c r="N46" s="65">
        <f t="shared" si="13"/>
        <v>2443640.04</v>
      </c>
      <c r="O46" s="20"/>
      <c r="P46" s="12"/>
    </row>
    <row r="47" spans="1:16" s="18" customFormat="1" ht="289.14999999999998" hidden="1" customHeight="1" thickTop="1" thickBot="1" x14ac:dyDescent="0.25">
      <c r="A47" s="58"/>
      <c r="B47" s="97" t="s">
        <v>138</v>
      </c>
      <c r="C47" s="97" t="s">
        <v>112</v>
      </c>
      <c r="D47" s="97" t="s">
        <v>139</v>
      </c>
      <c r="E47" s="92"/>
      <c r="F47" s="92"/>
      <c r="G47" s="92"/>
      <c r="H47" s="93" t="e">
        <f t="shared" ref="H47" si="17">G47/F47</f>
        <v>#DIV/0!</v>
      </c>
      <c r="I47" s="92"/>
      <c r="J47" s="92"/>
      <c r="K47" s="93" t="e">
        <f t="shared" si="16"/>
        <v>#DIV/0!</v>
      </c>
      <c r="L47" s="98"/>
      <c r="M47" s="98"/>
      <c r="N47" s="92">
        <f t="shared" ref="N47:N50" si="18">G47+J47</f>
        <v>0</v>
      </c>
      <c r="O47" s="20"/>
      <c r="P47" s="12"/>
    </row>
    <row r="48" spans="1:16" s="18" customFormat="1" ht="244.5" hidden="1" thickTop="1" thickBot="1" x14ac:dyDescent="0.25">
      <c r="A48" s="58"/>
      <c r="B48" s="99" t="s">
        <v>458</v>
      </c>
      <c r="C48" s="99"/>
      <c r="D48" s="99" t="s">
        <v>459</v>
      </c>
      <c r="E48" s="100">
        <f>E50+E49</f>
        <v>0</v>
      </c>
      <c r="F48" s="100">
        <f>F50+F49</f>
        <v>0</v>
      </c>
      <c r="G48" s="100">
        <f>G50+G49</f>
        <v>0</v>
      </c>
      <c r="H48" s="101">
        <v>0</v>
      </c>
      <c r="I48" s="100">
        <f>I50+I49</f>
        <v>0</v>
      </c>
      <c r="J48" s="100">
        <f>J50+J49</f>
        <v>0</v>
      </c>
      <c r="K48" s="101" t="e">
        <f t="shared" si="16"/>
        <v>#DIV/0!</v>
      </c>
      <c r="L48" s="102"/>
      <c r="M48" s="102"/>
      <c r="N48" s="100">
        <f>G48+J48</f>
        <v>0</v>
      </c>
      <c r="O48" s="50" t="s">
        <v>434</v>
      </c>
      <c r="P48" s="12"/>
    </row>
    <row r="49" spans="1:18" s="18" customFormat="1" ht="367.5" hidden="1" thickTop="1" thickBot="1" x14ac:dyDescent="0.25">
      <c r="A49" s="58"/>
      <c r="B49" s="97" t="s">
        <v>475</v>
      </c>
      <c r="C49" s="97" t="s">
        <v>112</v>
      </c>
      <c r="D49" s="97" t="s">
        <v>476</v>
      </c>
      <c r="E49" s="92"/>
      <c r="F49" s="92"/>
      <c r="G49" s="92"/>
      <c r="H49" s="93"/>
      <c r="I49" s="92"/>
      <c r="J49" s="92"/>
      <c r="K49" s="93" t="e">
        <f t="shared" si="16"/>
        <v>#DIV/0!</v>
      </c>
      <c r="L49" s="98"/>
      <c r="M49" s="98"/>
      <c r="N49" s="92">
        <f>G49+J49</f>
        <v>0</v>
      </c>
      <c r="O49" s="50"/>
      <c r="P49" s="12"/>
    </row>
    <row r="50" spans="1:18" s="18" customFormat="1" ht="2.25" customHeight="1" thickTop="1" thickBot="1" x14ac:dyDescent="0.25">
      <c r="A50" s="58"/>
      <c r="B50" s="97" t="s">
        <v>460</v>
      </c>
      <c r="C50" s="97" t="s">
        <v>112</v>
      </c>
      <c r="D50" s="97" t="s">
        <v>461</v>
      </c>
      <c r="E50" s="92"/>
      <c r="F50" s="92"/>
      <c r="G50" s="92"/>
      <c r="H50" s="93">
        <v>0</v>
      </c>
      <c r="I50" s="92"/>
      <c r="J50" s="92"/>
      <c r="K50" s="93" t="e">
        <f t="shared" si="16"/>
        <v>#DIV/0!</v>
      </c>
      <c r="L50" s="98"/>
      <c r="M50" s="98"/>
      <c r="N50" s="92">
        <f t="shared" si="18"/>
        <v>0</v>
      </c>
      <c r="O50" s="50" t="s">
        <v>434</v>
      </c>
      <c r="P50" s="12"/>
    </row>
    <row r="51" spans="1:18" ht="103.7" customHeight="1" thickTop="1" thickBot="1" x14ac:dyDescent="0.25">
      <c r="A51" s="58" t="s">
        <v>143</v>
      </c>
      <c r="B51" s="107" t="s">
        <v>144</v>
      </c>
      <c r="C51" s="107"/>
      <c r="D51" s="108" t="s">
        <v>145</v>
      </c>
      <c r="E51" s="109">
        <f t="shared" ref="E51:J51" si="19">SUM(E52:E63)-E57-E59-E61</f>
        <v>102016534.86</v>
      </c>
      <c r="F51" s="109">
        <f t="shared" si="19"/>
        <v>65828111.859999999</v>
      </c>
      <c r="G51" s="109">
        <f t="shared" si="19"/>
        <v>61924077.279999994</v>
      </c>
      <c r="H51" s="110">
        <f>G51/F51</f>
        <v>0.94069350510458338</v>
      </c>
      <c r="I51" s="109">
        <f>SUM(I52:I63)-I57-I59-I61</f>
        <v>9124591.1400000006</v>
      </c>
      <c r="J51" s="109">
        <f t="shared" si="19"/>
        <v>1801259.1400000001</v>
      </c>
      <c r="K51" s="110">
        <f t="shared" si="16"/>
        <v>0.1974071070542236</v>
      </c>
      <c r="L51" s="109"/>
      <c r="M51" s="109"/>
      <c r="N51" s="111">
        <f>J51+G51</f>
        <v>63725336.419999994</v>
      </c>
      <c r="O51" s="53" t="b">
        <f>N51=N52+N53+N54+N55+N56+N58+N60+N62+N63</f>
        <v>1</v>
      </c>
      <c r="P51" s="24"/>
    </row>
    <row r="52" spans="1:18" ht="93" thickTop="1" thickBot="1" x14ac:dyDescent="0.25">
      <c r="A52" s="59" t="s">
        <v>146</v>
      </c>
      <c r="B52" s="67" t="s">
        <v>147</v>
      </c>
      <c r="C52" s="67" t="s">
        <v>148</v>
      </c>
      <c r="D52" s="67" t="s">
        <v>149</v>
      </c>
      <c r="E52" s="65">
        <v>36698869.859999999</v>
      </c>
      <c r="F52" s="65">
        <v>25731844.859999999</v>
      </c>
      <c r="G52" s="65">
        <v>24732823.280000001</v>
      </c>
      <c r="H52" s="66">
        <f t="shared" ref="H52:H108" si="20">G52/F52</f>
        <v>0.96117567219002742</v>
      </c>
      <c r="I52" s="65">
        <v>5768691.1399999997</v>
      </c>
      <c r="J52" s="65">
        <v>435359.14</v>
      </c>
      <c r="K52" s="66">
        <f>J52/I52</f>
        <v>7.5469310010589347E-2</v>
      </c>
      <c r="L52" s="65"/>
      <c r="M52" s="134"/>
      <c r="N52" s="65">
        <f>G52+J52</f>
        <v>25168182.420000002</v>
      </c>
      <c r="P52" s="17"/>
    </row>
    <row r="53" spans="1:18" ht="93" thickTop="1" thickBot="1" x14ac:dyDescent="0.25">
      <c r="A53" s="59" t="s">
        <v>150</v>
      </c>
      <c r="B53" s="67" t="s">
        <v>151</v>
      </c>
      <c r="C53" s="67" t="s">
        <v>152</v>
      </c>
      <c r="D53" s="67" t="s">
        <v>153</v>
      </c>
      <c r="E53" s="65">
        <v>13091450</v>
      </c>
      <c r="F53" s="65">
        <v>8014740</v>
      </c>
      <c r="G53" s="65">
        <v>7826525.4500000002</v>
      </c>
      <c r="H53" s="66">
        <f t="shared" si="20"/>
        <v>0.97651644969144358</v>
      </c>
      <c r="I53" s="65">
        <v>2655900</v>
      </c>
      <c r="J53" s="65">
        <v>1365900</v>
      </c>
      <c r="K53" s="66">
        <f>J53/I53</f>
        <v>0.5142889416017169</v>
      </c>
      <c r="L53" s="65"/>
      <c r="M53" s="134"/>
      <c r="N53" s="65">
        <f t="shared" ref="N53:N108" si="21">G53+J53</f>
        <v>9192425.4499999993</v>
      </c>
      <c r="P53" s="24"/>
    </row>
    <row r="54" spans="1:18" ht="138.75" thickTop="1" thickBot="1" x14ac:dyDescent="0.25">
      <c r="A54" s="59" t="s">
        <v>154</v>
      </c>
      <c r="B54" s="67" t="s">
        <v>155</v>
      </c>
      <c r="C54" s="67" t="s">
        <v>156</v>
      </c>
      <c r="D54" s="67" t="s">
        <v>157</v>
      </c>
      <c r="E54" s="65">
        <v>9129950</v>
      </c>
      <c r="F54" s="65">
        <v>4748460</v>
      </c>
      <c r="G54" s="65">
        <v>4733572.26</v>
      </c>
      <c r="H54" s="66">
        <f t="shared" si="20"/>
        <v>0.99686472245738611</v>
      </c>
      <c r="I54" s="65">
        <v>500000</v>
      </c>
      <c r="J54" s="65">
        <v>0</v>
      </c>
      <c r="K54" s="66">
        <f>J54/I54</f>
        <v>0</v>
      </c>
      <c r="L54" s="65"/>
      <c r="M54" s="134"/>
      <c r="N54" s="65">
        <f t="shared" si="21"/>
        <v>4733572.26</v>
      </c>
      <c r="P54" s="24"/>
    </row>
    <row r="55" spans="1:18" ht="138.75" thickTop="1" thickBot="1" x14ac:dyDescent="0.25">
      <c r="A55" s="112" t="s">
        <v>158</v>
      </c>
      <c r="B55" s="67" t="s">
        <v>159</v>
      </c>
      <c r="C55" s="67" t="s">
        <v>160</v>
      </c>
      <c r="D55" s="67" t="s">
        <v>161</v>
      </c>
      <c r="E55" s="65">
        <v>13726470</v>
      </c>
      <c r="F55" s="65">
        <v>8239855</v>
      </c>
      <c r="G55" s="65">
        <v>7648401.5300000003</v>
      </c>
      <c r="H55" s="66">
        <f t="shared" si="20"/>
        <v>0.92822040315029819</v>
      </c>
      <c r="I55" s="65"/>
      <c r="J55" s="65"/>
      <c r="K55" s="65"/>
      <c r="L55" s="65"/>
      <c r="M55" s="134"/>
      <c r="N55" s="65">
        <f t="shared" si="21"/>
        <v>7648401.5300000003</v>
      </c>
      <c r="P55" s="24"/>
    </row>
    <row r="56" spans="1:18" ht="93" thickTop="1" thickBot="1" x14ac:dyDescent="0.25">
      <c r="A56" s="112" t="s">
        <v>162</v>
      </c>
      <c r="B56" s="67" t="s">
        <v>163</v>
      </c>
      <c r="C56" s="67" t="s">
        <v>164</v>
      </c>
      <c r="D56" s="67" t="s">
        <v>165</v>
      </c>
      <c r="E56" s="65">
        <v>7556300</v>
      </c>
      <c r="F56" s="65">
        <v>5306000</v>
      </c>
      <c r="G56" s="65">
        <v>5135287.58</v>
      </c>
      <c r="H56" s="66">
        <f t="shared" si="20"/>
        <v>0.96782653222766679</v>
      </c>
      <c r="I56" s="65">
        <v>200000</v>
      </c>
      <c r="J56" s="65">
        <v>0</v>
      </c>
      <c r="K56" s="66">
        <f>J56/I56</f>
        <v>0</v>
      </c>
      <c r="L56" s="65"/>
      <c r="M56" s="134"/>
      <c r="N56" s="65">
        <f t="shared" si="21"/>
        <v>5135287.58</v>
      </c>
      <c r="P56" s="24"/>
    </row>
    <row r="57" spans="1:18" ht="93" thickTop="1" thickBot="1" x14ac:dyDescent="0.25">
      <c r="A57" s="112" t="s">
        <v>166</v>
      </c>
      <c r="B57" s="68" t="s">
        <v>167</v>
      </c>
      <c r="C57" s="68"/>
      <c r="D57" s="68" t="s">
        <v>168</v>
      </c>
      <c r="E57" s="69">
        <f>E58</f>
        <v>14204885</v>
      </c>
      <c r="F57" s="69">
        <f t="shared" ref="F57:G57" si="22">F58</f>
        <v>7849647</v>
      </c>
      <c r="G57" s="69">
        <f t="shared" si="22"/>
        <v>7557367.8700000001</v>
      </c>
      <c r="H57" s="70">
        <f>G57/F57</f>
        <v>0.96276531543392974</v>
      </c>
      <c r="I57" s="69"/>
      <c r="J57" s="69"/>
      <c r="K57" s="70"/>
      <c r="L57" s="69"/>
      <c r="M57" s="69"/>
      <c r="N57" s="69">
        <f t="shared" si="21"/>
        <v>7557367.8700000001</v>
      </c>
      <c r="O57" s="50"/>
      <c r="P57" s="24"/>
    </row>
    <row r="58" spans="1:18" ht="184.5" thickTop="1" thickBot="1" x14ac:dyDescent="0.25">
      <c r="A58" s="112" t="s">
        <v>169</v>
      </c>
      <c r="B58" s="67" t="s">
        <v>170</v>
      </c>
      <c r="C58" s="67" t="s">
        <v>171</v>
      </c>
      <c r="D58" s="67" t="s">
        <v>172</v>
      </c>
      <c r="E58" s="65">
        <v>14204885</v>
      </c>
      <c r="F58" s="65">
        <v>7849647</v>
      </c>
      <c r="G58" s="65">
        <v>7557367.8700000001</v>
      </c>
      <c r="H58" s="66">
        <f>G58/F58</f>
        <v>0.96276531543392974</v>
      </c>
      <c r="I58" s="65"/>
      <c r="J58" s="65"/>
      <c r="K58" s="65"/>
      <c r="L58" s="65"/>
      <c r="M58" s="134"/>
      <c r="N58" s="65">
        <f t="shared" si="21"/>
        <v>7557367.8700000001</v>
      </c>
      <c r="P58" s="24"/>
    </row>
    <row r="59" spans="1:18" ht="138.75" hidden="1" thickTop="1" thickBot="1" x14ac:dyDescent="0.25">
      <c r="A59" s="60" t="s">
        <v>173</v>
      </c>
      <c r="B59" s="94" t="s">
        <v>174</v>
      </c>
      <c r="C59" s="94"/>
      <c r="D59" s="94" t="s">
        <v>175</v>
      </c>
      <c r="E59" s="95">
        <f t="shared" ref="E59:G59" si="23">E60</f>
        <v>0</v>
      </c>
      <c r="F59" s="95">
        <f t="shared" si="23"/>
        <v>0</v>
      </c>
      <c r="G59" s="95">
        <f t="shared" si="23"/>
        <v>0</v>
      </c>
      <c r="H59" s="96" t="e">
        <f t="shared" si="20"/>
        <v>#DIV/0!</v>
      </c>
      <c r="I59" s="69"/>
      <c r="J59" s="69"/>
      <c r="K59" s="70"/>
      <c r="L59" s="69"/>
      <c r="M59" s="69"/>
      <c r="N59" s="69">
        <f t="shared" si="21"/>
        <v>0</v>
      </c>
      <c r="O59" s="50"/>
      <c r="P59" s="24"/>
    </row>
    <row r="60" spans="1:18" ht="138.75" hidden="1" thickTop="1" thickBot="1" x14ac:dyDescent="0.25">
      <c r="A60" s="59" t="s">
        <v>176</v>
      </c>
      <c r="B60" s="86" t="s">
        <v>177</v>
      </c>
      <c r="C60" s="86" t="s">
        <v>178</v>
      </c>
      <c r="D60" s="86" t="s">
        <v>179</v>
      </c>
      <c r="E60" s="91"/>
      <c r="F60" s="91"/>
      <c r="G60" s="91"/>
      <c r="H60" s="88" t="e">
        <f t="shared" si="20"/>
        <v>#DIV/0!</v>
      </c>
      <c r="I60" s="65"/>
      <c r="J60" s="65"/>
      <c r="K60" s="65"/>
      <c r="L60" s="65"/>
      <c r="M60" s="134"/>
      <c r="N60" s="65">
        <f t="shared" si="21"/>
        <v>0</v>
      </c>
      <c r="P60" s="24"/>
    </row>
    <row r="61" spans="1:18" ht="244.5" thickTop="1" thickBot="1" x14ac:dyDescent="0.25">
      <c r="A61" s="59" t="s">
        <v>180</v>
      </c>
      <c r="B61" s="68" t="s">
        <v>181</v>
      </c>
      <c r="C61" s="68"/>
      <c r="D61" s="68" t="s">
        <v>182</v>
      </c>
      <c r="E61" s="69">
        <f t="shared" ref="E61:J61" si="24">SUM(E62:E63)</f>
        <v>7608610</v>
      </c>
      <c r="F61" s="69">
        <f t="shared" si="24"/>
        <v>5937565</v>
      </c>
      <c r="G61" s="69">
        <f t="shared" si="24"/>
        <v>4290099.3099999996</v>
      </c>
      <c r="H61" s="70">
        <f t="shared" si="20"/>
        <v>0.72253513182592521</v>
      </c>
      <c r="I61" s="69">
        <f t="shared" si="24"/>
        <v>0</v>
      </c>
      <c r="J61" s="69">
        <f t="shared" si="24"/>
        <v>0</v>
      </c>
      <c r="K61" s="66">
        <v>0</v>
      </c>
      <c r="L61" s="69"/>
      <c r="M61" s="69"/>
      <c r="N61" s="69">
        <f t="shared" si="21"/>
        <v>4290099.3099999996</v>
      </c>
      <c r="O61" s="50" t="s">
        <v>434</v>
      </c>
      <c r="P61" s="24"/>
    </row>
    <row r="62" spans="1:18" s="18" customFormat="1" ht="138.75" thickTop="1" thickBot="1" x14ac:dyDescent="0.25">
      <c r="A62" s="59" t="s">
        <v>183</v>
      </c>
      <c r="B62" s="67" t="s">
        <v>184</v>
      </c>
      <c r="C62" s="67" t="s">
        <v>178</v>
      </c>
      <c r="D62" s="72" t="s">
        <v>185</v>
      </c>
      <c r="E62" s="65">
        <v>3474610</v>
      </c>
      <c r="F62" s="65">
        <v>2593065</v>
      </c>
      <c r="G62" s="65">
        <v>2284380.61</v>
      </c>
      <c r="H62" s="66">
        <f t="shared" si="20"/>
        <v>0.88095771220544028</v>
      </c>
      <c r="I62" s="65"/>
      <c r="J62" s="65"/>
      <c r="K62" s="66"/>
      <c r="L62" s="65"/>
      <c r="M62" s="134"/>
      <c r="N62" s="65">
        <f t="shared" si="21"/>
        <v>2284380.61</v>
      </c>
      <c r="O62" s="20"/>
      <c r="P62" s="24"/>
    </row>
    <row r="63" spans="1:18" s="18" customFormat="1" ht="93" thickTop="1" thickBot="1" x14ac:dyDescent="0.25">
      <c r="A63" s="59" t="s">
        <v>186</v>
      </c>
      <c r="B63" s="67" t="s">
        <v>187</v>
      </c>
      <c r="C63" s="67" t="s">
        <v>178</v>
      </c>
      <c r="D63" s="72" t="s">
        <v>188</v>
      </c>
      <c r="E63" s="65">
        <v>4134000</v>
      </c>
      <c r="F63" s="65">
        <v>3344500</v>
      </c>
      <c r="G63" s="65">
        <v>2005718.7</v>
      </c>
      <c r="H63" s="66">
        <f t="shared" si="20"/>
        <v>0.59970659291373896</v>
      </c>
      <c r="I63" s="65"/>
      <c r="J63" s="65"/>
      <c r="K63" s="65"/>
      <c r="L63" s="65"/>
      <c r="M63" s="134"/>
      <c r="N63" s="65">
        <f t="shared" si="21"/>
        <v>2005718.7</v>
      </c>
      <c r="O63" s="20"/>
      <c r="P63" s="24"/>
    </row>
    <row r="64" spans="1:18" ht="99" customHeight="1" thickTop="1" thickBot="1" x14ac:dyDescent="0.25">
      <c r="A64" s="58" t="s">
        <v>191</v>
      </c>
      <c r="B64" s="107" t="s">
        <v>140</v>
      </c>
      <c r="C64" s="107"/>
      <c r="D64" s="108" t="s">
        <v>141</v>
      </c>
      <c r="E64" s="109">
        <f>SUM(E65:E108)-E65-E74-E87-E89-E106-E84-E77-E80-E91</f>
        <v>191103902.3300001</v>
      </c>
      <c r="F64" s="109">
        <f>SUM(F65:F108)-F65-F74-F87-F89-F106-F84-F77-F80-F91</f>
        <v>144329978.18000001</v>
      </c>
      <c r="G64" s="109">
        <f>SUM(G65:G108)-G65-G74-G87-G89-G106-G84-G77-G80-G91</f>
        <v>124949178.70999992</v>
      </c>
      <c r="H64" s="110">
        <f>G64/F64</f>
        <v>0.86571882214359186</v>
      </c>
      <c r="I64" s="109">
        <f>SUM(I65:I108)-I65-I74-I87-I89-I106-I84-I77-I80-I91</f>
        <v>24766904.839999992</v>
      </c>
      <c r="J64" s="109">
        <f>SUM(J65:J108)-J65-J74-J87-J89-J106-J84-J77-J80-J91</f>
        <v>10178354.07</v>
      </c>
      <c r="K64" s="110">
        <f>J64/I64</f>
        <v>0.41096592956425326</v>
      </c>
      <c r="L64" s="109"/>
      <c r="M64" s="109"/>
      <c r="N64" s="111">
        <f>J64+G64</f>
        <v>135127532.77999991</v>
      </c>
      <c r="O64" s="53" t="b">
        <f>N64=N66+N67+N68+N69+N70+N71+N73+N75+N76+N78+N81+N82+N83+N85+N86+N88+N90+N107+N108+N79+N72+N92+N95+N99+N102+N105</f>
        <v>1</v>
      </c>
      <c r="P64" s="26"/>
      <c r="R64" s="25"/>
    </row>
    <row r="65" spans="1:18" ht="276" thickTop="1" thickBot="1" x14ac:dyDescent="0.25">
      <c r="A65" s="113" t="s">
        <v>192</v>
      </c>
      <c r="B65" s="68" t="s">
        <v>193</v>
      </c>
      <c r="C65" s="68"/>
      <c r="D65" s="68" t="s">
        <v>194</v>
      </c>
      <c r="E65" s="69">
        <f t="shared" ref="E65:J65" si="25">SUM(E66:E70)</f>
        <v>64538000</v>
      </c>
      <c r="F65" s="69">
        <f t="shared" si="25"/>
        <v>49713659.149999999</v>
      </c>
      <c r="G65" s="69">
        <f t="shared" si="25"/>
        <v>49113800.960000001</v>
      </c>
      <c r="H65" s="70">
        <f t="shared" si="20"/>
        <v>0.98793373490794434</v>
      </c>
      <c r="I65" s="69">
        <f t="shared" si="25"/>
        <v>150000</v>
      </c>
      <c r="J65" s="69">
        <f t="shared" si="25"/>
        <v>0</v>
      </c>
      <c r="K65" s="70">
        <f t="shared" ref="K65:K66" si="26">J65/I65</f>
        <v>0</v>
      </c>
      <c r="L65" s="69"/>
      <c r="M65" s="69"/>
      <c r="N65" s="69">
        <f t="shared" si="21"/>
        <v>49113800.960000001</v>
      </c>
      <c r="O65" s="27"/>
      <c r="P65" s="28"/>
      <c r="R65" s="29"/>
    </row>
    <row r="66" spans="1:18" s="18" customFormat="1" ht="138.75" thickTop="1" thickBot="1" x14ac:dyDescent="0.25">
      <c r="A66" s="112" t="s">
        <v>195</v>
      </c>
      <c r="B66" s="67" t="s">
        <v>196</v>
      </c>
      <c r="C66" s="67" t="s">
        <v>84</v>
      </c>
      <c r="D66" s="73" t="s">
        <v>197</v>
      </c>
      <c r="E66" s="65">
        <v>270000</v>
      </c>
      <c r="F66" s="65">
        <v>202360</v>
      </c>
      <c r="G66" s="65">
        <v>23963.31</v>
      </c>
      <c r="H66" s="66">
        <f t="shared" si="20"/>
        <v>0.11841920339988141</v>
      </c>
      <c r="I66" s="65">
        <v>150000</v>
      </c>
      <c r="J66" s="65">
        <v>0</v>
      </c>
      <c r="K66" s="66">
        <f t="shared" si="26"/>
        <v>0</v>
      </c>
      <c r="L66" s="65"/>
      <c r="M66" s="134"/>
      <c r="N66" s="65">
        <f t="shared" si="21"/>
        <v>23963.31</v>
      </c>
      <c r="O66" s="20"/>
      <c r="P66" s="26"/>
    </row>
    <row r="67" spans="1:18" s="18" customFormat="1" ht="138.75" thickTop="1" thickBot="1" x14ac:dyDescent="0.25">
      <c r="A67" s="112" t="s">
        <v>198</v>
      </c>
      <c r="B67" s="67" t="s">
        <v>199</v>
      </c>
      <c r="C67" s="67" t="s">
        <v>94</v>
      </c>
      <c r="D67" s="67" t="s">
        <v>200</v>
      </c>
      <c r="E67" s="65">
        <v>900000</v>
      </c>
      <c r="F67" s="65">
        <v>675000</v>
      </c>
      <c r="G67" s="65">
        <v>596269.86</v>
      </c>
      <c r="H67" s="66">
        <f t="shared" si="20"/>
        <v>0.88336275555555555</v>
      </c>
      <c r="I67" s="65"/>
      <c r="J67" s="65"/>
      <c r="K67" s="65"/>
      <c r="L67" s="65"/>
      <c r="M67" s="134"/>
      <c r="N67" s="65">
        <f t="shared" si="21"/>
        <v>596269.86</v>
      </c>
      <c r="O67" s="20"/>
      <c r="P67" s="30"/>
    </row>
    <row r="68" spans="1:18" s="18" customFormat="1" ht="184.5" thickTop="1" thickBot="1" x14ac:dyDescent="0.25">
      <c r="A68" s="59" t="s">
        <v>201</v>
      </c>
      <c r="B68" s="67" t="s">
        <v>202</v>
      </c>
      <c r="C68" s="67" t="s">
        <v>94</v>
      </c>
      <c r="D68" s="67" t="s">
        <v>203</v>
      </c>
      <c r="E68" s="65">
        <v>15600000</v>
      </c>
      <c r="F68" s="65">
        <v>11756831.15</v>
      </c>
      <c r="G68" s="65">
        <v>11756830.939999999</v>
      </c>
      <c r="H68" s="66">
        <f t="shared" si="20"/>
        <v>0.99999998213804397</v>
      </c>
      <c r="I68" s="65"/>
      <c r="J68" s="65"/>
      <c r="K68" s="65"/>
      <c r="L68" s="65"/>
      <c r="M68" s="134"/>
      <c r="N68" s="65">
        <f t="shared" si="21"/>
        <v>11756830.939999999</v>
      </c>
      <c r="O68" s="20"/>
      <c r="P68" s="30"/>
    </row>
    <row r="69" spans="1:18" s="18" customFormat="1" ht="184.5" thickTop="1" thickBot="1" x14ac:dyDescent="0.25">
      <c r="A69" s="59" t="s">
        <v>204</v>
      </c>
      <c r="B69" s="67" t="s">
        <v>205</v>
      </c>
      <c r="C69" s="67" t="s">
        <v>94</v>
      </c>
      <c r="D69" s="67" t="s">
        <v>206</v>
      </c>
      <c r="E69" s="65">
        <v>900000</v>
      </c>
      <c r="F69" s="65">
        <v>675000</v>
      </c>
      <c r="G69" s="65">
        <v>332268.84999999998</v>
      </c>
      <c r="H69" s="66">
        <f t="shared" si="20"/>
        <v>0.4922501481481481</v>
      </c>
      <c r="I69" s="65"/>
      <c r="J69" s="65"/>
      <c r="K69" s="65"/>
      <c r="L69" s="65"/>
      <c r="M69" s="134"/>
      <c r="N69" s="65">
        <f t="shared" si="21"/>
        <v>332268.84999999998</v>
      </c>
      <c r="O69" s="50"/>
      <c r="P69" s="30"/>
    </row>
    <row r="70" spans="1:18" s="18" customFormat="1" ht="184.5" thickTop="1" thickBot="1" x14ac:dyDescent="0.25">
      <c r="A70" s="59" t="s">
        <v>207</v>
      </c>
      <c r="B70" s="67" t="s">
        <v>208</v>
      </c>
      <c r="C70" s="67" t="s">
        <v>94</v>
      </c>
      <c r="D70" s="67" t="s">
        <v>209</v>
      </c>
      <c r="E70" s="65">
        <v>46868000</v>
      </c>
      <c r="F70" s="65">
        <v>36404468</v>
      </c>
      <c r="G70" s="65">
        <v>36404468</v>
      </c>
      <c r="H70" s="66">
        <f t="shared" si="20"/>
        <v>1</v>
      </c>
      <c r="I70" s="65"/>
      <c r="J70" s="65"/>
      <c r="K70" s="65"/>
      <c r="L70" s="65"/>
      <c r="M70" s="134"/>
      <c r="N70" s="65">
        <f t="shared" si="21"/>
        <v>36404468</v>
      </c>
      <c r="O70" s="20"/>
      <c r="P70" s="30"/>
    </row>
    <row r="71" spans="1:18" s="18" customFormat="1" ht="184.5" thickTop="1" thickBot="1" x14ac:dyDescent="0.25">
      <c r="A71" s="59" t="s">
        <v>210</v>
      </c>
      <c r="B71" s="67" t="s">
        <v>211</v>
      </c>
      <c r="C71" s="67" t="s">
        <v>94</v>
      </c>
      <c r="D71" s="67" t="s">
        <v>212</v>
      </c>
      <c r="E71" s="65">
        <v>226297</v>
      </c>
      <c r="F71" s="65">
        <v>169723</v>
      </c>
      <c r="G71" s="65">
        <v>169722</v>
      </c>
      <c r="H71" s="66">
        <f t="shared" si="20"/>
        <v>0.99999410804664068</v>
      </c>
      <c r="I71" s="65"/>
      <c r="J71" s="65"/>
      <c r="K71" s="65"/>
      <c r="L71" s="65"/>
      <c r="M71" s="134"/>
      <c r="N71" s="65">
        <f t="shared" si="21"/>
        <v>169722</v>
      </c>
      <c r="O71" s="20"/>
      <c r="P71" s="30"/>
    </row>
    <row r="72" spans="1:18" s="18" customFormat="1" ht="165" customHeight="1" thickTop="1" thickBot="1" x14ac:dyDescent="0.25">
      <c r="A72" s="59"/>
      <c r="B72" s="67" t="s">
        <v>213</v>
      </c>
      <c r="C72" s="67" t="s">
        <v>94</v>
      </c>
      <c r="D72" s="67" t="s">
        <v>214</v>
      </c>
      <c r="E72" s="65">
        <v>179985</v>
      </c>
      <c r="F72" s="65">
        <v>179985</v>
      </c>
      <c r="G72" s="65">
        <v>0</v>
      </c>
      <c r="H72" s="66">
        <f>G72/F72</f>
        <v>0</v>
      </c>
      <c r="I72" s="65"/>
      <c r="J72" s="65"/>
      <c r="K72" s="65"/>
      <c r="L72" s="65"/>
      <c r="M72" s="134"/>
      <c r="N72" s="65">
        <f>G72+J72</f>
        <v>0</v>
      </c>
      <c r="O72" s="50"/>
      <c r="P72" s="30"/>
    </row>
    <row r="73" spans="1:18" ht="138.75" thickTop="1" thickBot="1" x14ac:dyDescent="0.25">
      <c r="A73" s="59" t="s">
        <v>215</v>
      </c>
      <c r="B73" s="67" t="s">
        <v>216</v>
      </c>
      <c r="C73" s="67" t="s">
        <v>84</v>
      </c>
      <c r="D73" s="67" t="s">
        <v>217</v>
      </c>
      <c r="E73" s="65">
        <v>498130</v>
      </c>
      <c r="F73" s="65">
        <v>373597</v>
      </c>
      <c r="G73" s="65">
        <v>309186.34999999998</v>
      </c>
      <c r="H73" s="66">
        <f t="shared" si="20"/>
        <v>0.82759323549171959</v>
      </c>
      <c r="I73" s="65"/>
      <c r="J73" s="65"/>
      <c r="K73" s="65"/>
      <c r="L73" s="65"/>
      <c r="M73" s="134"/>
      <c r="N73" s="65">
        <f t="shared" si="21"/>
        <v>309186.34999999998</v>
      </c>
      <c r="P73" s="30"/>
    </row>
    <row r="74" spans="1:18" s="18" customFormat="1" ht="276" thickTop="1" thickBot="1" x14ac:dyDescent="0.25">
      <c r="A74" s="60" t="s">
        <v>218</v>
      </c>
      <c r="B74" s="68" t="s">
        <v>219</v>
      </c>
      <c r="C74" s="68"/>
      <c r="D74" s="68" t="s">
        <v>220</v>
      </c>
      <c r="E74" s="69">
        <f t="shared" ref="E74:J74" si="27">SUM(E75:E76)</f>
        <v>50450305.510000005</v>
      </c>
      <c r="F74" s="69">
        <f t="shared" si="27"/>
        <v>40408089.730000004</v>
      </c>
      <c r="G74" s="69">
        <f t="shared" si="27"/>
        <v>32385376.170000002</v>
      </c>
      <c r="H74" s="70">
        <f t="shared" si="20"/>
        <v>0.8014577374578602</v>
      </c>
      <c r="I74" s="69">
        <f t="shared" si="27"/>
        <v>3006057.46</v>
      </c>
      <c r="J74" s="69">
        <f t="shared" si="27"/>
        <v>2097183.7200000002</v>
      </c>
      <c r="K74" s="70">
        <f t="shared" ref="K74:K79" si="28">J74/I74</f>
        <v>0.69765257248276291</v>
      </c>
      <c r="L74" s="69"/>
      <c r="M74" s="69"/>
      <c r="N74" s="69">
        <f t="shared" si="21"/>
        <v>34482559.890000001</v>
      </c>
      <c r="O74" s="20"/>
      <c r="P74" s="31"/>
    </row>
    <row r="75" spans="1:18" ht="276" thickTop="1" thickBot="1" x14ac:dyDescent="0.25">
      <c r="A75" s="59" t="s">
        <v>221</v>
      </c>
      <c r="B75" s="67" t="s">
        <v>222</v>
      </c>
      <c r="C75" s="67" t="s">
        <v>73</v>
      </c>
      <c r="D75" s="67" t="s">
        <v>223</v>
      </c>
      <c r="E75" s="65">
        <v>41890122.670000002</v>
      </c>
      <c r="F75" s="65">
        <v>34547526.890000001</v>
      </c>
      <c r="G75" s="65">
        <v>27020280.370000001</v>
      </c>
      <c r="H75" s="66">
        <f t="shared" si="20"/>
        <v>0.78211909223004883</v>
      </c>
      <c r="I75" s="65">
        <v>2674730.94</v>
      </c>
      <c r="J75" s="65">
        <v>1771181.81</v>
      </c>
      <c r="K75" s="66">
        <f t="shared" si="28"/>
        <v>0.66219064636086356</v>
      </c>
      <c r="L75" s="65"/>
      <c r="M75" s="134"/>
      <c r="N75" s="65">
        <f t="shared" si="21"/>
        <v>28791462.18</v>
      </c>
      <c r="P75" s="26"/>
    </row>
    <row r="76" spans="1:18" ht="138.75" thickTop="1" thickBot="1" x14ac:dyDescent="0.25">
      <c r="A76" s="59" t="s">
        <v>224</v>
      </c>
      <c r="B76" s="67" t="s">
        <v>225</v>
      </c>
      <c r="C76" s="67" t="s">
        <v>69</v>
      </c>
      <c r="D76" s="67" t="s">
        <v>226</v>
      </c>
      <c r="E76" s="65">
        <v>8560182.8399999999</v>
      </c>
      <c r="F76" s="65">
        <v>5860562.8399999999</v>
      </c>
      <c r="G76" s="65">
        <v>5365095.8</v>
      </c>
      <c r="H76" s="66">
        <f t="shared" si="20"/>
        <v>0.91545743070643359</v>
      </c>
      <c r="I76" s="65">
        <v>331326.52</v>
      </c>
      <c r="J76" s="65">
        <v>326001.90999999997</v>
      </c>
      <c r="K76" s="66">
        <f t="shared" si="28"/>
        <v>0.98392941802545708</v>
      </c>
      <c r="L76" s="65"/>
      <c r="M76" s="134"/>
      <c r="N76" s="65">
        <f t="shared" si="21"/>
        <v>5691097.71</v>
      </c>
      <c r="P76" s="26"/>
    </row>
    <row r="77" spans="1:18" ht="244.5" thickTop="1" thickBot="1" x14ac:dyDescent="0.25">
      <c r="A77" s="112"/>
      <c r="B77" s="68" t="s">
        <v>299</v>
      </c>
      <c r="C77" s="68"/>
      <c r="D77" s="68" t="s">
        <v>300</v>
      </c>
      <c r="E77" s="74">
        <f>E78+E79</f>
        <v>6166700.2199999997</v>
      </c>
      <c r="F77" s="74">
        <f>F78+F79</f>
        <v>4630898</v>
      </c>
      <c r="G77" s="74">
        <f>G78+G79</f>
        <v>4200165.45</v>
      </c>
      <c r="H77" s="70">
        <f t="shared" si="20"/>
        <v>0.90698725171662176</v>
      </c>
      <c r="I77" s="74">
        <f>I78+I79</f>
        <v>0</v>
      </c>
      <c r="J77" s="74">
        <f>J78+J79</f>
        <v>0</v>
      </c>
      <c r="K77" s="70">
        <v>0</v>
      </c>
      <c r="L77" s="74"/>
      <c r="M77" s="74"/>
      <c r="N77" s="69">
        <f>G77+J77</f>
        <v>4200165.45</v>
      </c>
      <c r="O77" s="50" t="s">
        <v>434</v>
      </c>
      <c r="P77" s="26"/>
    </row>
    <row r="78" spans="1:18" ht="138.75" thickTop="1" thickBot="1" x14ac:dyDescent="0.25">
      <c r="A78" s="112"/>
      <c r="B78" s="67" t="s">
        <v>301</v>
      </c>
      <c r="C78" s="67" t="s">
        <v>142</v>
      </c>
      <c r="D78" s="67" t="s">
        <v>302</v>
      </c>
      <c r="E78" s="64">
        <v>6166700.2199999997</v>
      </c>
      <c r="F78" s="64">
        <v>4630898</v>
      </c>
      <c r="G78" s="64">
        <v>4200165.45</v>
      </c>
      <c r="H78" s="66">
        <f t="shared" si="20"/>
        <v>0.90698725171662176</v>
      </c>
      <c r="I78" s="64"/>
      <c r="J78" s="132"/>
      <c r="K78" s="66"/>
      <c r="L78" s="132"/>
      <c r="M78" s="134"/>
      <c r="N78" s="65">
        <f t="shared" si="21"/>
        <v>4200165.45</v>
      </c>
      <c r="P78" s="26"/>
    </row>
    <row r="79" spans="1:18" ht="276" hidden="1" thickTop="1" thickBot="1" x14ac:dyDescent="0.25">
      <c r="A79" s="59"/>
      <c r="B79" s="86" t="s">
        <v>464</v>
      </c>
      <c r="C79" s="86" t="s">
        <v>142</v>
      </c>
      <c r="D79" s="86" t="s">
        <v>465</v>
      </c>
      <c r="E79" s="87"/>
      <c r="F79" s="87"/>
      <c r="G79" s="87"/>
      <c r="H79" s="88" t="e">
        <f t="shared" si="20"/>
        <v>#DIV/0!</v>
      </c>
      <c r="I79" s="87"/>
      <c r="J79" s="89"/>
      <c r="K79" s="88" t="e">
        <f t="shared" si="28"/>
        <v>#DIV/0!</v>
      </c>
      <c r="L79" s="89"/>
      <c r="M79" s="90"/>
      <c r="N79" s="91">
        <f t="shared" si="21"/>
        <v>0</v>
      </c>
      <c r="P79" s="26"/>
    </row>
    <row r="80" spans="1:18" ht="93" thickTop="1" thickBot="1" x14ac:dyDescent="0.25">
      <c r="A80" s="112"/>
      <c r="B80" s="68" t="s">
        <v>303</v>
      </c>
      <c r="C80" s="68"/>
      <c r="D80" s="68" t="s">
        <v>304</v>
      </c>
      <c r="E80" s="75">
        <f t="shared" ref="E80:G80" si="29">SUM(E81:E82)</f>
        <v>13001319</v>
      </c>
      <c r="F80" s="75">
        <f t="shared" si="29"/>
        <v>8372846</v>
      </c>
      <c r="G80" s="75">
        <f t="shared" si="29"/>
        <v>7183749.1100000003</v>
      </c>
      <c r="H80" s="70">
        <f t="shared" si="20"/>
        <v>0.85798175554644152</v>
      </c>
      <c r="I80" s="75">
        <f t="shared" ref="I80:J80" si="30">SUM(I81:I82)</f>
        <v>942682.09</v>
      </c>
      <c r="J80" s="75">
        <f t="shared" si="30"/>
        <v>303410.7</v>
      </c>
      <c r="K80" s="66">
        <f t="shared" ref="K80:K82" si="31">J80/I80</f>
        <v>0.32185898429448256</v>
      </c>
      <c r="L80" s="75"/>
      <c r="M80" s="75"/>
      <c r="N80" s="69">
        <f t="shared" si="21"/>
        <v>7487159.8100000005</v>
      </c>
      <c r="P80" s="26"/>
    </row>
    <row r="81" spans="1:16" ht="93" thickTop="1" thickBot="1" x14ac:dyDescent="0.25">
      <c r="A81" s="112"/>
      <c r="B81" s="67" t="s">
        <v>305</v>
      </c>
      <c r="C81" s="67" t="s">
        <v>142</v>
      </c>
      <c r="D81" s="67" t="s">
        <v>306</v>
      </c>
      <c r="E81" s="64">
        <v>4920329</v>
      </c>
      <c r="F81" s="64">
        <v>3600489</v>
      </c>
      <c r="G81" s="64">
        <v>3077367.66</v>
      </c>
      <c r="H81" s="66">
        <f t="shared" si="20"/>
        <v>0.85470825212908585</v>
      </c>
      <c r="I81" s="64">
        <v>903993</v>
      </c>
      <c r="J81" s="132">
        <v>267611.7</v>
      </c>
      <c r="K81" s="66">
        <f t="shared" si="31"/>
        <v>0.29603293388333762</v>
      </c>
      <c r="L81" s="132"/>
      <c r="M81" s="134"/>
      <c r="N81" s="65">
        <f t="shared" si="21"/>
        <v>3344979.3600000003</v>
      </c>
      <c r="P81" s="26"/>
    </row>
    <row r="82" spans="1:16" ht="93" thickTop="1" thickBot="1" x14ac:dyDescent="0.25">
      <c r="A82" s="112"/>
      <c r="B82" s="67" t="s">
        <v>307</v>
      </c>
      <c r="C82" s="67" t="s">
        <v>142</v>
      </c>
      <c r="D82" s="67" t="s">
        <v>308</v>
      </c>
      <c r="E82" s="64">
        <v>8080990</v>
      </c>
      <c r="F82" s="64">
        <v>4772357</v>
      </c>
      <c r="G82" s="64">
        <v>4106381.45</v>
      </c>
      <c r="H82" s="66">
        <f t="shared" si="20"/>
        <v>0.86045143940405133</v>
      </c>
      <c r="I82" s="64">
        <v>38689.089999999997</v>
      </c>
      <c r="J82" s="132">
        <v>35799</v>
      </c>
      <c r="K82" s="66">
        <f t="shared" si="31"/>
        <v>0.92529961288828466</v>
      </c>
      <c r="L82" s="132"/>
      <c r="M82" s="134"/>
      <c r="N82" s="65">
        <f t="shared" si="21"/>
        <v>4142180.45</v>
      </c>
      <c r="P82" s="26"/>
    </row>
    <row r="83" spans="1:16" ht="409.6" thickTop="1" thickBot="1" x14ac:dyDescent="0.25">
      <c r="A83" s="112" t="s">
        <v>227</v>
      </c>
      <c r="B83" s="67" t="s">
        <v>228</v>
      </c>
      <c r="C83" s="67" t="s">
        <v>69</v>
      </c>
      <c r="D83" s="67" t="s">
        <v>229</v>
      </c>
      <c r="E83" s="65">
        <v>3283295</v>
      </c>
      <c r="F83" s="65">
        <v>2462490</v>
      </c>
      <c r="G83" s="65">
        <v>1947992.94</v>
      </c>
      <c r="H83" s="66">
        <f t="shared" si="20"/>
        <v>0.79106633529476256</v>
      </c>
      <c r="I83" s="131"/>
      <c r="J83" s="65"/>
      <c r="K83" s="65"/>
      <c r="L83" s="65"/>
      <c r="M83" s="134"/>
      <c r="N83" s="65">
        <f t="shared" si="21"/>
        <v>1947992.94</v>
      </c>
      <c r="P83" s="30"/>
    </row>
    <row r="84" spans="1:16" ht="138.75" thickTop="1" thickBot="1" x14ac:dyDescent="0.25">
      <c r="A84" s="60" t="s">
        <v>230</v>
      </c>
      <c r="B84" s="68" t="s">
        <v>231</v>
      </c>
      <c r="C84" s="68"/>
      <c r="D84" s="68" t="s">
        <v>232</v>
      </c>
      <c r="E84" s="69">
        <f>E85</f>
        <v>159297</v>
      </c>
      <c r="F84" s="69">
        <f t="shared" ref="F84:G84" si="32">F85</f>
        <v>159297</v>
      </c>
      <c r="G84" s="69">
        <f t="shared" si="32"/>
        <v>72613.240000000005</v>
      </c>
      <c r="H84" s="70">
        <f t="shared" si="20"/>
        <v>0.45583557756894361</v>
      </c>
      <c r="I84" s="69"/>
      <c r="J84" s="69"/>
      <c r="K84" s="70"/>
      <c r="L84" s="69"/>
      <c r="M84" s="69"/>
      <c r="N84" s="69">
        <f t="shared" si="21"/>
        <v>72613.240000000005</v>
      </c>
      <c r="O84" s="50"/>
      <c r="P84" s="30"/>
    </row>
    <row r="85" spans="1:16" ht="276" thickTop="1" thickBot="1" x14ac:dyDescent="0.25">
      <c r="A85" s="59" t="s">
        <v>233</v>
      </c>
      <c r="B85" s="67" t="s">
        <v>234</v>
      </c>
      <c r="C85" s="67" t="s">
        <v>69</v>
      </c>
      <c r="D85" s="67" t="s">
        <v>235</v>
      </c>
      <c r="E85" s="65">
        <v>159297</v>
      </c>
      <c r="F85" s="65">
        <v>159297</v>
      </c>
      <c r="G85" s="65">
        <v>72613.240000000005</v>
      </c>
      <c r="H85" s="66">
        <f t="shared" si="20"/>
        <v>0.45583557756894361</v>
      </c>
      <c r="I85" s="131"/>
      <c r="J85" s="65"/>
      <c r="K85" s="65"/>
      <c r="L85" s="65"/>
      <c r="M85" s="134"/>
      <c r="N85" s="65">
        <f t="shared" si="21"/>
        <v>72613.240000000005</v>
      </c>
      <c r="P85" s="30"/>
    </row>
    <row r="86" spans="1:16" ht="367.5" thickTop="1" thickBot="1" x14ac:dyDescent="0.25">
      <c r="A86" s="59" t="s">
        <v>236</v>
      </c>
      <c r="B86" s="67" t="s">
        <v>237</v>
      </c>
      <c r="C86" s="67" t="s">
        <v>89</v>
      </c>
      <c r="D86" s="67" t="s">
        <v>238</v>
      </c>
      <c r="E86" s="65">
        <v>2842500</v>
      </c>
      <c r="F86" s="65">
        <v>2000000</v>
      </c>
      <c r="G86" s="65">
        <v>1874133.76</v>
      </c>
      <c r="H86" s="66">
        <f t="shared" si="20"/>
        <v>0.93706688000000005</v>
      </c>
      <c r="I86" s="131"/>
      <c r="J86" s="65"/>
      <c r="K86" s="65"/>
      <c r="L86" s="65"/>
      <c r="M86" s="134"/>
      <c r="N86" s="65">
        <f t="shared" si="21"/>
        <v>1874133.76</v>
      </c>
      <c r="P86" s="30"/>
    </row>
    <row r="87" spans="1:16" s="18" customFormat="1" ht="93" thickTop="1" thickBot="1" x14ac:dyDescent="0.25">
      <c r="A87" s="60" t="s">
        <v>239</v>
      </c>
      <c r="B87" s="68" t="s">
        <v>240</v>
      </c>
      <c r="C87" s="68"/>
      <c r="D87" s="68" t="s">
        <v>241</v>
      </c>
      <c r="E87" s="69">
        <f t="shared" ref="E87:G87" si="33">E88</f>
        <v>908000</v>
      </c>
      <c r="F87" s="69">
        <f t="shared" si="33"/>
        <v>576000</v>
      </c>
      <c r="G87" s="69">
        <f t="shared" si="33"/>
        <v>292702.57</v>
      </c>
      <c r="H87" s="70">
        <f t="shared" si="20"/>
        <v>0.50816418402777774</v>
      </c>
      <c r="I87" s="69"/>
      <c r="J87" s="69"/>
      <c r="K87" s="70"/>
      <c r="L87" s="69"/>
      <c r="M87" s="69"/>
      <c r="N87" s="69">
        <f>G87+J87</f>
        <v>292702.57</v>
      </c>
      <c r="O87" s="50"/>
      <c r="P87" s="31"/>
    </row>
    <row r="88" spans="1:16" ht="230.25" thickTop="1" thickBot="1" x14ac:dyDescent="0.25">
      <c r="A88" s="59" t="s">
        <v>242</v>
      </c>
      <c r="B88" s="67" t="s">
        <v>243</v>
      </c>
      <c r="C88" s="67" t="s">
        <v>84</v>
      </c>
      <c r="D88" s="67" t="s">
        <v>244</v>
      </c>
      <c r="E88" s="65">
        <v>908000</v>
      </c>
      <c r="F88" s="65">
        <v>576000</v>
      </c>
      <c r="G88" s="65">
        <v>292702.57</v>
      </c>
      <c r="H88" s="66">
        <f t="shared" si="20"/>
        <v>0.50816418402777774</v>
      </c>
      <c r="I88" s="65"/>
      <c r="J88" s="65"/>
      <c r="K88" s="65"/>
      <c r="L88" s="65"/>
      <c r="M88" s="134"/>
      <c r="N88" s="65">
        <f t="shared" si="21"/>
        <v>292702.57</v>
      </c>
      <c r="P88" s="30"/>
    </row>
    <row r="89" spans="1:16" s="18" customFormat="1" ht="184.5" thickTop="1" thickBot="1" x14ac:dyDescent="0.25">
      <c r="A89" s="113" t="s">
        <v>245</v>
      </c>
      <c r="B89" s="68" t="s">
        <v>246</v>
      </c>
      <c r="C89" s="68"/>
      <c r="D89" s="68" t="s">
        <v>247</v>
      </c>
      <c r="E89" s="69">
        <f t="shared" ref="E89:J89" si="34">E90</f>
        <v>107000</v>
      </c>
      <c r="F89" s="69">
        <f t="shared" si="34"/>
        <v>81900</v>
      </c>
      <c r="G89" s="69">
        <f t="shared" si="34"/>
        <v>31306.29</v>
      </c>
      <c r="H89" s="70">
        <f>G89/F89</f>
        <v>0.38225018315018316</v>
      </c>
      <c r="I89" s="69">
        <f t="shared" si="34"/>
        <v>31306.27</v>
      </c>
      <c r="J89" s="69">
        <f t="shared" si="34"/>
        <v>31306.27</v>
      </c>
      <c r="K89" s="70">
        <f t="shared" ref="K89" si="35">J89/I89</f>
        <v>1</v>
      </c>
      <c r="L89" s="69"/>
      <c r="M89" s="69"/>
      <c r="N89" s="69">
        <f>G89+J89</f>
        <v>62612.56</v>
      </c>
      <c r="O89" s="50"/>
      <c r="P89" s="31"/>
    </row>
    <row r="90" spans="1:16" ht="93" thickTop="1" thickBot="1" x14ac:dyDescent="0.25">
      <c r="A90" s="112" t="s">
        <v>248</v>
      </c>
      <c r="B90" s="67" t="s">
        <v>249</v>
      </c>
      <c r="C90" s="67" t="s">
        <v>250</v>
      </c>
      <c r="D90" s="67" t="s">
        <v>251</v>
      </c>
      <c r="E90" s="65">
        <v>107000</v>
      </c>
      <c r="F90" s="65">
        <v>81900</v>
      </c>
      <c r="G90" s="65">
        <v>31306.29</v>
      </c>
      <c r="H90" s="66">
        <f t="shared" si="20"/>
        <v>0.38225018315018316</v>
      </c>
      <c r="I90" s="65">
        <v>31306.27</v>
      </c>
      <c r="J90" s="65">
        <v>31306.27</v>
      </c>
      <c r="K90" s="66">
        <f t="shared" ref="K90" si="36">J90/I90</f>
        <v>1</v>
      </c>
      <c r="L90" s="65"/>
      <c r="M90" s="134"/>
      <c r="N90" s="65">
        <f>G90+J90</f>
        <v>62612.56</v>
      </c>
      <c r="P90" s="30"/>
    </row>
    <row r="91" spans="1:16" ht="244.5" hidden="1" thickTop="1" thickBot="1" x14ac:dyDescent="0.25">
      <c r="A91" s="59"/>
      <c r="B91" s="94" t="s">
        <v>477</v>
      </c>
      <c r="C91" s="94"/>
      <c r="D91" s="94" t="s">
        <v>478</v>
      </c>
      <c r="E91" s="95">
        <f>E92+E95+E99+E102</f>
        <v>0</v>
      </c>
      <c r="F91" s="95">
        <f t="shared" ref="F91:G91" si="37">F92+F95+F99+F102</f>
        <v>0</v>
      </c>
      <c r="G91" s="95">
        <f t="shared" si="37"/>
        <v>0</v>
      </c>
      <c r="H91" s="88">
        <v>0</v>
      </c>
      <c r="I91" s="69">
        <f>I92+I95+I99+I102</f>
        <v>0</v>
      </c>
      <c r="J91" s="69">
        <f>J92+J95+J99+J102</f>
        <v>0</v>
      </c>
      <c r="K91" s="70" t="e">
        <f>J91/I91</f>
        <v>#DIV/0!</v>
      </c>
      <c r="L91" s="65"/>
      <c r="M91" s="134"/>
      <c r="N91" s="69">
        <f>G91+J91</f>
        <v>0</v>
      </c>
      <c r="O91" s="50" t="s">
        <v>434</v>
      </c>
      <c r="P91" s="30"/>
    </row>
    <row r="92" spans="1:16" ht="409.6" hidden="1" thickTop="1" thickBot="1" x14ac:dyDescent="0.7">
      <c r="A92" s="59"/>
      <c r="B92" s="182" t="s">
        <v>479</v>
      </c>
      <c r="C92" s="182" t="s">
        <v>89</v>
      </c>
      <c r="D92" s="103" t="s">
        <v>480</v>
      </c>
      <c r="E92" s="172"/>
      <c r="F92" s="172"/>
      <c r="G92" s="172"/>
      <c r="H92" s="172"/>
      <c r="I92" s="169"/>
      <c r="J92" s="169"/>
      <c r="K92" s="179" t="e">
        <f>J92/I92</f>
        <v>#DIV/0!</v>
      </c>
      <c r="L92" s="65"/>
      <c r="M92" s="134"/>
      <c r="N92" s="169">
        <f>G92+J92</f>
        <v>0</v>
      </c>
      <c r="P92" s="30"/>
    </row>
    <row r="93" spans="1:16" ht="409.6" hidden="1" thickTop="1" thickBot="1" x14ac:dyDescent="0.25">
      <c r="A93" s="59"/>
      <c r="B93" s="183"/>
      <c r="C93" s="183"/>
      <c r="D93" s="104" t="s">
        <v>481</v>
      </c>
      <c r="E93" s="173"/>
      <c r="F93" s="173"/>
      <c r="G93" s="173"/>
      <c r="H93" s="173"/>
      <c r="I93" s="170"/>
      <c r="J93" s="170"/>
      <c r="K93" s="180"/>
      <c r="L93" s="65"/>
      <c r="M93" s="134"/>
      <c r="N93" s="170"/>
      <c r="P93" s="30"/>
    </row>
    <row r="94" spans="1:16" ht="409.6" hidden="1" thickTop="1" thickBot="1" x14ac:dyDescent="0.25">
      <c r="A94" s="59"/>
      <c r="B94" s="184"/>
      <c r="C94" s="184"/>
      <c r="D94" s="105" t="s">
        <v>482</v>
      </c>
      <c r="E94" s="174"/>
      <c r="F94" s="174"/>
      <c r="G94" s="174"/>
      <c r="H94" s="174"/>
      <c r="I94" s="171"/>
      <c r="J94" s="171"/>
      <c r="K94" s="181"/>
      <c r="L94" s="65"/>
      <c r="M94" s="134"/>
      <c r="N94" s="171"/>
      <c r="P94" s="30"/>
    </row>
    <row r="95" spans="1:16" ht="409.6" hidden="1" thickTop="1" thickBot="1" x14ac:dyDescent="0.7">
      <c r="A95" s="59"/>
      <c r="B95" s="182" t="s">
        <v>483</v>
      </c>
      <c r="C95" s="182" t="s">
        <v>89</v>
      </c>
      <c r="D95" s="103" t="s">
        <v>484</v>
      </c>
      <c r="E95" s="172"/>
      <c r="F95" s="172"/>
      <c r="G95" s="172"/>
      <c r="H95" s="172"/>
      <c r="I95" s="169"/>
      <c r="J95" s="169"/>
      <c r="K95" s="179" t="e">
        <f>J95/I95</f>
        <v>#DIV/0!</v>
      </c>
      <c r="L95" s="65"/>
      <c r="M95" s="134"/>
      <c r="N95" s="169">
        <f>G95+J95</f>
        <v>0</v>
      </c>
      <c r="P95" s="30"/>
    </row>
    <row r="96" spans="1:16" ht="409.6" hidden="1" thickTop="1" thickBot="1" x14ac:dyDescent="0.25">
      <c r="A96" s="59"/>
      <c r="B96" s="183"/>
      <c r="C96" s="183"/>
      <c r="D96" s="104" t="s">
        <v>485</v>
      </c>
      <c r="E96" s="173"/>
      <c r="F96" s="173"/>
      <c r="G96" s="173"/>
      <c r="H96" s="173"/>
      <c r="I96" s="170"/>
      <c r="J96" s="170"/>
      <c r="K96" s="180"/>
      <c r="L96" s="65"/>
      <c r="M96" s="134"/>
      <c r="N96" s="170"/>
      <c r="P96" s="30"/>
    </row>
    <row r="97" spans="1:16" ht="409.6" hidden="1" thickTop="1" thickBot="1" x14ac:dyDescent="0.25">
      <c r="A97" s="59"/>
      <c r="B97" s="183"/>
      <c r="C97" s="183"/>
      <c r="D97" s="104" t="s">
        <v>486</v>
      </c>
      <c r="E97" s="173"/>
      <c r="F97" s="173"/>
      <c r="G97" s="173"/>
      <c r="H97" s="173"/>
      <c r="I97" s="170"/>
      <c r="J97" s="170"/>
      <c r="K97" s="180"/>
      <c r="L97" s="65"/>
      <c r="M97" s="134"/>
      <c r="N97" s="170"/>
      <c r="P97" s="30"/>
    </row>
    <row r="98" spans="1:16" ht="184.5" hidden="1" thickTop="1" thickBot="1" x14ac:dyDescent="0.25">
      <c r="A98" s="59"/>
      <c r="B98" s="184"/>
      <c r="C98" s="184"/>
      <c r="D98" s="105" t="s">
        <v>487</v>
      </c>
      <c r="E98" s="174"/>
      <c r="F98" s="174"/>
      <c r="G98" s="174"/>
      <c r="H98" s="174"/>
      <c r="I98" s="171"/>
      <c r="J98" s="171"/>
      <c r="K98" s="181"/>
      <c r="L98" s="65"/>
      <c r="M98" s="134"/>
      <c r="N98" s="171"/>
      <c r="P98" s="30"/>
    </row>
    <row r="99" spans="1:16" ht="409.6" hidden="1" thickTop="1" thickBot="1" x14ac:dyDescent="0.7">
      <c r="A99" s="59"/>
      <c r="B99" s="182" t="s">
        <v>488</v>
      </c>
      <c r="C99" s="182" t="s">
        <v>89</v>
      </c>
      <c r="D99" s="103" t="s">
        <v>489</v>
      </c>
      <c r="E99" s="172"/>
      <c r="F99" s="172"/>
      <c r="G99" s="172"/>
      <c r="H99" s="172"/>
      <c r="I99" s="169"/>
      <c r="J99" s="169"/>
      <c r="K99" s="179" t="e">
        <f>J99/I99</f>
        <v>#DIV/0!</v>
      </c>
      <c r="L99" s="65"/>
      <c r="M99" s="134"/>
      <c r="N99" s="169">
        <f>G99+J99</f>
        <v>0</v>
      </c>
      <c r="P99" s="30"/>
    </row>
    <row r="100" spans="1:16" ht="409.6" hidden="1" thickTop="1" thickBot="1" x14ac:dyDescent="0.25">
      <c r="A100" s="59"/>
      <c r="B100" s="183"/>
      <c r="C100" s="183"/>
      <c r="D100" s="104" t="s">
        <v>490</v>
      </c>
      <c r="E100" s="173"/>
      <c r="F100" s="173"/>
      <c r="G100" s="173"/>
      <c r="H100" s="173"/>
      <c r="I100" s="170"/>
      <c r="J100" s="170"/>
      <c r="K100" s="180"/>
      <c r="L100" s="65"/>
      <c r="M100" s="134"/>
      <c r="N100" s="170"/>
      <c r="P100" s="30"/>
    </row>
    <row r="101" spans="1:16" ht="138.75" hidden="1" thickTop="1" thickBot="1" x14ac:dyDescent="0.25">
      <c r="A101" s="59"/>
      <c r="B101" s="184"/>
      <c r="C101" s="184"/>
      <c r="D101" s="105" t="s">
        <v>491</v>
      </c>
      <c r="E101" s="174"/>
      <c r="F101" s="174"/>
      <c r="G101" s="174"/>
      <c r="H101" s="174"/>
      <c r="I101" s="171"/>
      <c r="J101" s="171"/>
      <c r="K101" s="181"/>
      <c r="L101" s="65"/>
      <c r="M101" s="134"/>
      <c r="N101" s="171"/>
      <c r="P101" s="30"/>
    </row>
    <row r="102" spans="1:16" ht="409.6" hidden="1" thickTop="1" thickBot="1" x14ac:dyDescent="0.7">
      <c r="A102" s="59"/>
      <c r="B102" s="182" t="s">
        <v>492</v>
      </c>
      <c r="C102" s="182" t="s">
        <v>89</v>
      </c>
      <c r="D102" s="103" t="s">
        <v>493</v>
      </c>
      <c r="E102" s="172"/>
      <c r="F102" s="172"/>
      <c r="G102" s="172"/>
      <c r="H102" s="172"/>
      <c r="I102" s="169"/>
      <c r="J102" s="169"/>
      <c r="K102" s="179" t="e">
        <f>J102/I102</f>
        <v>#DIV/0!</v>
      </c>
      <c r="L102" s="65"/>
      <c r="M102" s="134"/>
      <c r="N102" s="169">
        <f t="shared" si="21"/>
        <v>0</v>
      </c>
      <c r="P102" s="30"/>
    </row>
    <row r="103" spans="1:16" ht="367.5" hidden="1" thickTop="1" thickBot="1" x14ac:dyDescent="0.25">
      <c r="A103" s="59"/>
      <c r="B103" s="183"/>
      <c r="C103" s="183"/>
      <c r="D103" s="104" t="s">
        <v>494</v>
      </c>
      <c r="E103" s="173"/>
      <c r="F103" s="173"/>
      <c r="G103" s="173"/>
      <c r="H103" s="173"/>
      <c r="I103" s="170"/>
      <c r="J103" s="170"/>
      <c r="K103" s="180"/>
      <c r="L103" s="65"/>
      <c r="M103" s="134"/>
      <c r="N103" s="170"/>
      <c r="P103" s="30"/>
    </row>
    <row r="104" spans="1:16" ht="93" hidden="1" thickTop="1" thickBot="1" x14ac:dyDescent="0.25">
      <c r="A104" s="59"/>
      <c r="B104" s="184"/>
      <c r="C104" s="184"/>
      <c r="D104" s="105" t="s">
        <v>495</v>
      </c>
      <c r="E104" s="174"/>
      <c r="F104" s="174"/>
      <c r="G104" s="174"/>
      <c r="H104" s="174"/>
      <c r="I104" s="171"/>
      <c r="J104" s="171"/>
      <c r="K104" s="181"/>
      <c r="L104" s="65"/>
      <c r="M104" s="134"/>
      <c r="N104" s="171"/>
      <c r="P104" s="30"/>
    </row>
    <row r="105" spans="1:16" ht="230.25" thickTop="1" thickBot="1" x14ac:dyDescent="0.25">
      <c r="A105" s="112"/>
      <c r="B105" s="67" t="s">
        <v>538</v>
      </c>
      <c r="C105" s="84" t="s">
        <v>94</v>
      </c>
      <c r="D105" s="76" t="s">
        <v>539</v>
      </c>
      <c r="E105" s="77">
        <v>6795000</v>
      </c>
      <c r="F105" s="77">
        <v>1995000</v>
      </c>
      <c r="G105" s="77">
        <v>1701605.73</v>
      </c>
      <c r="H105" s="66">
        <f t="shared" si="20"/>
        <v>0.85293520300751879</v>
      </c>
      <c r="I105" s="77">
        <f>0+10439626.05</f>
        <v>10439626.050000001</v>
      </c>
      <c r="J105" s="77">
        <f>0+5332473.55</f>
        <v>5332473.55</v>
      </c>
      <c r="K105" s="66">
        <f t="shared" ref="K105:K108" si="38">J105/I105</f>
        <v>0.51079162457164828</v>
      </c>
      <c r="L105" s="65"/>
      <c r="M105" s="134"/>
      <c r="N105" s="65">
        <f t="shared" si="21"/>
        <v>7034079.2799999993</v>
      </c>
      <c r="P105" s="30"/>
    </row>
    <row r="106" spans="1:16" s="18" customFormat="1" ht="93" thickTop="1" thickBot="1" x14ac:dyDescent="0.25">
      <c r="A106" s="113" t="s">
        <v>252</v>
      </c>
      <c r="B106" s="68" t="s">
        <v>253</v>
      </c>
      <c r="C106" s="68"/>
      <c r="D106" s="68" t="s">
        <v>254</v>
      </c>
      <c r="E106" s="69">
        <f t="shared" ref="E106:J106" si="39">SUM(E107:E108)</f>
        <v>41948073.600000001</v>
      </c>
      <c r="F106" s="69">
        <f t="shared" si="39"/>
        <v>33206493.299999997</v>
      </c>
      <c r="G106" s="69">
        <f t="shared" si="39"/>
        <v>25666824.140000001</v>
      </c>
      <c r="H106" s="70">
        <f t="shared" si="20"/>
        <v>0.77294593885949414</v>
      </c>
      <c r="I106" s="69">
        <f t="shared" si="39"/>
        <v>10197232.970000001</v>
      </c>
      <c r="J106" s="69">
        <f t="shared" si="39"/>
        <v>2413979.83</v>
      </c>
      <c r="K106" s="70">
        <f t="shared" si="38"/>
        <v>0.23672890843053868</v>
      </c>
      <c r="L106" s="69"/>
      <c r="M106" s="69"/>
      <c r="N106" s="69">
        <f t="shared" si="21"/>
        <v>28080803.969999999</v>
      </c>
      <c r="O106" s="20"/>
      <c r="P106" s="31"/>
    </row>
    <row r="107" spans="1:16" ht="184.5" thickTop="1" thickBot="1" x14ac:dyDescent="0.25">
      <c r="A107" s="112" t="s">
        <v>255</v>
      </c>
      <c r="B107" s="67" t="s">
        <v>256</v>
      </c>
      <c r="C107" s="67" t="s">
        <v>98</v>
      </c>
      <c r="D107" s="72" t="s">
        <v>257</v>
      </c>
      <c r="E107" s="65">
        <v>12681454.6</v>
      </c>
      <c r="F107" s="64">
        <v>10011361.58</v>
      </c>
      <c r="G107" s="64">
        <v>8156573.0899999999</v>
      </c>
      <c r="H107" s="66">
        <f t="shared" si="20"/>
        <v>0.81473164512353968</v>
      </c>
      <c r="I107" s="65">
        <v>9634345.9700000007</v>
      </c>
      <c r="J107" s="65">
        <v>2413979.83</v>
      </c>
      <c r="K107" s="66">
        <f t="shared" si="38"/>
        <v>0.25055980317883475</v>
      </c>
      <c r="L107" s="65"/>
      <c r="M107" s="134"/>
      <c r="N107" s="65">
        <f t="shared" si="21"/>
        <v>10570552.92</v>
      </c>
      <c r="P107" s="26"/>
    </row>
    <row r="108" spans="1:16" ht="138.75" thickTop="1" thickBot="1" x14ac:dyDescent="0.25">
      <c r="A108" s="112" t="s">
        <v>258</v>
      </c>
      <c r="B108" s="67" t="s">
        <v>259</v>
      </c>
      <c r="C108" s="67" t="s">
        <v>98</v>
      </c>
      <c r="D108" s="72" t="s">
        <v>260</v>
      </c>
      <c r="E108" s="65">
        <v>29266619</v>
      </c>
      <c r="F108" s="65">
        <v>23195131.719999999</v>
      </c>
      <c r="G108" s="65">
        <v>17510251.050000001</v>
      </c>
      <c r="H108" s="66">
        <f t="shared" si="20"/>
        <v>0.7549106106132516</v>
      </c>
      <c r="I108" s="65">
        <v>562887</v>
      </c>
      <c r="J108" s="65">
        <v>0</v>
      </c>
      <c r="K108" s="66">
        <f t="shared" si="38"/>
        <v>0</v>
      </c>
      <c r="L108" s="65"/>
      <c r="M108" s="134"/>
      <c r="N108" s="65">
        <f t="shared" si="21"/>
        <v>17510251.050000001</v>
      </c>
      <c r="P108" s="26"/>
    </row>
    <row r="109" spans="1:16" s="11" customFormat="1" ht="92.25" customHeight="1" thickTop="1" thickBot="1" x14ac:dyDescent="0.25">
      <c r="A109" s="58" t="s">
        <v>271</v>
      </c>
      <c r="B109" s="107" t="s">
        <v>272</v>
      </c>
      <c r="C109" s="107"/>
      <c r="D109" s="108" t="s">
        <v>273</v>
      </c>
      <c r="E109" s="109">
        <f>SUM(E110:E117)-E115</f>
        <v>62564858</v>
      </c>
      <c r="F109" s="109">
        <f t="shared" ref="F109:J109" si="40">SUM(F110:F117)-F115</f>
        <v>45058263</v>
      </c>
      <c r="G109" s="109">
        <f t="shared" si="40"/>
        <v>43209074.25999999</v>
      </c>
      <c r="H109" s="110">
        <f>G109/F109</f>
        <v>0.95896005267668638</v>
      </c>
      <c r="I109" s="109">
        <f t="shared" si="40"/>
        <v>1241590.56</v>
      </c>
      <c r="J109" s="109">
        <f t="shared" si="40"/>
        <v>680328.54999999993</v>
      </c>
      <c r="K109" s="110">
        <f>J109/I109</f>
        <v>0.54794919671425324</v>
      </c>
      <c r="L109" s="109"/>
      <c r="M109" s="109"/>
      <c r="N109" s="111">
        <f>J109+G109</f>
        <v>43889402.809999987</v>
      </c>
      <c r="O109" s="53" t="b">
        <f>N109=N110+N111+N112+N113+N116+N117+N114</f>
        <v>1</v>
      </c>
      <c r="P109" s="30"/>
    </row>
    <row r="110" spans="1:16" ht="93" thickTop="1" thickBot="1" x14ac:dyDescent="0.25">
      <c r="A110" s="59" t="s">
        <v>274</v>
      </c>
      <c r="B110" s="67" t="s">
        <v>275</v>
      </c>
      <c r="C110" s="67" t="s">
        <v>276</v>
      </c>
      <c r="D110" s="67" t="s">
        <v>277</v>
      </c>
      <c r="E110" s="65">
        <v>1100800</v>
      </c>
      <c r="F110" s="65">
        <v>825597</v>
      </c>
      <c r="G110" s="65">
        <v>773517.95</v>
      </c>
      <c r="H110" s="66">
        <f t="shared" ref="H110:H132" si="41">G110/F110</f>
        <v>0.93691952611261908</v>
      </c>
      <c r="I110" s="65"/>
      <c r="J110" s="65"/>
      <c r="K110" s="65"/>
      <c r="L110" s="65"/>
      <c r="M110" s="134"/>
      <c r="N110" s="65">
        <f t="shared" ref="N110:N132" si="42">G110+J110</f>
        <v>773517.95</v>
      </c>
      <c r="P110" s="30"/>
    </row>
    <row r="111" spans="1:16" ht="93" thickTop="1" thickBot="1" x14ac:dyDescent="0.25">
      <c r="A111" s="59" t="s">
        <v>278</v>
      </c>
      <c r="B111" s="67" t="s">
        <v>279</v>
      </c>
      <c r="C111" s="67" t="s">
        <v>280</v>
      </c>
      <c r="D111" s="67" t="s">
        <v>281</v>
      </c>
      <c r="E111" s="65">
        <v>15273555</v>
      </c>
      <c r="F111" s="65">
        <v>10987083</v>
      </c>
      <c r="G111" s="65">
        <v>10535383.84</v>
      </c>
      <c r="H111" s="66">
        <f t="shared" si="41"/>
        <v>0.95888816349162009</v>
      </c>
      <c r="I111" s="65">
        <v>269142.83</v>
      </c>
      <c r="J111" s="65">
        <v>207067.15</v>
      </c>
      <c r="K111" s="66">
        <f t="shared" ref="K111:K116" si="43">J111/I111</f>
        <v>0.76935785359766029</v>
      </c>
      <c r="L111" s="65"/>
      <c r="M111" s="134"/>
      <c r="N111" s="65">
        <f t="shared" si="42"/>
        <v>10742450.99</v>
      </c>
      <c r="P111" s="26"/>
    </row>
    <row r="112" spans="1:16" ht="93" thickTop="1" thickBot="1" x14ac:dyDescent="0.25">
      <c r="A112" s="112" t="s">
        <v>282</v>
      </c>
      <c r="B112" s="67" t="s">
        <v>283</v>
      </c>
      <c r="C112" s="67" t="s">
        <v>280</v>
      </c>
      <c r="D112" s="67" t="s">
        <v>284</v>
      </c>
      <c r="E112" s="65">
        <v>2274910</v>
      </c>
      <c r="F112" s="65">
        <v>1579486</v>
      </c>
      <c r="G112" s="65">
        <v>1415577.42</v>
      </c>
      <c r="H112" s="66">
        <f t="shared" si="41"/>
        <v>0.89622663322118712</v>
      </c>
      <c r="I112" s="65">
        <v>86000</v>
      </c>
      <c r="J112" s="65">
        <v>20102.05</v>
      </c>
      <c r="K112" s="66">
        <f t="shared" si="43"/>
        <v>0.23374476744186046</v>
      </c>
      <c r="L112" s="65"/>
      <c r="M112" s="134"/>
      <c r="N112" s="65">
        <f t="shared" si="42"/>
        <v>1435679.47</v>
      </c>
      <c r="P112" s="26"/>
    </row>
    <row r="113" spans="1:16" ht="184.5" thickTop="1" thickBot="1" x14ac:dyDescent="0.25">
      <c r="A113" s="112" t="s">
        <v>285</v>
      </c>
      <c r="B113" s="67" t="s">
        <v>286</v>
      </c>
      <c r="C113" s="67" t="s">
        <v>287</v>
      </c>
      <c r="D113" s="67" t="s">
        <v>288</v>
      </c>
      <c r="E113" s="65">
        <v>16744655</v>
      </c>
      <c r="F113" s="65">
        <v>12110978</v>
      </c>
      <c r="G113" s="65">
        <v>11165776.279999999</v>
      </c>
      <c r="H113" s="66">
        <f t="shared" si="41"/>
        <v>0.92195496350501172</v>
      </c>
      <c r="I113" s="65">
        <v>481300</v>
      </c>
      <c r="J113" s="65">
        <v>194421.62</v>
      </c>
      <c r="K113" s="66">
        <f t="shared" si="43"/>
        <v>0.40395100768751296</v>
      </c>
      <c r="L113" s="65"/>
      <c r="M113" s="134"/>
      <c r="N113" s="65">
        <f t="shared" si="42"/>
        <v>11360197.899999999</v>
      </c>
      <c r="P113" s="26"/>
    </row>
    <row r="114" spans="1:16" ht="93" thickTop="1" thickBot="1" x14ac:dyDescent="0.25">
      <c r="A114" s="112"/>
      <c r="B114" s="67" t="s">
        <v>540</v>
      </c>
      <c r="C114" s="67" t="s">
        <v>541</v>
      </c>
      <c r="D114" s="67" t="s">
        <v>542</v>
      </c>
      <c r="E114" s="65">
        <v>426538</v>
      </c>
      <c r="F114" s="65">
        <v>334365</v>
      </c>
      <c r="G114" s="65">
        <v>334365</v>
      </c>
      <c r="H114" s="66">
        <f t="shared" si="41"/>
        <v>1</v>
      </c>
      <c r="I114" s="65"/>
      <c r="J114" s="65"/>
      <c r="K114" s="66"/>
      <c r="L114" s="65"/>
      <c r="M114" s="134"/>
      <c r="N114" s="65">
        <f t="shared" si="42"/>
        <v>334365</v>
      </c>
      <c r="P114" s="26"/>
    </row>
    <row r="115" spans="1:16" ht="93" thickTop="1" thickBot="1" x14ac:dyDescent="0.25">
      <c r="A115" s="113" t="s">
        <v>289</v>
      </c>
      <c r="B115" s="68" t="s">
        <v>290</v>
      </c>
      <c r="C115" s="68"/>
      <c r="D115" s="68" t="s">
        <v>291</v>
      </c>
      <c r="E115" s="69">
        <f t="shared" ref="E115:J115" si="44">SUM(E116:E117)</f>
        <v>26744400</v>
      </c>
      <c r="F115" s="69">
        <f t="shared" si="44"/>
        <v>19220754</v>
      </c>
      <c r="G115" s="69">
        <f t="shared" si="44"/>
        <v>18984453.77</v>
      </c>
      <c r="H115" s="70">
        <f t="shared" si="41"/>
        <v>0.98770598541555654</v>
      </c>
      <c r="I115" s="69">
        <f t="shared" si="44"/>
        <v>405147.73</v>
      </c>
      <c r="J115" s="69">
        <f t="shared" si="44"/>
        <v>258737.73</v>
      </c>
      <c r="K115" s="70">
        <f t="shared" si="43"/>
        <v>0.63862564403359734</v>
      </c>
      <c r="L115" s="69"/>
      <c r="M115" s="69"/>
      <c r="N115" s="69">
        <f t="shared" si="42"/>
        <v>19243191.5</v>
      </c>
      <c r="P115" s="26"/>
    </row>
    <row r="116" spans="1:16" ht="138.75" thickTop="1" thickBot="1" x14ac:dyDescent="0.25">
      <c r="A116" s="112" t="s">
        <v>292</v>
      </c>
      <c r="B116" s="67" t="s">
        <v>293</v>
      </c>
      <c r="C116" s="67" t="s">
        <v>294</v>
      </c>
      <c r="D116" s="67" t="s">
        <v>295</v>
      </c>
      <c r="E116" s="65">
        <v>23987945</v>
      </c>
      <c r="F116" s="65">
        <v>18273054</v>
      </c>
      <c r="G116" s="65">
        <v>18132688.079999998</v>
      </c>
      <c r="H116" s="66">
        <f t="shared" si="41"/>
        <v>0.99231842033630491</v>
      </c>
      <c r="I116" s="65">
        <v>405147.73</v>
      </c>
      <c r="J116" s="65">
        <v>258737.73</v>
      </c>
      <c r="K116" s="66">
        <f t="shared" si="43"/>
        <v>0.63862564403359734</v>
      </c>
      <c r="L116" s="65"/>
      <c r="M116" s="134"/>
      <c r="N116" s="65">
        <f t="shared" si="42"/>
        <v>18391425.809999999</v>
      </c>
      <c r="P116" s="30"/>
    </row>
    <row r="117" spans="1:16" ht="93" thickTop="1" thickBot="1" x14ac:dyDescent="0.25">
      <c r="A117" s="112" t="s">
        <v>296</v>
      </c>
      <c r="B117" s="67" t="s">
        <v>297</v>
      </c>
      <c r="C117" s="67" t="s">
        <v>294</v>
      </c>
      <c r="D117" s="67" t="s">
        <v>298</v>
      </c>
      <c r="E117" s="65">
        <v>2756455</v>
      </c>
      <c r="F117" s="65">
        <v>947700</v>
      </c>
      <c r="G117" s="65">
        <v>851765.69</v>
      </c>
      <c r="H117" s="66">
        <f t="shared" si="41"/>
        <v>0.8987714361084731</v>
      </c>
      <c r="I117" s="65"/>
      <c r="J117" s="65"/>
      <c r="K117" s="65"/>
      <c r="L117" s="65"/>
      <c r="M117" s="134"/>
      <c r="N117" s="65">
        <f t="shared" si="42"/>
        <v>851765.69</v>
      </c>
      <c r="P117" s="30"/>
    </row>
    <row r="118" spans="1:16" ht="77.25" customHeight="1" thickTop="1" thickBot="1" x14ac:dyDescent="0.25">
      <c r="A118" s="58" t="s">
        <v>309</v>
      </c>
      <c r="B118" s="107" t="s">
        <v>310</v>
      </c>
      <c r="C118" s="107"/>
      <c r="D118" s="108" t="s">
        <v>311</v>
      </c>
      <c r="E118" s="109">
        <f>SUM(E119:E132)-E119-E122-E124-E129-E127</f>
        <v>93530350.840000004</v>
      </c>
      <c r="F118" s="109">
        <f>SUM(F119:F132)-F119-F122-F124-F129-F127</f>
        <v>54041513.840000004</v>
      </c>
      <c r="G118" s="109">
        <f>SUM(G119:G132)-G119-G122-G124-G129-G127</f>
        <v>48980888.480000012</v>
      </c>
      <c r="H118" s="110">
        <f>G118/F118</f>
        <v>0.90635670616143515</v>
      </c>
      <c r="I118" s="109">
        <f>SUM(I119:I132)-I119-I122-I124-I129-I127</f>
        <v>28497226.170000006</v>
      </c>
      <c r="J118" s="109">
        <f>SUM(J119:J132)-J119-J122-J124-J129-J127</f>
        <v>9096532.0799999945</v>
      </c>
      <c r="K118" s="110">
        <f>J118/I118</f>
        <v>0.31920763184931389</v>
      </c>
      <c r="L118" s="109"/>
      <c r="M118" s="109"/>
      <c r="N118" s="111">
        <f>J118+G118</f>
        <v>58077420.560000002</v>
      </c>
      <c r="O118" s="53" t="b">
        <f>N118=N120+N121+N123+N125+N126+N128+N130+N131+N132</f>
        <v>1</v>
      </c>
      <c r="P118" s="26"/>
    </row>
    <row r="119" spans="1:16" s="18" customFormat="1" ht="93" thickTop="1" thickBot="1" x14ac:dyDescent="0.25">
      <c r="A119" s="113" t="s">
        <v>312</v>
      </c>
      <c r="B119" s="68" t="s">
        <v>313</v>
      </c>
      <c r="C119" s="68"/>
      <c r="D119" s="68" t="s">
        <v>314</v>
      </c>
      <c r="E119" s="75">
        <f t="shared" ref="E119:G119" si="45">SUM(E120:E121)</f>
        <v>25324232</v>
      </c>
      <c r="F119" s="75">
        <f t="shared" si="45"/>
        <v>5503525</v>
      </c>
      <c r="G119" s="75">
        <f t="shared" si="45"/>
        <v>3662150.96</v>
      </c>
      <c r="H119" s="70">
        <f>G119/F119</f>
        <v>0.66541915590462475</v>
      </c>
      <c r="I119" s="75"/>
      <c r="J119" s="75"/>
      <c r="K119" s="70"/>
      <c r="L119" s="75"/>
      <c r="M119" s="75"/>
      <c r="N119" s="69">
        <f t="shared" si="42"/>
        <v>3662150.96</v>
      </c>
      <c r="O119" s="50"/>
      <c r="P119" s="32"/>
    </row>
    <row r="120" spans="1:16" s="35" customFormat="1" ht="138.75" thickTop="1" thickBot="1" x14ac:dyDescent="0.25">
      <c r="A120" s="112" t="s">
        <v>315</v>
      </c>
      <c r="B120" s="67" t="s">
        <v>316</v>
      </c>
      <c r="C120" s="67" t="s">
        <v>317</v>
      </c>
      <c r="D120" s="67" t="s">
        <v>318</v>
      </c>
      <c r="E120" s="64">
        <v>22258032</v>
      </c>
      <c r="F120" s="65">
        <v>4957147</v>
      </c>
      <c r="G120" s="65">
        <v>3398840.96</v>
      </c>
      <c r="H120" s="66">
        <f t="shared" si="41"/>
        <v>0.68564457741519469</v>
      </c>
      <c r="I120" s="65"/>
      <c r="J120" s="65"/>
      <c r="K120" s="65"/>
      <c r="L120" s="65"/>
      <c r="M120" s="134"/>
      <c r="N120" s="65">
        <f t="shared" si="42"/>
        <v>3398840.96</v>
      </c>
      <c r="O120" s="33"/>
      <c r="P120" s="34"/>
    </row>
    <row r="121" spans="1:16" s="35" customFormat="1" ht="138.75" thickTop="1" thickBot="1" x14ac:dyDescent="0.25">
      <c r="A121" s="59" t="s">
        <v>319</v>
      </c>
      <c r="B121" s="67" t="s">
        <v>320</v>
      </c>
      <c r="C121" s="67" t="s">
        <v>317</v>
      </c>
      <c r="D121" s="67" t="s">
        <v>321</v>
      </c>
      <c r="E121" s="64">
        <v>3066200</v>
      </c>
      <c r="F121" s="65">
        <v>546378</v>
      </c>
      <c r="G121" s="65">
        <v>263310</v>
      </c>
      <c r="H121" s="66">
        <f t="shared" si="41"/>
        <v>0.48191911094516982</v>
      </c>
      <c r="I121" s="65"/>
      <c r="J121" s="65"/>
      <c r="K121" s="65"/>
      <c r="L121" s="65"/>
      <c r="M121" s="134"/>
      <c r="N121" s="65">
        <f t="shared" si="42"/>
        <v>263310</v>
      </c>
      <c r="O121" s="33"/>
      <c r="P121" s="34"/>
    </row>
    <row r="122" spans="1:16" s="18" customFormat="1" ht="184.5" thickTop="1" thickBot="1" x14ac:dyDescent="0.25">
      <c r="A122" s="113" t="s">
        <v>322</v>
      </c>
      <c r="B122" s="68" t="s">
        <v>323</v>
      </c>
      <c r="C122" s="68"/>
      <c r="D122" s="68" t="s">
        <v>324</v>
      </c>
      <c r="E122" s="75">
        <f t="shared" ref="E122:F122" si="46">E123</f>
        <v>53300</v>
      </c>
      <c r="F122" s="75">
        <f t="shared" si="46"/>
        <v>39160</v>
      </c>
      <c r="G122" s="75">
        <f>G123</f>
        <v>0</v>
      </c>
      <c r="H122" s="70">
        <f>G122/F122</f>
        <v>0</v>
      </c>
      <c r="I122" s="75"/>
      <c r="J122" s="75"/>
      <c r="K122" s="70"/>
      <c r="L122" s="75"/>
      <c r="M122" s="75"/>
      <c r="N122" s="69">
        <f t="shared" si="42"/>
        <v>0</v>
      </c>
      <c r="O122" s="50"/>
      <c r="P122" s="36"/>
    </row>
    <row r="123" spans="1:16" s="35" customFormat="1" ht="184.5" thickTop="1" thickBot="1" x14ac:dyDescent="0.25">
      <c r="A123" s="112" t="s">
        <v>325</v>
      </c>
      <c r="B123" s="67" t="s">
        <v>326</v>
      </c>
      <c r="C123" s="67" t="s">
        <v>317</v>
      </c>
      <c r="D123" s="67" t="s">
        <v>327</v>
      </c>
      <c r="E123" s="64">
        <v>53300</v>
      </c>
      <c r="F123" s="64">
        <v>39160</v>
      </c>
      <c r="G123" s="64">
        <v>0</v>
      </c>
      <c r="H123" s="66">
        <f>G123/F123</f>
        <v>0</v>
      </c>
      <c r="I123" s="65"/>
      <c r="J123" s="64"/>
      <c r="K123" s="64"/>
      <c r="L123" s="64"/>
      <c r="M123" s="134"/>
      <c r="N123" s="65">
        <f t="shared" si="42"/>
        <v>0</v>
      </c>
      <c r="O123" s="33"/>
      <c r="P123" s="34"/>
    </row>
    <row r="124" spans="1:16" ht="93" thickTop="1" thickBot="1" x14ac:dyDescent="0.25">
      <c r="A124" s="113" t="s">
        <v>328</v>
      </c>
      <c r="B124" s="68" t="s">
        <v>329</v>
      </c>
      <c r="C124" s="68"/>
      <c r="D124" s="68" t="s">
        <v>330</v>
      </c>
      <c r="E124" s="75">
        <f t="shared" ref="E124:J124" si="47">SUM(E125:E126)</f>
        <v>62891352.840000004</v>
      </c>
      <c r="F124" s="75">
        <f t="shared" si="47"/>
        <v>44949562.840000004</v>
      </c>
      <c r="G124" s="75">
        <f t="shared" si="47"/>
        <v>42709271.82</v>
      </c>
      <c r="H124" s="70">
        <f t="shared" si="41"/>
        <v>0.95015989303445691</v>
      </c>
      <c r="I124" s="75">
        <f t="shared" si="47"/>
        <v>8198239.9699999997</v>
      </c>
      <c r="J124" s="75">
        <f t="shared" si="47"/>
        <v>6054160.4800000004</v>
      </c>
      <c r="K124" s="70">
        <f t="shared" ref="K124:K129" si="48">J124/I124</f>
        <v>0.73847075740087187</v>
      </c>
      <c r="L124" s="75"/>
      <c r="M124" s="75"/>
      <c r="N124" s="69">
        <f t="shared" si="42"/>
        <v>48763432.299999997</v>
      </c>
      <c r="P124" s="26"/>
    </row>
    <row r="125" spans="1:16" s="35" customFormat="1" ht="184.5" thickTop="1" thickBot="1" x14ac:dyDescent="0.25">
      <c r="A125" s="112" t="s">
        <v>331</v>
      </c>
      <c r="B125" s="67" t="s">
        <v>332</v>
      </c>
      <c r="C125" s="67" t="s">
        <v>317</v>
      </c>
      <c r="D125" s="67" t="s">
        <v>333</v>
      </c>
      <c r="E125" s="64">
        <v>57335156</v>
      </c>
      <c r="F125" s="64">
        <v>40823779</v>
      </c>
      <c r="G125" s="64">
        <v>38689023.810000002</v>
      </c>
      <c r="H125" s="66">
        <f t="shared" si="41"/>
        <v>0.94770804559764055</v>
      </c>
      <c r="I125" s="64">
        <v>8198239.9699999997</v>
      </c>
      <c r="J125" s="64">
        <v>6054160.4800000004</v>
      </c>
      <c r="K125" s="66">
        <f t="shared" si="48"/>
        <v>0.73847075740087187</v>
      </c>
      <c r="L125" s="64"/>
      <c r="M125" s="134"/>
      <c r="N125" s="65">
        <f t="shared" si="42"/>
        <v>44743184.290000007</v>
      </c>
      <c r="O125" s="33"/>
      <c r="P125" s="34"/>
    </row>
    <row r="126" spans="1:16" s="35" customFormat="1" ht="184.5" thickTop="1" thickBot="1" x14ac:dyDescent="0.25">
      <c r="A126" s="112" t="s">
        <v>334</v>
      </c>
      <c r="B126" s="67" t="s">
        <v>335</v>
      </c>
      <c r="C126" s="67" t="s">
        <v>317</v>
      </c>
      <c r="D126" s="67" t="s">
        <v>336</v>
      </c>
      <c r="E126" s="64">
        <v>5556196.8399999999</v>
      </c>
      <c r="F126" s="64">
        <v>4125783.84</v>
      </c>
      <c r="G126" s="64">
        <v>4020248.01</v>
      </c>
      <c r="H126" s="66">
        <f t="shared" si="41"/>
        <v>0.97442041704249827</v>
      </c>
      <c r="I126" s="64"/>
      <c r="J126" s="64"/>
      <c r="K126" s="66"/>
      <c r="L126" s="64"/>
      <c r="M126" s="134"/>
      <c r="N126" s="65">
        <f t="shared" si="42"/>
        <v>4020248.01</v>
      </c>
      <c r="O126" s="33"/>
      <c r="P126" s="34"/>
    </row>
    <row r="127" spans="1:16" s="35" customFormat="1" ht="93" thickTop="1" thickBot="1" x14ac:dyDescent="0.25">
      <c r="A127" s="112"/>
      <c r="B127" s="68" t="s">
        <v>394</v>
      </c>
      <c r="C127" s="68"/>
      <c r="D127" s="68" t="s">
        <v>395</v>
      </c>
      <c r="E127" s="75">
        <f t="shared" ref="E127:J127" si="49">E128</f>
        <v>0</v>
      </c>
      <c r="F127" s="75">
        <f t="shared" si="49"/>
        <v>0</v>
      </c>
      <c r="G127" s="75">
        <f t="shared" si="49"/>
        <v>0</v>
      </c>
      <c r="H127" s="70">
        <v>0</v>
      </c>
      <c r="I127" s="75">
        <f t="shared" si="49"/>
        <v>20268106.199999999</v>
      </c>
      <c r="J127" s="75">
        <f t="shared" si="49"/>
        <v>3041379.2</v>
      </c>
      <c r="K127" s="70">
        <f t="shared" si="48"/>
        <v>0.15005739411410821</v>
      </c>
      <c r="L127" s="75"/>
      <c r="M127" s="75"/>
      <c r="N127" s="69">
        <f t="shared" si="42"/>
        <v>3041379.2</v>
      </c>
      <c r="O127" s="33"/>
      <c r="P127" s="34"/>
    </row>
    <row r="128" spans="1:16" s="35" customFormat="1" ht="409.6" thickTop="1" thickBot="1" x14ac:dyDescent="0.25">
      <c r="A128" s="112"/>
      <c r="B128" s="67" t="s">
        <v>396</v>
      </c>
      <c r="C128" s="67" t="s">
        <v>317</v>
      </c>
      <c r="D128" s="67" t="s">
        <v>522</v>
      </c>
      <c r="E128" s="65"/>
      <c r="F128" s="65"/>
      <c r="G128" s="65"/>
      <c r="H128" s="66"/>
      <c r="I128" s="65">
        <v>20268106.199999999</v>
      </c>
      <c r="J128" s="65">
        <v>3041379.2</v>
      </c>
      <c r="K128" s="66">
        <f t="shared" si="48"/>
        <v>0.15005739411410821</v>
      </c>
      <c r="L128" s="65"/>
      <c r="M128" s="134"/>
      <c r="N128" s="65">
        <f t="shared" si="42"/>
        <v>3041379.2</v>
      </c>
      <c r="O128" s="33"/>
      <c r="P128" s="34"/>
    </row>
    <row r="129" spans="1:16" ht="93" thickTop="1" thickBot="1" x14ac:dyDescent="0.25">
      <c r="A129" s="117" t="s">
        <v>337</v>
      </c>
      <c r="B129" s="68" t="s">
        <v>338</v>
      </c>
      <c r="C129" s="68"/>
      <c r="D129" s="68" t="s">
        <v>339</v>
      </c>
      <c r="E129" s="75">
        <f t="shared" ref="E129:J129" si="50">SUM(E130:E132)</f>
        <v>5261466</v>
      </c>
      <c r="F129" s="75">
        <f>SUM(F130:F132)</f>
        <v>3549266</v>
      </c>
      <c r="G129" s="75">
        <f t="shared" si="50"/>
        <v>2609465.7000000002</v>
      </c>
      <c r="H129" s="70">
        <f t="shared" si="41"/>
        <v>0.73521277357064818</v>
      </c>
      <c r="I129" s="75">
        <f t="shared" si="50"/>
        <v>30880</v>
      </c>
      <c r="J129" s="75">
        <f t="shared" si="50"/>
        <v>992.4</v>
      </c>
      <c r="K129" s="70">
        <f t="shared" si="48"/>
        <v>3.2137305699481866E-2</v>
      </c>
      <c r="L129" s="75"/>
      <c r="M129" s="75"/>
      <c r="N129" s="69">
        <f t="shared" si="42"/>
        <v>2610458.1</v>
      </c>
      <c r="O129" s="50"/>
      <c r="P129" s="26"/>
    </row>
    <row r="130" spans="1:16" s="35" customFormat="1" ht="276" thickTop="1" thickBot="1" x14ac:dyDescent="0.25">
      <c r="A130" s="119" t="s">
        <v>340</v>
      </c>
      <c r="B130" s="118" t="s">
        <v>341</v>
      </c>
      <c r="C130" s="118" t="s">
        <v>317</v>
      </c>
      <c r="D130" s="67" t="s">
        <v>342</v>
      </c>
      <c r="E130" s="64">
        <v>1016620</v>
      </c>
      <c r="F130" s="65">
        <v>125046</v>
      </c>
      <c r="G130" s="65">
        <v>20837.63</v>
      </c>
      <c r="H130" s="66">
        <f t="shared" si="41"/>
        <v>0.16663971658429699</v>
      </c>
      <c r="I130" s="65"/>
      <c r="J130" s="65"/>
      <c r="K130" s="65"/>
      <c r="L130" s="65"/>
      <c r="M130" s="134"/>
      <c r="N130" s="65">
        <f t="shared" si="42"/>
        <v>20837.63</v>
      </c>
      <c r="O130" s="33"/>
      <c r="P130" s="34"/>
    </row>
    <row r="131" spans="1:16" s="35" customFormat="1" ht="184.5" thickTop="1" thickBot="1" x14ac:dyDescent="0.25">
      <c r="A131" s="119" t="s">
        <v>343</v>
      </c>
      <c r="B131" s="118" t="s">
        <v>344</v>
      </c>
      <c r="C131" s="118" t="s">
        <v>317</v>
      </c>
      <c r="D131" s="67" t="s">
        <v>345</v>
      </c>
      <c r="E131" s="64">
        <v>2490471</v>
      </c>
      <c r="F131" s="65">
        <v>2109306</v>
      </c>
      <c r="G131" s="65">
        <v>1418850</v>
      </c>
      <c r="H131" s="66">
        <f t="shared" si="41"/>
        <v>0.67266200352153738</v>
      </c>
      <c r="I131" s="65"/>
      <c r="J131" s="65"/>
      <c r="K131" s="65"/>
      <c r="L131" s="65"/>
      <c r="M131" s="134"/>
      <c r="N131" s="65">
        <f t="shared" si="42"/>
        <v>1418850</v>
      </c>
      <c r="O131" s="33"/>
      <c r="P131" s="34"/>
    </row>
    <row r="132" spans="1:16" s="35" customFormat="1" ht="93" thickTop="1" thickBot="1" x14ac:dyDescent="0.25">
      <c r="A132" s="119" t="s">
        <v>346</v>
      </c>
      <c r="B132" s="118" t="s">
        <v>347</v>
      </c>
      <c r="C132" s="118" t="s">
        <v>317</v>
      </c>
      <c r="D132" s="67" t="s">
        <v>348</v>
      </c>
      <c r="E132" s="64">
        <v>1754375</v>
      </c>
      <c r="F132" s="65">
        <v>1314914</v>
      </c>
      <c r="G132" s="65">
        <v>1169778.07</v>
      </c>
      <c r="H132" s="66">
        <f t="shared" si="41"/>
        <v>0.88962325292756794</v>
      </c>
      <c r="I132" s="65">
        <v>30880</v>
      </c>
      <c r="J132" s="65">
        <v>992.4</v>
      </c>
      <c r="K132" s="66">
        <f t="shared" ref="K132" si="51">J132/I132</f>
        <v>3.2137305699481866E-2</v>
      </c>
      <c r="L132" s="65"/>
      <c r="M132" s="134"/>
      <c r="N132" s="65">
        <f t="shared" si="42"/>
        <v>1170770.47</v>
      </c>
      <c r="O132" s="33"/>
      <c r="P132" s="34"/>
    </row>
    <row r="133" spans="1:16" ht="91.5" thickTop="1" thickBot="1" x14ac:dyDescent="0.25">
      <c r="A133" s="58" t="s">
        <v>351</v>
      </c>
      <c r="B133" s="107" t="s">
        <v>261</v>
      </c>
      <c r="C133" s="107"/>
      <c r="D133" s="108" t="s">
        <v>262</v>
      </c>
      <c r="E133" s="109">
        <f>SUM(E134:E146)-E134-E142</f>
        <v>433429770.05999994</v>
      </c>
      <c r="F133" s="109">
        <f>SUM(F134:F146)-F134-F142</f>
        <v>317529375.06</v>
      </c>
      <c r="G133" s="109">
        <f>SUM(G134:G146)-G134-G142</f>
        <v>298316450.98000002</v>
      </c>
      <c r="H133" s="110">
        <f>G133/F133</f>
        <v>0.93949245144210825</v>
      </c>
      <c r="I133" s="109">
        <f>SUM(I134:I146)-I134-I142</f>
        <v>11132100</v>
      </c>
      <c r="J133" s="109">
        <f>SUM(J134:J146)-J134-J142</f>
        <v>1415713.0700000003</v>
      </c>
      <c r="K133" s="110">
        <f>J133/I133</f>
        <v>0.12717394471842691</v>
      </c>
      <c r="L133" s="109"/>
      <c r="M133" s="109"/>
      <c r="N133" s="111">
        <f>J133+G133</f>
        <v>299732164.05000001</v>
      </c>
      <c r="O133" s="53" t="b">
        <f>N133=N135+N136+N137+N138+N139+N140+N141+N143+N145+N144</f>
        <v>1</v>
      </c>
      <c r="P133" s="37"/>
    </row>
    <row r="134" spans="1:16" s="18" customFormat="1" ht="184.5" thickTop="1" thickBot="1" x14ac:dyDescent="0.25">
      <c r="A134" s="113" t="s">
        <v>352</v>
      </c>
      <c r="B134" s="68" t="s">
        <v>353</v>
      </c>
      <c r="C134" s="68"/>
      <c r="D134" s="68" t="s">
        <v>354</v>
      </c>
      <c r="E134" s="69">
        <f t="shared" ref="E134:J134" si="52">SUM(E135:E139)</f>
        <v>163163200</v>
      </c>
      <c r="F134" s="69">
        <f t="shared" si="52"/>
        <v>147250000</v>
      </c>
      <c r="G134" s="69">
        <f t="shared" si="52"/>
        <v>142102048.59999999</v>
      </c>
      <c r="H134" s="70">
        <f t="shared" ref="H134:H137" si="53">G134/F134</f>
        <v>0.96503937928692696</v>
      </c>
      <c r="I134" s="69">
        <f t="shared" si="52"/>
        <v>4458600</v>
      </c>
      <c r="J134" s="69">
        <f t="shared" si="52"/>
        <v>1407218.2000000002</v>
      </c>
      <c r="K134" s="70">
        <f t="shared" ref="K134:K135" si="54">J134/I134</f>
        <v>0.3156188489660432</v>
      </c>
      <c r="L134" s="69"/>
      <c r="M134" s="69"/>
      <c r="N134" s="69">
        <f t="shared" ref="N134:N183" si="55">G134+J134</f>
        <v>143509266.79999998</v>
      </c>
      <c r="O134" s="20"/>
      <c r="P134" s="37"/>
    </row>
    <row r="135" spans="1:16" ht="138.75" thickTop="1" thickBot="1" x14ac:dyDescent="0.25">
      <c r="A135" s="112" t="s">
        <v>355</v>
      </c>
      <c r="B135" s="67" t="s">
        <v>356</v>
      </c>
      <c r="C135" s="67" t="s">
        <v>265</v>
      </c>
      <c r="D135" s="67" t="s">
        <v>357</v>
      </c>
      <c r="E135" s="64">
        <v>513200</v>
      </c>
      <c r="F135" s="64">
        <v>160000</v>
      </c>
      <c r="G135" s="64">
        <v>133109.95000000001</v>
      </c>
      <c r="H135" s="66">
        <f t="shared" si="53"/>
        <v>0.83193718750000012</v>
      </c>
      <c r="I135" s="64">
        <v>708600</v>
      </c>
      <c r="J135" s="132">
        <v>9932.35</v>
      </c>
      <c r="K135" s="66">
        <f t="shared" si="54"/>
        <v>1.4016864239345188E-2</v>
      </c>
      <c r="L135" s="132"/>
      <c r="M135" s="134"/>
      <c r="N135" s="65">
        <f t="shared" si="55"/>
        <v>143042.30000000002</v>
      </c>
      <c r="P135" s="37"/>
    </row>
    <row r="136" spans="1:16" ht="138.75" thickTop="1" thickBot="1" x14ac:dyDescent="0.25">
      <c r="A136" s="112"/>
      <c r="B136" s="67" t="s">
        <v>377</v>
      </c>
      <c r="C136" s="67" t="s">
        <v>360</v>
      </c>
      <c r="D136" s="67" t="s">
        <v>378</v>
      </c>
      <c r="E136" s="64">
        <v>151600000</v>
      </c>
      <c r="F136" s="64">
        <v>139600000</v>
      </c>
      <c r="G136" s="64">
        <v>134599999.90000001</v>
      </c>
      <c r="H136" s="66">
        <f t="shared" si="53"/>
        <v>0.96418338037249285</v>
      </c>
      <c r="I136" s="64"/>
      <c r="J136" s="132"/>
      <c r="K136" s="132"/>
      <c r="L136" s="132"/>
      <c r="M136" s="134"/>
      <c r="N136" s="65">
        <f t="shared" si="55"/>
        <v>134599999.90000001</v>
      </c>
      <c r="P136" s="37"/>
    </row>
    <row r="137" spans="1:16" ht="138.75" thickTop="1" thickBot="1" x14ac:dyDescent="0.25">
      <c r="A137" s="112"/>
      <c r="B137" s="67" t="s">
        <v>379</v>
      </c>
      <c r="C137" s="67" t="s">
        <v>360</v>
      </c>
      <c r="D137" s="67" t="s">
        <v>380</v>
      </c>
      <c r="E137" s="64">
        <v>10350000</v>
      </c>
      <c r="F137" s="64">
        <v>7490000</v>
      </c>
      <c r="G137" s="64">
        <v>7368938.75</v>
      </c>
      <c r="H137" s="66">
        <f t="shared" si="53"/>
        <v>0.98383694926568754</v>
      </c>
      <c r="I137" s="64">
        <v>250000</v>
      </c>
      <c r="J137" s="132">
        <v>0</v>
      </c>
      <c r="K137" s="66">
        <f t="shared" ref="K137:K144" si="56">J137/I137</f>
        <v>0</v>
      </c>
      <c r="L137" s="132"/>
      <c r="M137" s="134"/>
      <c r="N137" s="65">
        <f t="shared" si="55"/>
        <v>7368938.75</v>
      </c>
      <c r="P137" s="37"/>
    </row>
    <row r="138" spans="1:16" ht="138.75" thickTop="1" thickBot="1" x14ac:dyDescent="0.25">
      <c r="A138" s="59" t="s">
        <v>358</v>
      </c>
      <c r="B138" s="67" t="s">
        <v>359</v>
      </c>
      <c r="C138" s="67" t="s">
        <v>360</v>
      </c>
      <c r="D138" s="67" t="s">
        <v>361</v>
      </c>
      <c r="E138" s="64"/>
      <c r="F138" s="64"/>
      <c r="G138" s="64"/>
      <c r="H138" s="64"/>
      <c r="I138" s="64">
        <v>3000000</v>
      </c>
      <c r="J138" s="132">
        <v>1344803.83</v>
      </c>
      <c r="K138" s="66">
        <f t="shared" si="56"/>
        <v>0.44826794333333336</v>
      </c>
      <c r="L138" s="132"/>
      <c r="M138" s="134"/>
      <c r="N138" s="65">
        <f t="shared" si="55"/>
        <v>1344803.83</v>
      </c>
      <c r="P138" s="37"/>
    </row>
    <row r="139" spans="1:16" ht="244.5" thickTop="1" thickBot="1" x14ac:dyDescent="0.25">
      <c r="A139" s="59" t="s">
        <v>362</v>
      </c>
      <c r="B139" s="67" t="s">
        <v>363</v>
      </c>
      <c r="C139" s="67" t="s">
        <v>360</v>
      </c>
      <c r="D139" s="67" t="s">
        <v>364</v>
      </c>
      <c r="E139" s="64">
        <v>700000</v>
      </c>
      <c r="F139" s="64">
        <v>0</v>
      </c>
      <c r="G139" s="64">
        <v>0</v>
      </c>
      <c r="H139" s="66">
        <v>0</v>
      </c>
      <c r="I139" s="64">
        <v>500000</v>
      </c>
      <c r="J139" s="132">
        <v>52482.02</v>
      </c>
      <c r="K139" s="66">
        <f t="shared" si="56"/>
        <v>0.10496403999999999</v>
      </c>
      <c r="L139" s="132"/>
      <c r="M139" s="134"/>
      <c r="N139" s="65">
        <f t="shared" si="55"/>
        <v>52482.02</v>
      </c>
      <c r="O139" s="50" t="s">
        <v>434</v>
      </c>
      <c r="P139" s="37"/>
    </row>
    <row r="140" spans="1:16" ht="230.25" thickTop="1" thickBot="1" x14ac:dyDescent="0.25">
      <c r="A140" s="112" t="s">
        <v>365</v>
      </c>
      <c r="B140" s="67" t="s">
        <v>366</v>
      </c>
      <c r="C140" s="67" t="s">
        <v>360</v>
      </c>
      <c r="D140" s="67" t="s">
        <v>367</v>
      </c>
      <c r="E140" s="64">
        <v>7697479.0599999996</v>
      </c>
      <c r="F140" s="64">
        <v>5489579.0599999996</v>
      </c>
      <c r="G140" s="64">
        <v>5422742.5499999998</v>
      </c>
      <c r="H140" s="66">
        <f>G140/F140</f>
        <v>0.98782483879556338</v>
      </c>
      <c r="I140" s="64"/>
      <c r="J140" s="132"/>
      <c r="K140" s="132"/>
      <c r="L140" s="132"/>
      <c r="M140" s="134"/>
      <c r="N140" s="65">
        <f t="shared" si="55"/>
        <v>5422742.5499999998</v>
      </c>
      <c r="O140" s="50"/>
      <c r="P140" s="37"/>
    </row>
    <row r="141" spans="1:16" ht="93" thickTop="1" thickBot="1" x14ac:dyDescent="0.25">
      <c r="A141" s="59"/>
      <c r="B141" s="67" t="s">
        <v>369</v>
      </c>
      <c r="C141" s="67" t="s">
        <v>360</v>
      </c>
      <c r="D141" s="67" t="s">
        <v>370</v>
      </c>
      <c r="E141" s="64">
        <v>262290242</v>
      </c>
      <c r="F141" s="64">
        <v>164750796</v>
      </c>
      <c r="G141" s="64">
        <v>150791659.83000001</v>
      </c>
      <c r="H141" s="66">
        <f t="shared" ref="H141" si="57">G141/F141</f>
        <v>0.91527120651969418</v>
      </c>
      <c r="I141" s="65">
        <v>673500</v>
      </c>
      <c r="J141" s="64">
        <v>8494.8700000000008</v>
      </c>
      <c r="K141" s="66">
        <f t="shared" si="56"/>
        <v>1.2613021529324427E-2</v>
      </c>
      <c r="L141" s="64"/>
      <c r="M141" s="134"/>
      <c r="N141" s="65">
        <f t="shared" si="55"/>
        <v>150800154.70000002</v>
      </c>
      <c r="O141" s="52"/>
      <c r="P141" s="37"/>
    </row>
    <row r="142" spans="1:16" ht="244.5" thickTop="1" thickBot="1" x14ac:dyDescent="0.25">
      <c r="A142" s="59"/>
      <c r="B142" s="68" t="s">
        <v>263</v>
      </c>
      <c r="C142" s="68"/>
      <c r="D142" s="68" t="s">
        <v>435</v>
      </c>
      <c r="E142" s="75">
        <f>SUM(E143:E145)</f>
        <v>39000</v>
      </c>
      <c r="F142" s="75">
        <f>SUM(F143:F145)</f>
        <v>39000</v>
      </c>
      <c r="G142" s="75">
        <f>SUM(G143:G145)</f>
        <v>0</v>
      </c>
      <c r="H142" s="70">
        <v>0</v>
      </c>
      <c r="I142" s="75">
        <f>SUM(I143:I145)</f>
        <v>6000000</v>
      </c>
      <c r="J142" s="75">
        <f>SUM(J143:J145)</f>
        <v>0</v>
      </c>
      <c r="K142" s="66">
        <f t="shared" si="56"/>
        <v>0</v>
      </c>
      <c r="L142" s="75"/>
      <c r="M142" s="137"/>
      <c r="N142" s="69">
        <f t="shared" si="55"/>
        <v>0</v>
      </c>
      <c r="O142" s="50" t="s">
        <v>434</v>
      </c>
      <c r="P142" s="37"/>
    </row>
    <row r="143" spans="1:16" ht="138.75" thickTop="1" thickBot="1" x14ac:dyDescent="0.25">
      <c r="A143" s="59" t="s">
        <v>368</v>
      </c>
      <c r="B143" s="67" t="s">
        <v>264</v>
      </c>
      <c r="C143" s="67" t="s">
        <v>265</v>
      </c>
      <c r="D143" s="67" t="s">
        <v>436</v>
      </c>
      <c r="E143" s="64"/>
      <c r="F143" s="64"/>
      <c r="G143" s="64"/>
      <c r="H143" s="66"/>
      <c r="I143" s="65">
        <v>6000000</v>
      </c>
      <c r="J143" s="64">
        <v>0</v>
      </c>
      <c r="K143" s="66">
        <f t="shared" si="56"/>
        <v>0</v>
      </c>
      <c r="L143" s="64"/>
      <c r="M143" s="134"/>
      <c r="N143" s="65">
        <f t="shared" si="55"/>
        <v>0</v>
      </c>
      <c r="P143" s="30"/>
    </row>
    <row r="144" spans="1:16" ht="409.6" hidden="1" thickTop="1" thickBot="1" x14ac:dyDescent="0.25">
      <c r="A144" s="59"/>
      <c r="B144" s="67" t="s">
        <v>496</v>
      </c>
      <c r="C144" s="67" t="s">
        <v>265</v>
      </c>
      <c r="D144" s="67" t="s">
        <v>497</v>
      </c>
      <c r="E144" s="64"/>
      <c r="F144" s="64"/>
      <c r="G144" s="64"/>
      <c r="H144" s="66"/>
      <c r="I144" s="91">
        <v>0</v>
      </c>
      <c r="J144" s="87">
        <v>0</v>
      </c>
      <c r="K144" s="88" t="e">
        <f t="shared" si="56"/>
        <v>#DIV/0!</v>
      </c>
      <c r="L144" s="87"/>
      <c r="M144" s="90"/>
      <c r="N144" s="91">
        <f t="shared" si="55"/>
        <v>0</v>
      </c>
      <c r="P144" s="30"/>
    </row>
    <row r="145" spans="1:16" ht="276" thickTop="1" thickBot="1" x14ac:dyDescent="0.25">
      <c r="A145" s="112"/>
      <c r="B145" s="118" t="s">
        <v>349</v>
      </c>
      <c r="C145" s="118" t="s">
        <v>265</v>
      </c>
      <c r="D145" s="67" t="s">
        <v>350</v>
      </c>
      <c r="E145" s="64">
        <v>39000</v>
      </c>
      <c r="F145" s="65">
        <v>39000</v>
      </c>
      <c r="G145" s="65">
        <v>0</v>
      </c>
      <c r="H145" s="66">
        <f>G145/F145</f>
        <v>0</v>
      </c>
      <c r="I145" s="65"/>
      <c r="J145" s="65"/>
      <c r="K145" s="65"/>
      <c r="L145" s="65"/>
      <c r="M145" s="134"/>
      <c r="N145" s="65">
        <f t="shared" si="55"/>
        <v>0</v>
      </c>
      <c r="O145" s="50"/>
      <c r="P145" s="30"/>
    </row>
    <row r="146" spans="1:16" ht="244.5" thickTop="1" thickBot="1" x14ac:dyDescent="0.25">
      <c r="A146" s="112"/>
      <c r="B146" s="67" t="s">
        <v>512</v>
      </c>
      <c r="C146" s="67" t="s">
        <v>513</v>
      </c>
      <c r="D146" s="67" t="s">
        <v>514</v>
      </c>
      <c r="E146" s="64">
        <v>239849</v>
      </c>
      <c r="F146" s="65">
        <v>0</v>
      </c>
      <c r="G146" s="65">
        <v>0</v>
      </c>
      <c r="H146" s="66">
        <v>0</v>
      </c>
      <c r="I146" s="65"/>
      <c r="J146" s="65"/>
      <c r="K146" s="65"/>
      <c r="L146" s="65"/>
      <c r="M146" s="134"/>
      <c r="N146" s="65">
        <f t="shared" si="55"/>
        <v>0</v>
      </c>
      <c r="O146" s="50" t="s">
        <v>434</v>
      </c>
      <c r="P146" s="30"/>
    </row>
    <row r="147" spans="1:16" s="38" customFormat="1" ht="101.25" customHeight="1" thickTop="1" thickBot="1" x14ac:dyDescent="0.25">
      <c r="A147" s="61" t="s">
        <v>371</v>
      </c>
      <c r="B147" s="107" t="s">
        <v>32</v>
      </c>
      <c r="C147" s="107"/>
      <c r="D147" s="108" t="s">
        <v>372</v>
      </c>
      <c r="E147" s="109">
        <f>E148+E150+E163+E171+E174</f>
        <v>184313750</v>
      </c>
      <c r="F147" s="109">
        <f>F148+F150+F163+F171+F174</f>
        <v>101990710.73999999</v>
      </c>
      <c r="G147" s="109">
        <f>G148+G150+G163+G171+G174</f>
        <v>85450214.48999998</v>
      </c>
      <c r="H147" s="110">
        <f>G147/F147</f>
        <v>0.83782350245439596</v>
      </c>
      <c r="I147" s="109">
        <f>I148+I150+I163+I171+I174</f>
        <v>145622505.02000001</v>
      </c>
      <c r="J147" s="109">
        <f>J148+J150+J163+J171+J174</f>
        <v>38649780.379999995</v>
      </c>
      <c r="K147" s="110">
        <f>J147/I147</f>
        <v>0.26541076446042305</v>
      </c>
      <c r="L147" s="109"/>
      <c r="M147" s="109"/>
      <c r="N147" s="111">
        <f>J147+G147</f>
        <v>124099994.86999997</v>
      </c>
      <c r="O147" s="53" t="b">
        <f>N147=N149+N151+N153+N157+N158+N162+N167+N170+N172+N175+N178+N179+N180+N181+N182+N184+N186+N165+N177+N161+N155+N159+N173+N168+N154+N156</f>
        <v>1</v>
      </c>
      <c r="P147" s="51"/>
    </row>
    <row r="148" spans="1:16" s="38" customFormat="1" ht="91.5" thickTop="1" thickBot="1" x14ac:dyDescent="0.25">
      <c r="A148" s="61"/>
      <c r="B148" s="120" t="s">
        <v>415</v>
      </c>
      <c r="C148" s="120"/>
      <c r="D148" s="120" t="s">
        <v>416</v>
      </c>
      <c r="E148" s="121">
        <f>SUM(E149)</f>
        <v>300000</v>
      </c>
      <c r="F148" s="121">
        <f>SUM(F149)</f>
        <v>300000</v>
      </c>
      <c r="G148" s="121">
        <f>SUM(G149)</f>
        <v>0</v>
      </c>
      <c r="H148" s="122">
        <f>G148/F148</f>
        <v>0</v>
      </c>
      <c r="I148" s="121">
        <f>SUM(I149)</f>
        <v>400000</v>
      </c>
      <c r="J148" s="121">
        <f t="shared" ref="J148" si="58">SUM(J149)</f>
        <v>3750</v>
      </c>
      <c r="K148" s="122">
        <f t="shared" ref="K148:K150" si="59">J148/I148</f>
        <v>9.3749999999999997E-3</v>
      </c>
      <c r="L148" s="121"/>
      <c r="M148" s="121"/>
      <c r="N148" s="121">
        <f t="shared" si="55"/>
        <v>3750</v>
      </c>
      <c r="O148" s="39"/>
      <c r="P148" s="51"/>
    </row>
    <row r="149" spans="1:16" s="38" customFormat="1" ht="93" thickTop="1" thickBot="1" x14ac:dyDescent="0.25">
      <c r="A149" s="61"/>
      <c r="B149" s="67" t="s">
        <v>417</v>
      </c>
      <c r="C149" s="67" t="s">
        <v>418</v>
      </c>
      <c r="D149" s="67" t="s">
        <v>419</v>
      </c>
      <c r="E149" s="65">
        <v>300000</v>
      </c>
      <c r="F149" s="65">
        <v>300000</v>
      </c>
      <c r="G149" s="65">
        <v>0</v>
      </c>
      <c r="H149" s="66">
        <f>-G149/F149</f>
        <v>0</v>
      </c>
      <c r="I149" s="65">
        <v>400000</v>
      </c>
      <c r="J149" s="65">
        <v>3750</v>
      </c>
      <c r="K149" s="66">
        <f>J149/I149</f>
        <v>9.3749999999999997E-3</v>
      </c>
      <c r="L149" s="65"/>
      <c r="M149" s="134"/>
      <c r="N149" s="65">
        <f t="shared" si="55"/>
        <v>3750</v>
      </c>
      <c r="O149" s="39"/>
      <c r="P149" s="51"/>
    </row>
    <row r="150" spans="1:16" s="38" customFormat="1" ht="91.5" thickTop="1" thickBot="1" x14ac:dyDescent="0.25">
      <c r="A150" s="61"/>
      <c r="B150" s="120" t="s">
        <v>266</v>
      </c>
      <c r="C150" s="120"/>
      <c r="D150" s="120" t="s">
        <v>267</v>
      </c>
      <c r="E150" s="124">
        <f>SUM(E151:E162)-E152-E160</f>
        <v>74340</v>
      </c>
      <c r="F150" s="124">
        <f>SUM(F151:F162)-F152-F160</f>
        <v>74340</v>
      </c>
      <c r="G150" s="124">
        <f>SUM(G151:G162)-G152-G160</f>
        <v>1470</v>
      </c>
      <c r="H150" s="122">
        <f>G150/F150</f>
        <v>1.977401129943503E-2</v>
      </c>
      <c r="I150" s="124">
        <f>SUM(I151:I162)-I152-I160</f>
        <v>12487927</v>
      </c>
      <c r="J150" s="124">
        <f>SUM(J151:J162)-J152-J160</f>
        <v>1065800.44</v>
      </c>
      <c r="K150" s="122">
        <f t="shared" si="59"/>
        <v>8.5346466230944495E-2</v>
      </c>
      <c r="L150" s="124"/>
      <c r="M150" s="124"/>
      <c r="N150" s="121">
        <f>G150+J150</f>
        <v>1067270.44</v>
      </c>
      <c r="O150" s="50"/>
      <c r="P150" s="51"/>
    </row>
    <row r="151" spans="1:16" s="38" customFormat="1" ht="93" thickTop="1" thickBot="1" x14ac:dyDescent="0.25">
      <c r="A151" s="61"/>
      <c r="B151" s="67" t="s">
        <v>381</v>
      </c>
      <c r="C151" s="67" t="s">
        <v>269</v>
      </c>
      <c r="D151" s="67" t="s">
        <v>530</v>
      </c>
      <c r="E151" s="64"/>
      <c r="F151" s="64"/>
      <c r="G151" s="64"/>
      <c r="H151" s="64"/>
      <c r="I151" s="65">
        <f>38726+2170000+706113</f>
        <v>2914839</v>
      </c>
      <c r="J151" s="64">
        <f>1000000</f>
        <v>1000000</v>
      </c>
      <c r="K151" s="66">
        <f>J151/I151</f>
        <v>0.34307212165062978</v>
      </c>
      <c r="L151" s="64"/>
      <c r="M151" s="134"/>
      <c r="N151" s="65">
        <f t="shared" si="55"/>
        <v>1000000</v>
      </c>
      <c r="O151" s="39"/>
      <c r="P151" s="51"/>
    </row>
    <row r="152" spans="1:16" s="38" customFormat="1" ht="138.75" thickTop="1" thickBot="1" x14ac:dyDescent="0.25">
      <c r="A152" s="61"/>
      <c r="B152" s="68" t="s">
        <v>268</v>
      </c>
      <c r="C152" s="68"/>
      <c r="D152" s="68" t="s">
        <v>531</v>
      </c>
      <c r="E152" s="69"/>
      <c r="F152" s="69"/>
      <c r="G152" s="69"/>
      <c r="H152" s="70"/>
      <c r="I152" s="69">
        <f>SUM(I153:I157)</f>
        <v>3417210</v>
      </c>
      <c r="J152" s="69">
        <f>SUM(J153:J157)</f>
        <v>32710.6</v>
      </c>
      <c r="K152" s="70">
        <f t="shared" ref="K152:K153" si="60">J152/I152</f>
        <v>9.5723119152759124E-3</v>
      </c>
      <c r="L152" s="69"/>
      <c r="M152" s="69"/>
      <c r="N152" s="69">
        <f t="shared" si="55"/>
        <v>32710.6</v>
      </c>
      <c r="O152" s="39"/>
      <c r="P152" s="51"/>
    </row>
    <row r="153" spans="1:16" s="38" customFormat="1" ht="93" thickTop="1" thickBot="1" x14ac:dyDescent="0.25">
      <c r="A153" s="61"/>
      <c r="B153" s="67" t="s">
        <v>397</v>
      </c>
      <c r="C153" s="67" t="s">
        <v>269</v>
      </c>
      <c r="D153" s="67" t="s">
        <v>532</v>
      </c>
      <c r="E153" s="65"/>
      <c r="F153" s="65"/>
      <c r="G153" s="65"/>
      <c r="H153" s="65"/>
      <c r="I153" s="65">
        <f>200000+1368719</f>
        <v>1568719</v>
      </c>
      <c r="J153" s="65">
        <v>0</v>
      </c>
      <c r="K153" s="66">
        <f t="shared" si="60"/>
        <v>0</v>
      </c>
      <c r="L153" s="65"/>
      <c r="M153" s="134"/>
      <c r="N153" s="65">
        <f t="shared" si="55"/>
        <v>0</v>
      </c>
      <c r="O153" s="39"/>
      <c r="P153" s="51"/>
    </row>
    <row r="154" spans="1:16" s="38" customFormat="1" ht="93" thickTop="1" thickBot="1" x14ac:dyDescent="0.25">
      <c r="A154" s="61"/>
      <c r="B154" s="67" t="s">
        <v>523</v>
      </c>
      <c r="C154" s="67" t="s">
        <v>269</v>
      </c>
      <c r="D154" s="67" t="s">
        <v>533</v>
      </c>
      <c r="E154" s="65"/>
      <c r="F154" s="65"/>
      <c r="G154" s="65"/>
      <c r="H154" s="65"/>
      <c r="I154" s="65">
        <v>300000</v>
      </c>
      <c r="J154" s="65">
        <v>0</v>
      </c>
      <c r="K154" s="66">
        <f t="shared" ref="K154" si="61">J154/I154</f>
        <v>0</v>
      </c>
      <c r="L154" s="65"/>
      <c r="M154" s="134"/>
      <c r="N154" s="65">
        <f t="shared" ref="N154" si="62">G154+J154</f>
        <v>0</v>
      </c>
      <c r="O154" s="39"/>
      <c r="P154" s="51"/>
    </row>
    <row r="155" spans="1:16" s="38" customFormat="1" ht="244.5" hidden="1" thickTop="1" thickBot="1" x14ac:dyDescent="0.25">
      <c r="A155" s="61"/>
      <c r="B155" s="67" t="s">
        <v>449</v>
      </c>
      <c r="C155" s="67" t="s">
        <v>269</v>
      </c>
      <c r="D155" s="67" t="s">
        <v>528</v>
      </c>
      <c r="E155" s="65"/>
      <c r="F155" s="65"/>
      <c r="G155" s="65"/>
      <c r="H155" s="65"/>
      <c r="I155" s="91">
        <v>0</v>
      </c>
      <c r="J155" s="91">
        <v>0</v>
      </c>
      <c r="K155" s="88">
        <v>0</v>
      </c>
      <c r="L155" s="91"/>
      <c r="M155" s="90"/>
      <c r="N155" s="91">
        <f t="shared" si="55"/>
        <v>0</v>
      </c>
      <c r="O155" s="50" t="s">
        <v>434</v>
      </c>
      <c r="P155" s="51"/>
    </row>
    <row r="156" spans="1:16" s="38" customFormat="1" ht="93" thickTop="1" thickBot="1" x14ac:dyDescent="0.25">
      <c r="A156" s="61"/>
      <c r="B156" s="67" t="s">
        <v>398</v>
      </c>
      <c r="C156" s="67" t="s">
        <v>269</v>
      </c>
      <c r="D156" s="67" t="s">
        <v>534</v>
      </c>
      <c r="E156" s="65"/>
      <c r="F156" s="65"/>
      <c r="G156" s="65"/>
      <c r="H156" s="65"/>
      <c r="I156" s="65">
        <v>1248491</v>
      </c>
      <c r="J156" s="65">
        <v>1594.6</v>
      </c>
      <c r="K156" s="66">
        <f t="shared" ref="K156" si="63">J156/I156</f>
        <v>1.2772218622320866E-3</v>
      </c>
      <c r="L156" s="65"/>
      <c r="M156" s="134"/>
      <c r="N156" s="65">
        <f t="shared" ref="N156" si="64">G156+J156</f>
        <v>1594.6</v>
      </c>
      <c r="O156" s="39"/>
      <c r="P156" s="51"/>
    </row>
    <row r="157" spans="1:16" s="38" customFormat="1" ht="138.75" thickTop="1" thickBot="1" x14ac:dyDescent="0.25">
      <c r="A157" s="61"/>
      <c r="B157" s="67" t="s">
        <v>524</v>
      </c>
      <c r="C157" s="67" t="s">
        <v>269</v>
      </c>
      <c r="D157" s="67" t="s">
        <v>529</v>
      </c>
      <c r="E157" s="65"/>
      <c r="F157" s="65"/>
      <c r="G157" s="65"/>
      <c r="H157" s="65"/>
      <c r="I157" s="65">
        <v>300000</v>
      </c>
      <c r="J157" s="65">
        <v>31116</v>
      </c>
      <c r="K157" s="66">
        <f t="shared" ref="K157:K163" si="65">J157/I157</f>
        <v>0.10372000000000001</v>
      </c>
      <c r="L157" s="65"/>
      <c r="M157" s="134"/>
      <c r="N157" s="65">
        <f t="shared" si="55"/>
        <v>31116</v>
      </c>
      <c r="O157" s="39"/>
      <c r="P157" s="51"/>
    </row>
    <row r="158" spans="1:16" s="38" customFormat="1" ht="93" thickTop="1" thickBot="1" x14ac:dyDescent="0.25">
      <c r="A158" s="61"/>
      <c r="B158" s="67" t="s">
        <v>399</v>
      </c>
      <c r="C158" s="67" t="s">
        <v>269</v>
      </c>
      <c r="D158" s="67" t="s">
        <v>535</v>
      </c>
      <c r="E158" s="65"/>
      <c r="F158" s="65"/>
      <c r="G158" s="65"/>
      <c r="H158" s="65"/>
      <c r="I158" s="65">
        <v>5048778</v>
      </c>
      <c r="J158" s="65">
        <v>33089.839999999997</v>
      </c>
      <c r="K158" s="66">
        <f t="shared" si="65"/>
        <v>6.5540295097150231E-3</v>
      </c>
      <c r="L158" s="65"/>
      <c r="M158" s="134"/>
      <c r="N158" s="65">
        <f t="shared" si="55"/>
        <v>33089.839999999997</v>
      </c>
      <c r="O158" s="39"/>
      <c r="P158" s="51"/>
    </row>
    <row r="159" spans="1:16" s="38" customFormat="1" ht="184.5" thickTop="1" thickBot="1" x14ac:dyDescent="0.25">
      <c r="A159" s="61"/>
      <c r="B159" s="67" t="s">
        <v>450</v>
      </c>
      <c r="C159" s="67" t="s">
        <v>269</v>
      </c>
      <c r="D159" s="67" t="s">
        <v>451</v>
      </c>
      <c r="E159" s="65"/>
      <c r="F159" s="65"/>
      <c r="G159" s="65"/>
      <c r="H159" s="65"/>
      <c r="I159" s="65">
        <v>1107100</v>
      </c>
      <c r="J159" s="65">
        <v>0</v>
      </c>
      <c r="K159" s="66">
        <f t="shared" si="65"/>
        <v>0</v>
      </c>
      <c r="L159" s="65"/>
      <c r="M159" s="134"/>
      <c r="N159" s="65">
        <f t="shared" si="55"/>
        <v>0</v>
      </c>
      <c r="O159" s="39"/>
      <c r="P159" s="51"/>
    </row>
    <row r="160" spans="1:16" s="38" customFormat="1" ht="244.5" hidden="1" thickTop="1" thickBot="1" x14ac:dyDescent="0.25">
      <c r="A160" s="61"/>
      <c r="B160" s="68" t="s">
        <v>498</v>
      </c>
      <c r="C160" s="68"/>
      <c r="D160" s="68" t="s">
        <v>500</v>
      </c>
      <c r="E160" s="69">
        <f>E161</f>
        <v>0</v>
      </c>
      <c r="F160" s="69">
        <f t="shared" ref="F160:G160" si="66">F161</f>
        <v>0</v>
      </c>
      <c r="G160" s="69">
        <f t="shared" si="66"/>
        <v>0</v>
      </c>
      <c r="H160" s="70">
        <v>0</v>
      </c>
      <c r="I160" s="95">
        <f>I161</f>
        <v>0</v>
      </c>
      <c r="J160" s="95">
        <f>J161</f>
        <v>0</v>
      </c>
      <c r="K160" s="88" t="e">
        <f t="shared" si="65"/>
        <v>#DIV/0!</v>
      </c>
      <c r="L160" s="95"/>
      <c r="M160" s="95"/>
      <c r="N160" s="95">
        <f t="shared" si="55"/>
        <v>0</v>
      </c>
      <c r="O160" s="50" t="s">
        <v>434</v>
      </c>
      <c r="P160" s="51"/>
    </row>
    <row r="161" spans="1:16" s="38" customFormat="1" ht="230.25" hidden="1" thickTop="1" thickBot="1" x14ac:dyDescent="0.25">
      <c r="A161" s="61"/>
      <c r="B161" s="67" t="s">
        <v>499</v>
      </c>
      <c r="C161" s="67" t="s">
        <v>40</v>
      </c>
      <c r="D161" s="67" t="s">
        <v>501</v>
      </c>
      <c r="E161" s="65"/>
      <c r="F161" s="65"/>
      <c r="G161" s="65"/>
      <c r="H161" s="65"/>
      <c r="I161" s="91"/>
      <c r="J161" s="91">
        <v>0</v>
      </c>
      <c r="K161" s="88" t="e">
        <f t="shared" si="65"/>
        <v>#DIV/0!</v>
      </c>
      <c r="L161" s="91"/>
      <c r="M161" s="90"/>
      <c r="N161" s="91">
        <f t="shared" si="55"/>
        <v>0</v>
      </c>
      <c r="O161" s="39"/>
      <c r="P161" s="51"/>
    </row>
    <row r="162" spans="1:16" s="38" customFormat="1" ht="138.75" thickTop="1" thickBot="1" x14ac:dyDescent="0.25">
      <c r="A162" s="61"/>
      <c r="B162" s="67" t="s">
        <v>400</v>
      </c>
      <c r="C162" s="67" t="s">
        <v>40</v>
      </c>
      <c r="D162" s="67" t="s">
        <v>401</v>
      </c>
      <c r="E162" s="65">
        <v>74340</v>
      </c>
      <c r="F162" s="65">
        <v>74340</v>
      </c>
      <c r="G162" s="65">
        <v>1470</v>
      </c>
      <c r="H162" s="66">
        <f>G162/F162</f>
        <v>1.977401129943503E-2</v>
      </c>
      <c r="I162" s="65"/>
      <c r="J162" s="65"/>
      <c r="K162" s="66"/>
      <c r="L162" s="65"/>
      <c r="M162" s="134"/>
      <c r="N162" s="65">
        <f>G162+J162</f>
        <v>1470</v>
      </c>
      <c r="O162" s="50"/>
      <c r="P162" s="51"/>
    </row>
    <row r="163" spans="1:16" s="38" customFormat="1" ht="136.5" thickTop="1" thickBot="1" x14ac:dyDescent="0.25">
      <c r="A163" s="125"/>
      <c r="B163" s="120" t="s">
        <v>382</v>
      </c>
      <c r="C163" s="120"/>
      <c r="D163" s="120" t="s">
        <v>383</v>
      </c>
      <c r="E163" s="121">
        <f>SUM(E164:E170)-E166-E169-E164</f>
        <v>162557300</v>
      </c>
      <c r="F163" s="121">
        <f>SUM(F164:F170)-F166-F169-F164</f>
        <v>91248920</v>
      </c>
      <c r="G163" s="121">
        <f>SUM(G164:G170)-G166-G169-G164</f>
        <v>78121679.929999977</v>
      </c>
      <c r="H163" s="122">
        <f t="shared" ref="H163:H179" si="67">G163/F163</f>
        <v>0.85613813215542689</v>
      </c>
      <c r="I163" s="121">
        <f>SUM(I164:I170)-I166-I169-I164</f>
        <v>25085270</v>
      </c>
      <c r="J163" s="121">
        <f>SUM(J164:J170)-J166-J169-J164</f>
        <v>4684705.3099999996</v>
      </c>
      <c r="K163" s="122">
        <f t="shared" si="65"/>
        <v>0.18675124126628892</v>
      </c>
      <c r="L163" s="121"/>
      <c r="M163" s="121"/>
      <c r="N163" s="121">
        <f>G163+J163</f>
        <v>82806385.23999998</v>
      </c>
      <c r="O163" s="39"/>
      <c r="P163" s="51"/>
    </row>
    <row r="164" spans="1:16" s="38" customFormat="1" ht="244.5" hidden="1" thickTop="1" thickBot="1" x14ac:dyDescent="0.25">
      <c r="A164" s="125"/>
      <c r="B164" s="68" t="s">
        <v>466</v>
      </c>
      <c r="C164" s="68"/>
      <c r="D164" s="68" t="s">
        <v>467</v>
      </c>
      <c r="E164" s="69">
        <f>E165</f>
        <v>0</v>
      </c>
      <c r="F164" s="69">
        <f>F165</f>
        <v>0</v>
      </c>
      <c r="G164" s="69">
        <f>G165</f>
        <v>0</v>
      </c>
      <c r="H164" s="70" t="e">
        <f t="shared" si="67"/>
        <v>#DIV/0!</v>
      </c>
      <c r="I164" s="69">
        <f>I165</f>
        <v>0</v>
      </c>
      <c r="J164" s="69">
        <f>J165</f>
        <v>0</v>
      </c>
      <c r="K164" s="66">
        <v>0</v>
      </c>
      <c r="L164" s="69"/>
      <c r="M164" s="69"/>
      <c r="N164" s="69">
        <f t="shared" si="55"/>
        <v>0</v>
      </c>
      <c r="O164" s="50" t="s">
        <v>434</v>
      </c>
      <c r="P164" s="51"/>
    </row>
    <row r="165" spans="1:16" s="38" customFormat="1" ht="93" hidden="1" thickTop="1" thickBot="1" x14ac:dyDescent="0.25">
      <c r="A165" s="125"/>
      <c r="B165" s="67" t="s">
        <v>468</v>
      </c>
      <c r="C165" s="67" t="s">
        <v>469</v>
      </c>
      <c r="D165" s="67" t="s">
        <v>470</v>
      </c>
      <c r="E165" s="65"/>
      <c r="F165" s="65"/>
      <c r="G165" s="65"/>
      <c r="H165" s="66" t="e">
        <f t="shared" ref="H165:H171" si="68">G165/F165</f>
        <v>#DIV/0!</v>
      </c>
      <c r="I165" s="65"/>
      <c r="J165" s="65"/>
      <c r="K165" s="65"/>
      <c r="L165" s="65"/>
      <c r="M165" s="134"/>
      <c r="N165" s="65">
        <f t="shared" si="55"/>
        <v>0</v>
      </c>
      <c r="O165" s="39"/>
      <c r="P165" s="51"/>
    </row>
    <row r="166" spans="1:16" s="38" customFormat="1" ht="138.75" thickTop="1" thickBot="1" x14ac:dyDescent="0.25">
      <c r="A166" s="125"/>
      <c r="B166" s="68" t="s">
        <v>402</v>
      </c>
      <c r="C166" s="68"/>
      <c r="D166" s="68" t="s">
        <v>403</v>
      </c>
      <c r="E166" s="69">
        <f t="shared" ref="E166:G166" si="69">E167</f>
        <v>117516800</v>
      </c>
      <c r="F166" s="69">
        <f t="shared" si="69"/>
        <v>84492420</v>
      </c>
      <c r="G166" s="69">
        <f t="shared" si="69"/>
        <v>76669055.700000003</v>
      </c>
      <c r="H166" s="70">
        <f t="shared" si="68"/>
        <v>0.90740750116992752</v>
      </c>
      <c r="I166" s="69"/>
      <c r="J166" s="69"/>
      <c r="K166" s="70"/>
      <c r="L166" s="69"/>
      <c r="M166" s="69"/>
      <c r="N166" s="69">
        <f t="shared" si="55"/>
        <v>76669055.700000003</v>
      </c>
      <c r="O166" s="50"/>
      <c r="P166" s="51"/>
    </row>
    <row r="167" spans="1:16" s="38" customFormat="1" ht="93" thickTop="1" thickBot="1" x14ac:dyDescent="0.25">
      <c r="A167" s="125"/>
      <c r="B167" s="67" t="s">
        <v>404</v>
      </c>
      <c r="C167" s="67" t="s">
        <v>405</v>
      </c>
      <c r="D167" s="67" t="s">
        <v>406</v>
      </c>
      <c r="E167" s="65">
        <v>117516800</v>
      </c>
      <c r="F167" s="65">
        <v>84492420</v>
      </c>
      <c r="G167" s="65">
        <v>76669055.700000003</v>
      </c>
      <c r="H167" s="66">
        <f t="shared" si="68"/>
        <v>0.90740750116992752</v>
      </c>
      <c r="I167" s="65"/>
      <c r="J167" s="65"/>
      <c r="K167" s="65"/>
      <c r="L167" s="65"/>
      <c r="M167" s="134"/>
      <c r="N167" s="65">
        <f t="shared" si="55"/>
        <v>76669055.700000003</v>
      </c>
      <c r="O167" s="39"/>
      <c r="P167" s="51"/>
    </row>
    <row r="168" spans="1:16" s="38" customFormat="1" ht="93" thickTop="1" thickBot="1" x14ac:dyDescent="0.25">
      <c r="A168" s="125"/>
      <c r="B168" s="67" t="s">
        <v>515</v>
      </c>
      <c r="C168" s="67" t="s">
        <v>385</v>
      </c>
      <c r="D168" s="67" t="s">
        <v>516</v>
      </c>
      <c r="E168" s="65">
        <v>150000</v>
      </c>
      <c r="F168" s="65">
        <v>150000</v>
      </c>
      <c r="G168" s="65">
        <v>150000</v>
      </c>
      <c r="H168" s="66">
        <f t="shared" si="68"/>
        <v>1</v>
      </c>
      <c r="I168" s="65"/>
      <c r="J168" s="65"/>
      <c r="K168" s="65"/>
      <c r="L168" s="65"/>
      <c r="M168" s="134"/>
      <c r="N168" s="65">
        <f t="shared" si="55"/>
        <v>150000</v>
      </c>
      <c r="O168" s="50"/>
      <c r="P168" s="51"/>
    </row>
    <row r="169" spans="1:16" s="38" customFormat="1" ht="138.75" thickTop="1" thickBot="1" x14ac:dyDescent="0.25">
      <c r="A169" s="125"/>
      <c r="B169" s="68" t="s">
        <v>447</v>
      </c>
      <c r="C169" s="68"/>
      <c r="D169" s="68" t="s">
        <v>448</v>
      </c>
      <c r="E169" s="69">
        <f>E170</f>
        <v>44890500</v>
      </c>
      <c r="F169" s="69">
        <f>F170</f>
        <v>6606500</v>
      </c>
      <c r="G169" s="69">
        <f>G170</f>
        <v>1302624.23</v>
      </c>
      <c r="H169" s="66">
        <f t="shared" si="68"/>
        <v>0.19717312192537653</v>
      </c>
      <c r="I169" s="69">
        <f>I170</f>
        <v>25085270</v>
      </c>
      <c r="J169" s="69">
        <f>J170</f>
        <v>4684705.3099999996</v>
      </c>
      <c r="K169" s="70">
        <f t="shared" ref="K169:K170" si="70">J169/I169</f>
        <v>0.18675124126628892</v>
      </c>
      <c r="L169" s="69"/>
      <c r="M169" s="137"/>
      <c r="N169" s="69">
        <f t="shared" si="55"/>
        <v>5987329.5399999991</v>
      </c>
      <c r="O169" s="39"/>
      <c r="P169" s="51"/>
    </row>
    <row r="170" spans="1:16" s="38" customFormat="1" ht="230.25" thickTop="1" thickBot="1" x14ac:dyDescent="0.25">
      <c r="A170" s="125"/>
      <c r="B170" s="67" t="s">
        <v>384</v>
      </c>
      <c r="C170" s="67" t="s">
        <v>385</v>
      </c>
      <c r="D170" s="67" t="s">
        <v>386</v>
      </c>
      <c r="E170" s="64">
        <v>44890500</v>
      </c>
      <c r="F170" s="64">
        <v>6606500</v>
      </c>
      <c r="G170" s="64">
        <v>1302624.23</v>
      </c>
      <c r="H170" s="66">
        <f t="shared" si="68"/>
        <v>0.19717312192537653</v>
      </c>
      <c r="I170" s="64">
        <v>25085270</v>
      </c>
      <c r="J170" s="132">
        <v>4684705.3099999996</v>
      </c>
      <c r="K170" s="66">
        <f t="shared" si="70"/>
        <v>0.18675124126628892</v>
      </c>
      <c r="L170" s="132"/>
      <c r="M170" s="134"/>
      <c r="N170" s="65">
        <f t="shared" si="55"/>
        <v>5987329.5399999991</v>
      </c>
      <c r="O170" s="50"/>
      <c r="P170" s="51"/>
    </row>
    <row r="171" spans="1:16" s="38" customFormat="1" ht="91.5" thickTop="1" thickBot="1" x14ac:dyDescent="0.25">
      <c r="A171" s="125"/>
      <c r="B171" s="120" t="s">
        <v>33</v>
      </c>
      <c r="C171" s="126"/>
      <c r="D171" s="120" t="s">
        <v>34</v>
      </c>
      <c r="E171" s="124">
        <f>E172+E173</f>
        <v>4612300</v>
      </c>
      <c r="F171" s="124">
        <f>F172+F173</f>
        <v>3459240</v>
      </c>
      <c r="G171" s="124">
        <f>G172+G173</f>
        <v>2942245.55</v>
      </c>
      <c r="H171" s="122">
        <f t="shared" si="68"/>
        <v>0.85054681086018891</v>
      </c>
      <c r="I171" s="124">
        <f>I172+I173</f>
        <v>1000000</v>
      </c>
      <c r="J171" s="124">
        <f>J172+J173</f>
        <v>0</v>
      </c>
      <c r="K171" s="122">
        <f>J171/I171</f>
        <v>0</v>
      </c>
      <c r="L171" s="139"/>
      <c r="M171" s="139"/>
      <c r="N171" s="121">
        <f>G171+J171</f>
        <v>2942245.55</v>
      </c>
      <c r="O171" s="39"/>
      <c r="P171" s="51"/>
    </row>
    <row r="172" spans="1:16" s="38" customFormat="1" ht="93" thickTop="1" thickBot="1" x14ac:dyDescent="0.25">
      <c r="A172" s="125"/>
      <c r="B172" s="67" t="s">
        <v>35</v>
      </c>
      <c r="C172" s="67" t="s">
        <v>502</v>
      </c>
      <c r="D172" s="67" t="s">
        <v>36</v>
      </c>
      <c r="E172" s="64">
        <v>4612300</v>
      </c>
      <c r="F172" s="64">
        <v>3459240</v>
      </c>
      <c r="G172" s="64">
        <v>2942245.55</v>
      </c>
      <c r="H172" s="66">
        <f t="shared" si="67"/>
        <v>0.85054681086018891</v>
      </c>
      <c r="I172" s="64">
        <v>1000000</v>
      </c>
      <c r="J172" s="64">
        <v>0</v>
      </c>
      <c r="K172" s="66">
        <f>J172/I172</f>
        <v>0</v>
      </c>
      <c r="L172" s="139"/>
      <c r="M172" s="139"/>
      <c r="N172" s="65">
        <f t="shared" si="55"/>
        <v>2942245.55</v>
      </c>
      <c r="O172" s="39"/>
      <c r="P172" s="51"/>
    </row>
    <row r="173" spans="1:16" s="38" customFormat="1" ht="244.5" hidden="1" thickTop="1" thickBot="1" x14ac:dyDescent="0.25">
      <c r="A173" s="125"/>
      <c r="B173" s="67" t="s">
        <v>452</v>
      </c>
      <c r="C173" s="67" t="s">
        <v>502</v>
      </c>
      <c r="D173" s="67" t="s">
        <v>453</v>
      </c>
      <c r="E173" s="64"/>
      <c r="F173" s="64"/>
      <c r="G173" s="64"/>
      <c r="H173" s="66" t="e">
        <f>G173/F173</f>
        <v>#DIV/0!</v>
      </c>
      <c r="I173" s="87">
        <v>0</v>
      </c>
      <c r="J173" s="87">
        <v>0</v>
      </c>
      <c r="K173" s="88">
        <v>0</v>
      </c>
      <c r="L173" s="106"/>
      <c r="M173" s="106"/>
      <c r="N173" s="91">
        <f t="shared" si="55"/>
        <v>0</v>
      </c>
      <c r="O173" s="50" t="s">
        <v>434</v>
      </c>
      <c r="P173" s="51"/>
    </row>
    <row r="174" spans="1:16" s="38" customFormat="1" ht="136.5" thickTop="1" thickBot="1" x14ac:dyDescent="0.25">
      <c r="A174" s="125"/>
      <c r="B174" s="120" t="s">
        <v>37</v>
      </c>
      <c r="C174" s="126"/>
      <c r="D174" s="120" t="s">
        <v>38</v>
      </c>
      <c r="E174" s="124">
        <f>SUM(E175:E186)-E183-E176</f>
        <v>16769810</v>
      </c>
      <c r="F174" s="124">
        <f>SUM(F175:F186)-F183-F176</f>
        <v>6908210.7400000002</v>
      </c>
      <c r="G174" s="124">
        <f>SUM(G175:G186)-G183-G176</f>
        <v>4384819.0100000007</v>
      </c>
      <c r="H174" s="122">
        <f t="shared" si="67"/>
        <v>0.63472571625688423</v>
      </c>
      <c r="I174" s="124">
        <f>SUM(I175:I186)-I183-I176</f>
        <v>106649308.02000001</v>
      </c>
      <c r="J174" s="124">
        <f>SUM(J175:J186)-J183-J176</f>
        <v>32895524.629999999</v>
      </c>
      <c r="K174" s="122">
        <f>J174/I174</f>
        <v>0.30844573903687289</v>
      </c>
      <c r="L174" s="139"/>
      <c r="M174" s="139"/>
      <c r="N174" s="121">
        <f t="shared" si="55"/>
        <v>37280343.640000001</v>
      </c>
      <c r="O174" s="39"/>
      <c r="P174" s="51"/>
    </row>
    <row r="175" spans="1:16" s="38" customFormat="1" ht="93" thickTop="1" thickBot="1" x14ac:dyDescent="0.25">
      <c r="A175" s="125"/>
      <c r="B175" s="67" t="s">
        <v>407</v>
      </c>
      <c r="C175" s="67" t="s">
        <v>408</v>
      </c>
      <c r="D175" s="67" t="s">
        <v>409</v>
      </c>
      <c r="E175" s="65">
        <v>5260060</v>
      </c>
      <c r="F175" s="65">
        <v>1686326.74</v>
      </c>
      <c r="G175" s="65">
        <v>706283.8</v>
      </c>
      <c r="H175" s="66">
        <f t="shared" si="67"/>
        <v>0.41882974588898475</v>
      </c>
      <c r="I175" s="65"/>
      <c r="J175" s="65"/>
      <c r="K175" s="66"/>
      <c r="L175" s="65"/>
      <c r="M175" s="134"/>
      <c r="N175" s="65">
        <f t="shared" si="55"/>
        <v>706283.8</v>
      </c>
      <c r="O175" s="39"/>
      <c r="P175" s="51"/>
    </row>
    <row r="176" spans="1:16" s="38" customFormat="1" ht="93" thickTop="1" thickBot="1" x14ac:dyDescent="0.25">
      <c r="A176" s="61"/>
      <c r="B176" s="68" t="s">
        <v>471</v>
      </c>
      <c r="C176" s="68"/>
      <c r="D176" s="68" t="s">
        <v>473</v>
      </c>
      <c r="E176" s="69">
        <f>E177</f>
        <v>1019860</v>
      </c>
      <c r="F176" s="69">
        <f>F177</f>
        <v>765000</v>
      </c>
      <c r="G176" s="69">
        <f>G177</f>
        <v>654513.51</v>
      </c>
      <c r="H176" s="70">
        <f t="shared" si="67"/>
        <v>0.85557321568627454</v>
      </c>
      <c r="I176" s="69">
        <f>I177</f>
        <v>0</v>
      </c>
      <c r="J176" s="69">
        <f>J177</f>
        <v>0</v>
      </c>
      <c r="K176" s="70">
        <v>0</v>
      </c>
      <c r="L176" s="69"/>
      <c r="M176" s="137"/>
      <c r="N176" s="69">
        <f t="shared" si="55"/>
        <v>654513.51</v>
      </c>
      <c r="O176" s="150" t="s">
        <v>434</v>
      </c>
      <c r="P176" s="151"/>
    </row>
    <row r="177" spans="1:16" s="38" customFormat="1" ht="93" thickTop="1" thickBot="1" x14ac:dyDescent="0.25">
      <c r="A177" s="125"/>
      <c r="B177" s="67" t="s">
        <v>472</v>
      </c>
      <c r="C177" s="67" t="s">
        <v>374</v>
      </c>
      <c r="D177" s="67" t="s">
        <v>474</v>
      </c>
      <c r="E177" s="65">
        <v>1019860</v>
      </c>
      <c r="F177" s="65">
        <v>765000</v>
      </c>
      <c r="G177" s="65">
        <v>654513.51</v>
      </c>
      <c r="H177" s="66">
        <f t="shared" si="67"/>
        <v>0.85557321568627454</v>
      </c>
      <c r="I177" s="65"/>
      <c r="J177" s="65"/>
      <c r="K177" s="66"/>
      <c r="L177" s="65"/>
      <c r="M177" s="134"/>
      <c r="N177" s="65">
        <f t="shared" si="55"/>
        <v>654513.51</v>
      </c>
      <c r="O177" s="39"/>
      <c r="P177" s="51"/>
    </row>
    <row r="178" spans="1:16" s="38" customFormat="1" ht="138.75" thickTop="1" thickBot="1" x14ac:dyDescent="0.25">
      <c r="A178" s="125"/>
      <c r="B178" s="67" t="s">
        <v>410</v>
      </c>
      <c r="C178" s="67" t="s">
        <v>374</v>
      </c>
      <c r="D178" s="67" t="s">
        <v>411</v>
      </c>
      <c r="E178" s="65">
        <v>1085000</v>
      </c>
      <c r="F178" s="65">
        <v>80189</v>
      </c>
      <c r="G178" s="65">
        <v>37553</v>
      </c>
      <c r="H178" s="66">
        <f t="shared" si="67"/>
        <v>0.46830612677549288</v>
      </c>
      <c r="I178" s="65"/>
      <c r="J178" s="65"/>
      <c r="K178" s="65"/>
      <c r="L178" s="65"/>
      <c r="M178" s="134"/>
      <c r="N178" s="65">
        <f t="shared" si="55"/>
        <v>37553</v>
      </c>
      <c r="O178" s="39"/>
      <c r="P178" s="51"/>
    </row>
    <row r="179" spans="1:16" s="38" customFormat="1" ht="62.25" thickTop="1" thickBot="1" x14ac:dyDescent="0.25">
      <c r="A179" s="125"/>
      <c r="B179" s="67" t="s">
        <v>373</v>
      </c>
      <c r="C179" s="67" t="s">
        <v>374</v>
      </c>
      <c r="D179" s="67" t="s">
        <v>375</v>
      </c>
      <c r="E179" s="64">
        <v>2000000</v>
      </c>
      <c r="F179" s="64">
        <v>1450000</v>
      </c>
      <c r="G179" s="64">
        <v>1000000</v>
      </c>
      <c r="H179" s="66">
        <f t="shared" si="67"/>
        <v>0.68965517241379315</v>
      </c>
      <c r="I179" s="65">
        <f>50830000+3599821.06+13296993.59</f>
        <v>67726814.650000006</v>
      </c>
      <c r="J179" s="64">
        <f>1067310.86</f>
        <v>1067310.8600000001</v>
      </c>
      <c r="K179" s="66">
        <f>J179/I179</f>
        <v>1.5759058882595774E-2</v>
      </c>
      <c r="L179" s="64"/>
      <c r="M179" s="134"/>
      <c r="N179" s="65">
        <f t="shared" si="55"/>
        <v>2067310.86</v>
      </c>
      <c r="O179" s="150" t="s">
        <v>434</v>
      </c>
      <c r="P179" s="151"/>
    </row>
    <row r="180" spans="1:16" s="38" customFormat="1" ht="138.75" thickTop="1" thickBot="1" x14ac:dyDescent="0.25">
      <c r="A180" s="125"/>
      <c r="B180" s="67" t="s">
        <v>420</v>
      </c>
      <c r="C180" s="67" t="s">
        <v>40</v>
      </c>
      <c r="D180" s="67" t="s">
        <v>421</v>
      </c>
      <c r="E180" s="65"/>
      <c r="F180" s="65"/>
      <c r="G180" s="65"/>
      <c r="H180" s="65"/>
      <c r="I180" s="65">
        <v>50000</v>
      </c>
      <c r="J180" s="65">
        <v>1500</v>
      </c>
      <c r="K180" s="66">
        <f>J180/I180</f>
        <v>0.03</v>
      </c>
      <c r="L180" s="65"/>
      <c r="M180" s="134"/>
      <c r="N180" s="65">
        <f t="shared" si="55"/>
        <v>1500</v>
      </c>
      <c r="O180" s="39"/>
      <c r="P180" s="51"/>
    </row>
    <row r="181" spans="1:16" s="38" customFormat="1" ht="93" thickTop="1" thickBot="1" x14ac:dyDescent="0.25">
      <c r="A181" s="125"/>
      <c r="B181" s="67" t="s">
        <v>189</v>
      </c>
      <c r="C181" s="67" t="s">
        <v>40</v>
      </c>
      <c r="D181" s="67" t="s">
        <v>190</v>
      </c>
      <c r="E181" s="64"/>
      <c r="F181" s="64"/>
      <c r="G181" s="64"/>
      <c r="H181" s="64"/>
      <c r="I181" s="65">
        <f>14000+300000+5464001+23631150</f>
        <v>29409151</v>
      </c>
      <c r="J181" s="64">
        <f>14000+3244416.79+23631150</f>
        <v>26889566.789999999</v>
      </c>
      <c r="K181" s="66">
        <f>J181/I181</f>
        <v>0.91432652340082854</v>
      </c>
      <c r="L181" s="64"/>
      <c r="M181" s="134"/>
      <c r="N181" s="65">
        <f t="shared" si="55"/>
        <v>26889566.789999999</v>
      </c>
      <c r="O181" s="39"/>
      <c r="P181" s="51"/>
    </row>
    <row r="182" spans="1:16" s="38" customFormat="1" ht="138.75" thickTop="1" thickBot="1" x14ac:dyDescent="0.25">
      <c r="A182" s="125"/>
      <c r="B182" s="67" t="s">
        <v>39</v>
      </c>
      <c r="C182" s="67" t="s">
        <v>40</v>
      </c>
      <c r="D182" s="67" t="s">
        <v>41</v>
      </c>
      <c r="E182" s="65">
        <v>380000</v>
      </c>
      <c r="F182" s="65">
        <v>292520</v>
      </c>
      <c r="G182" s="65">
        <v>48870.5</v>
      </c>
      <c r="H182" s="66">
        <f t="shared" ref="H182:H183" si="71">G182/F182</f>
        <v>0.16706720907972106</v>
      </c>
      <c r="I182" s="139"/>
      <c r="J182" s="139"/>
      <c r="K182" s="139"/>
      <c r="L182" s="139"/>
      <c r="M182" s="139"/>
      <c r="N182" s="65">
        <f t="shared" si="55"/>
        <v>48870.5</v>
      </c>
      <c r="O182" s="39"/>
      <c r="P182" s="51"/>
    </row>
    <row r="183" spans="1:16" s="38" customFormat="1" ht="48" thickTop="1" thickBot="1" x14ac:dyDescent="0.25">
      <c r="A183" s="125"/>
      <c r="B183" s="68" t="s">
        <v>42</v>
      </c>
      <c r="C183" s="68"/>
      <c r="D183" s="68" t="s">
        <v>376</v>
      </c>
      <c r="E183" s="75">
        <f>SUM(E184:E186)</f>
        <v>7024890</v>
      </c>
      <c r="F183" s="75">
        <f>SUM(F184:F186)</f>
        <v>2634175</v>
      </c>
      <c r="G183" s="75">
        <f>SUM(G184:G186)</f>
        <v>1937598.2</v>
      </c>
      <c r="H183" s="70">
        <f t="shared" si="71"/>
        <v>0.73556168439834102</v>
      </c>
      <c r="I183" s="75">
        <f>SUM(I184:I186)</f>
        <v>9463342.370000001</v>
      </c>
      <c r="J183" s="75">
        <f>SUM(J184:J186)</f>
        <v>4937146.9800000004</v>
      </c>
      <c r="K183" s="70">
        <f>J183/I183</f>
        <v>0.52171281424324079</v>
      </c>
      <c r="L183" s="75"/>
      <c r="M183" s="75"/>
      <c r="N183" s="69">
        <f t="shared" si="55"/>
        <v>6874745.1800000006</v>
      </c>
      <c r="O183" s="39"/>
      <c r="P183" s="51"/>
    </row>
    <row r="184" spans="1:16" s="38" customFormat="1" ht="409.6" thickTop="1" thickBot="1" x14ac:dyDescent="0.7">
      <c r="A184" s="125"/>
      <c r="B184" s="152" t="s">
        <v>43</v>
      </c>
      <c r="C184" s="152" t="s">
        <v>40</v>
      </c>
      <c r="D184" s="127" t="s">
        <v>44</v>
      </c>
      <c r="E184" s="154"/>
      <c r="F184" s="154"/>
      <c r="G184" s="154"/>
      <c r="H184" s="154"/>
      <c r="I184" s="154">
        <f>6014342.37+465000+884000+1300000</f>
        <v>8663342.370000001</v>
      </c>
      <c r="J184" s="154">
        <f>4409944.65+454730+68192.75+4279.58</f>
        <v>4937146.9800000004</v>
      </c>
      <c r="K184" s="156">
        <f>J184/I184</f>
        <v>0.56988939939585925</v>
      </c>
      <c r="L184" s="154"/>
      <c r="M184" s="161"/>
      <c r="N184" s="154">
        <f>J184+G184</f>
        <v>4937146.9800000004</v>
      </c>
      <c r="O184" s="39"/>
      <c r="P184" s="51"/>
    </row>
    <row r="185" spans="1:16" s="38" customFormat="1" ht="184.5" thickTop="1" thickBot="1" x14ac:dyDescent="0.25">
      <c r="A185" s="125"/>
      <c r="B185" s="153"/>
      <c r="C185" s="153"/>
      <c r="D185" s="128" t="s">
        <v>45</v>
      </c>
      <c r="E185" s="155"/>
      <c r="F185" s="155"/>
      <c r="G185" s="155"/>
      <c r="H185" s="155"/>
      <c r="I185" s="155"/>
      <c r="J185" s="155"/>
      <c r="K185" s="157"/>
      <c r="L185" s="155"/>
      <c r="M185" s="162"/>
      <c r="N185" s="155"/>
      <c r="O185" s="39"/>
      <c r="P185" s="51"/>
    </row>
    <row r="186" spans="1:16" s="38" customFormat="1" ht="93" thickTop="1" thickBot="1" x14ac:dyDescent="0.25">
      <c r="A186" s="125"/>
      <c r="B186" s="67" t="s">
        <v>46</v>
      </c>
      <c r="C186" s="67" t="s">
        <v>40</v>
      </c>
      <c r="D186" s="67" t="s">
        <v>47</v>
      </c>
      <c r="E186" s="65">
        <v>7024890</v>
      </c>
      <c r="F186" s="65">
        <v>2634175</v>
      </c>
      <c r="G186" s="65">
        <v>1937598.2</v>
      </c>
      <c r="H186" s="66">
        <f t="shared" ref="H186:H190" si="72">G186/F186</f>
        <v>0.73556168439834102</v>
      </c>
      <c r="I186" s="65">
        <v>800000</v>
      </c>
      <c r="J186" s="65">
        <v>0</v>
      </c>
      <c r="K186" s="66">
        <f t="shared" ref="K186:K191" si="73">J186/I186</f>
        <v>0</v>
      </c>
      <c r="L186" s="65"/>
      <c r="M186" s="134"/>
      <c r="N186" s="65">
        <f t="shared" ref="N186:N207" si="74">G186+J186</f>
        <v>1937598.2</v>
      </c>
      <c r="O186" s="39"/>
      <c r="P186" s="51"/>
    </row>
    <row r="187" spans="1:16" s="38" customFormat="1" ht="107.45" customHeight="1" thickTop="1" thickBot="1" x14ac:dyDescent="0.25">
      <c r="A187" s="61"/>
      <c r="B187" s="107" t="s">
        <v>48</v>
      </c>
      <c r="C187" s="107"/>
      <c r="D187" s="108" t="s">
        <v>49</v>
      </c>
      <c r="E187" s="109">
        <f>SUM(E188:E201)-E188-E195-E197-E200-E191</f>
        <v>40661010.329999998</v>
      </c>
      <c r="F187" s="109">
        <f>SUM(F188:F201)-F188-F195-F197-F200-F191</f>
        <v>27978173</v>
      </c>
      <c r="G187" s="109">
        <f>SUM(G188:G201)-G188-G195-G197-G200-G191</f>
        <v>18949734.449999996</v>
      </c>
      <c r="H187" s="110">
        <f>G187/F187</f>
        <v>0.67730421318075329</v>
      </c>
      <c r="I187" s="109">
        <f>SUM(I188:I201)-I188-I195-I197-I200-I191</f>
        <v>12504518.460000001</v>
      </c>
      <c r="J187" s="109">
        <f>SUM(J188:J201)-J188-J195-J197-J200-J191</f>
        <v>1987947</v>
      </c>
      <c r="K187" s="110">
        <f t="shared" si="73"/>
        <v>0.15897829303536409</v>
      </c>
      <c r="L187" s="109"/>
      <c r="M187" s="109"/>
      <c r="N187" s="111">
        <f>J187+G187</f>
        <v>20937681.449999996</v>
      </c>
      <c r="O187" s="53" t="b">
        <f>N187=N189+N190+N196+N198+N199+N201+N194+N192+N193</f>
        <v>1</v>
      </c>
      <c r="P187" s="51"/>
    </row>
    <row r="188" spans="1:16" s="38" customFormat="1" ht="107.45" customHeight="1" thickTop="1" thickBot="1" x14ac:dyDescent="0.25">
      <c r="A188" s="61"/>
      <c r="B188" s="120" t="s">
        <v>387</v>
      </c>
      <c r="C188" s="120"/>
      <c r="D188" s="129" t="s">
        <v>388</v>
      </c>
      <c r="E188" s="121">
        <f>SUM(E189:E190)</f>
        <v>7555300</v>
      </c>
      <c r="F188" s="121">
        <f>SUM(F189:F190)</f>
        <v>1843243</v>
      </c>
      <c r="G188" s="121">
        <f>SUM(G189:G190)</f>
        <v>1562286.7</v>
      </c>
      <c r="H188" s="122">
        <f t="shared" si="72"/>
        <v>0.84757500774450245</v>
      </c>
      <c r="I188" s="121">
        <f>SUM(I189:I190)</f>
        <v>8108918.46</v>
      </c>
      <c r="J188" s="121">
        <f>SUM(J189:J190)</f>
        <v>3184</v>
      </c>
      <c r="K188" s="122">
        <f t="shared" si="73"/>
        <v>3.9265409014853998E-4</v>
      </c>
      <c r="L188" s="121"/>
      <c r="M188" s="121"/>
      <c r="N188" s="121">
        <f t="shared" si="74"/>
        <v>1565470.7</v>
      </c>
      <c r="O188" s="150"/>
      <c r="P188" s="151"/>
    </row>
    <row r="189" spans="1:16" s="38" customFormat="1" ht="184.5" thickTop="1" thickBot="1" x14ac:dyDescent="0.25">
      <c r="A189" s="61"/>
      <c r="B189" s="67" t="s">
        <v>389</v>
      </c>
      <c r="C189" s="67" t="s">
        <v>390</v>
      </c>
      <c r="D189" s="67" t="s">
        <v>391</v>
      </c>
      <c r="E189" s="64">
        <v>5026230</v>
      </c>
      <c r="F189" s="64">
        <v>204000</v>
      </c>
      <c r="G189" s="64">
        <v>0</v>
      </c>
      <c r="H189" s="66">
        <f>G189/F189</f>
        <v>0</v>
      </c>
      <c r="I189" s="65">
        <v>8100000</v>
      </c>
      <c r="J189" s="65">
        <v>0</v>
      </c>
      <c r="K189" s="66">
        <f t="shared" si="73"/>
        <v>0</v>
      </c>
      <c r="L189" s="64"/>
      <c r="M189" s="134"/>
      <c r="N189" s="65">
        <f t="shared" si="74"/>
        <v>0</v>
      </c>
      <c r="O189" s="150"/>
      <c r="P189" s="151"/>
    </row>
    <row r="190" spans="1:16" s="38" customFormat="1" ht="93" thickTop="1" thickBot="1" x14ac:dyDescent="0.25">
      <c r="A190" s="61"/>
      <c r="B190" s="67" t="s">
        <v>392</v>
      </c>
      <c r="C190" s="67" t="s">
        <v>390</v>
      </c>
      <c r="D190" s="67" t="s">
        <v>393</v>
      </c>
      <c r="E190" s="64">
        <v>2529070</v>
      </c>
      <c r="F190" s="64">
        <v>1639243</v>
      </c>
      <c r="G190" s="64">
        <v>1562286.7</v>
      </c>
      <c r="H190" s="66">
        <f t="shared" si="72"/>
        <v>0.95305375713057794</v>
      </c>
      <c r="I190" s="65">
        <v>8918.4599999999991</v>
      </c>
      <c r="J190" s="65">
        <v>3184</v>
      </c>
      <c r="K190" s="66">
        <f t="shared" si="73"/>
        <v>0.35701230930003613</v>
      </c>
      <c r="L190" s="64"/>
      <c r="M190" s="134"/>
      <c r="N190" s="65">
        <f t="shared" si="74"/>
        <v>1565470.7</v>
      </c>
      <c r="O190" s="12"/>
      <c r="P190" s="51"/>
    </row>
    <row r="191" spans="1:16" s="38" customFormat="1" ht="91.5" thickTop="1" thickBot="1" x14ac:dyDescent="0.25">
      <c r="A191" s="61"/>
      <c r="B191" s="120" t="s">
        <v>517</v>
      </c>
      <c r="C191" s="120"/>
      <c r="D191" s="120" t="s">
        <v>518</v>
      </c>
      <c r="E191" s="124">
        <f>SUM(E192:E194)</f>
        <v>13773315</v>
      </c>
      <c r="F191" s="124">
        <f>SUM(F192:F194)</f>
        <v>13243315</v>
      </c>
      <c r="G191" s="124">
        <f>SUM(G192:G194)</f>
        <v>9726982.1199999992</v>
      </c>
      <c r="H191" s="122">
        <f>G191/F191</f>
        <v>0.73448242528400176</v>
      </c>
      <c r="I191" s="124">
        <f t="shared" ref="I191:J191" si="75">SUM(I192:I194)</f>
        <v>3695600</v>
      </c>
      <c r="J191" s="124">
        <f t="shared" si="75"/>
        <v>1964795</v>
      </c>
      <c r="K191" s="122">
        <f t="shared" si="73"/>
        <v>0.53165791752354152</v>
      </c>
      <c r="L191" s="124"/>
      <c r="M191" s="124"/>
      <c r="N191" s="121">
        <f t="shared" ref="N191:N194" si="76">G191+J191</f>
        <v>11691777.119999999</v>
      </c>
      <c r="O191" s="150"/>
      <c r="P191" s="151"/>
    </row>
    <row r="192" spans="1:16" s="38" customFormat="1" ht="138.75" thickTop="1" thickBot="1" x14ac:dyDescent="0.25">
      <c r="A192" s="61"/>
      <c r="B192" s="67" t="s">
        <v>548</v>
      </c>
      <c r="C192" s="67" t="s">
        <v>520</v>
      </c>
      <c r="D192" s="67" t="s">
        <v>549</v>
      </c>
      <c r="E192" s="64">
        <v>650000</v>
      </c>
      <c r="F192" s="64">
        <v>550000</v>
      </c>
      <c r="G192" s="64">
        <v>311638.86</v>
      </c>
      <c r="H192" s="66">
        <f>G192/F192</f>
        <v>0.56661610909090909</v>
      </c>
      <c r="I192" s="65"/>
      <c r="J192" s="64"/>
      <c r="K192" s="70"/>
      <c r="L192" s="64"/>
      <c r="M192" s="134"/>
      <c r="N192" s="65">
        <f t="shared" si="76"/>
        <v>311638.86</v>
      </c>
      <c r="O192" s="85"/>
      <c r="P192" s="85"/>
    </row>
    <row r="193" spans="1:17" s="38" customFormat="1" ht="93" thickTop="1" thickBot="1" x14ac:dyDescent="0.25">
      <c r="A193" s="61"/>
      <c r="B193" s="67" t="s">
        <v>550</v>
      </c>
      <c r="C193" s="67" t="s">
        <v>520</v>
      </c>
      <c r="D193" s="67" t="s">
        <v>551</v>
      </c>
      <c r="E193" s="64">
        <v>600000</v>
      </c>
      <c r="F193" s="64">
        <v>600000</v>
      </c>
      <c r="G193" s="64">
        <v>0</v>
      </c>
      <c r="H193" s="66">
        <f>G193/F193</f>
        <v>0</v>
      </c>
      <c r="I193" s="65"/>
      <c r="J193" s="64"/>
      <c r="K193" s="70"/>
      <c r="L193" s="64"/>
      <c r="M193" s="134"/>
      <c r="N193" s="65">
        <f>G193+J193</f>
        <v>0</v>
      </c>
      <c r="O193" s="85"/>
      <c r="P193" s="85"/>
    </row>
    <row r="194" spans="1:17" s="38" customFormat="1" ht="93" thickTop="1" thickBot="1" x14ac:dyDescent="0.25">
      <c r="A194" s="125"/>
      <c r="B194" s="67" t="s">
        <v>519</v>
      </c>
      <c r="C194" s="67" t="s">
        <v>520</v>
      </c>
      <c r="D194" s="67" t="s">
        <v>521</v>
      </c>
      <c r="E194" s="64">
        <v>12523315</v>
      </c>
      <c r="F194" s="64">
        <v>12093315</v>
      </c>
      <c r="G194" s="64">
        <v>9415343.2599999998</v>
      </c>
      <c r="H194" s="66">
        <f>G194/F194</f>
        <v>0.77855767918060514</v>
      </c>
      <c r="I194" s="65">
        <f>695600+3000000</f>
        <v>3695600</v>
      </c>
      <c r="J194" s="64">
        <f>695600+1269195</f>
        <v>1964795</v>
      </c>
      <c r="K194" s="70">
        <f>J194/I194</f>
        <v>0.53165791752354152</v>
      </c>
      <c r="L194" s="64"/>
      <c r="M194" s="134"/>
      <c r="N194" s="65">
        <f t="shared" si="76"/>
        <v>11380138.26</v>
      </c>
      <c r="O194" s="12"/>
      <c r="P194" s="51"/>
    </row>
    <row r="195" spans="1:17" s="38" customFormat="1" ht="91.5" thickTop="1" thickBot="1" x14ac:dyDescent="0.25">
      <c r="A195" s="125"/>
      <c r="B195" s="120" t="s">
        <v>412</v>
      </c>
      <c r="C195" s="120"/>
      <c r="D195" s="120" t="s">
        <v>413</v>
      </c>
      <c r="E195" s="124">
        <f>SUM(E196:E196)</f>
        <v>0</v>
      </c>
      <c r="F195" s="124">
        <f>SUM(F196:F196)</f>
        <v>0</v>
      </c>
      <c r="G195" s="124">
        <f>SUM(G196:G196)</f>
        <v>0</v>
      </c>
      <c r="H195" s="122">
        <v>0</v>
      </c>
      <c r="I195" s="124">
        <f>SUM(I196:I196)</f>
        <v>700000</v>
      </c>
      <c r="J195" s="124">
        <f>SUM(J196:J196)</f>
        <v>19968</v>
      </c>
      <c r="K195" s="122">
        <f t="shared" ref="K195:K196" si="77">J195/I195</f>
        <v>2.8525714285714286E-2</v>
      </c>
      <c r="L195" s="124"/>
      <c r="M195" s="124"/>
      <c r="N195" s="121">
        <f t="shared" si="74"/>
        <v>19968</v>
      </c>
      <c r="O195" s="150" t="s">
        <v>434</v>
      </c>
      <c r="P195" s="151"/>
    </row>
    <row r="196" spans="1:17" s="38" customFormat="1" ht="93" thickTop="1" thickBot="1" x14ac:dyDescent="0.25">
      <c r="A196" s="125"/>
      <c r="B196" s="67" t="s">
        <v>525</v>
      </c>
      <c r="C196" s="67" t="s">
        <v>414</v>
      </c>
      <c r="D196" s="67" t="s">
        <v>526</v>
      </c>
      <c r="E196" s="65"/>
      <c r="F196" s="65"/>
      <c r="G196" s="65"/>
      <c r="H196" s="65"/>
      <c r="I196" s="65">
        <v>700000</v>
      </c>
      <c r="J196" s="65">
        <v>19968</v>
      </c>
      <c r="K196" s="66">
        <f t="shared" si="77"/>
        <v>2.8525714285714286E-2</v>
      </c>
      <c r="L196" s="65"/>
      <c r="M196" s="134"/>
      <c r="N196" s="65">
        <f t="shared" si="74"/>
        <v>19968</v>
      </c>
      <c r="O196" s="39"/>
      <c r="P196" s="51"/>
    </row>
    <row r="197" spans="1:17" s="38" customFormat="1" ht="62.25" thickTop="1" thickBot="1" x14ac:dyDescent="0.25">
      <c r="A197" s="125"/>
      <c r="B197" s="120" t="s">
        <v>50</v>
      </c>
      <c r="C197" s="120"/>
      <c r="D197" s="120" t="s">
        <v>51</v>
      </c>
      <c r="E197" s="121">
        <f>SUM(E198)</f>
        <v>7313195</v>
      </c>
      <c r="F197" s="121">
        <f t="shared" ref="F197:J197" si="78">SUM(F198)</f>
        <v>5484905</v>
      </c>
      <c r="G197" s="121">
        <f t="shared" si="78"/>
        <v>4598879.6500000004</v>
      </c>
      <c r="H197" s="122">
        <f t="shared" ref="H197:H199" si="79">G197/F197</f>
        <v>0.8384611310496719</v>
      </c>
      <c r="I197" s="121">
        <f t="shared" si="78"/>
        <v>0</v>
      </c>
      <c r="J197" s="121">
        <f t="shared" si="78"/>
        <v>0</v>
      </c>
      <c r="K197" s="122">
        <v>0</v>
      </c>
      <c r="L197" s="121"/>
      <c r="M197" s="121"/>
      <c r="N197" s="121">
        <f t="shared" si="74"/>
        <v>4598879.6500000004</v>
      </c>
      <c r="O197" s="150" t="s">
        <v>434</v>
      </c>
      <c r="P197" s="151"/>
    </row>
    <row r="198" spans="1:17" s="38" customFormat="1" ht="93" thickTop="1" thickBot="1" x14ac:dyDescent="0.25">
      <c r="A198" s="125"/>
      <c r="B198" s="67" t="s">
        <v>52</v>
      </c>
      <c r="C198" s="67" t="s">
        <v>53</v>
      </c>
      <c r="D198" s="67" t="s">
        <v>54</v>
      </c>
      <c r="E198" s="65">
        <v>7313195</v>
      </c>
      <c r="F198" s="65">
        <v>5484905</v>
      </c>
      <c r="G198" s="65">
        <v>4598879.6500000004</v>
      </c>
      <c r="H198" s="66">
        <f t="shared" si="79"/>
        <v>0.8384611310496719</v>
      </c>
      <c r="I198" s="65"/>
      <c r="J198" s="65"/>
      <c r="K198" s="65"/>
      <c r="L198" s="65"/>
      <c r="M198" s="134"/>
      <c r="N198" s="65">
        <f t="shared" si="74"/>
        <v>4598879.6500000004</v>
      </c>
      <c r="O198" s="39"/>
      <c r="P198" s="51"/>
    </row>
    <row r="199" spans="1:17" s="38" customFormat="1" ht="91.5" thickTop="1" thickBot="1" x14ac:dyDescent="0.25">
      <c r="A199" s="125"/>
      <c r="B199" s="130">
        <v>8600</v>
      </c>
      <c r="C199" s="120" t="s">
        <v>25</v>
      </c>
      <c r="D199" s="130" t="s">
        <v>422</v>
      </c>
      <c r="E199" s="121">
        <v>9112018</v>
      </c>
      <c r="F199" s="121">
        <v>7406710</v>
      </c>
      <c r="G199" s="121">
        <v>3061585.98</v>
      </c>
      <c r="H199" s="122">
        <f t="shared" si="79"/>
        <v>0.41335302448725547</v>
      </c>
      <c r="I199" s="121"/>
      <c r="J199" s="121"/>
      <c r="K199" s="121"/>
      <c r="L199" s="121"/>
      <c r="M199" s="140"/>
      <c r="N199" s="121">
        <f t="shared" si="74"/>
        <v>3061585.98</v>
      </c>
      <c r="O199" s="39"/>
      <c r="P199" s="51"/>
    </row>
    <row r="200" spans="1:17" s="38" customFormat="1" ht="62.25" thickTop="1" thickBot="1" x14ac:dyDescent="0.25">
      <c r="A200" s="125"/>
      <c r="B200" s="130">
        <v>8700</v>
      </c>
      <c r="C200" s="120"/>
      <c r="D200" s="130" t="s">
        <v>423</v>
      </c>
      <c r="E200" s="121">
        <f t="shared" ref="E200:J200" si="80">E201</f>
        <v>2907182.33</v>
      </c>
      <c r="F200" s="121">
        <f t="shared" si="80"/>
        <v>0</v>
      </c>
      <c r="G200" s="121">
        <f t="shared" si="80"/>
        <v>0</v>
      </c>
      <c r="H200" s="122">
        <v>0</v>
      </c>
      <c r="I200" s="121">
        <f t="shared" si="80"/>
        <v>0</v>
      </c>
      <c r="J200" s="121">
        <f t="shared" si="80"/>
        <v>0</v>
      </c>
      <c r="K200" s="122">
        <v>0</v>
      </c>
      <c r="L200" s="121"/>
      <c r="M200" s="121"/>
      <c r="N200" s="121">
        <f t="shared" si="74"/>
        <v>0</v>
      </c>
      <c r="O200" s="150" t="s">
        <v>434</v>
      </c>
      <c r="P200" s="151"/>
    </row>
    <row r="201" spans="1:17" s="38" customFormat="1" ht="93" thickTop="1" thickBot="1" x14ac:dyDescent="0.25">
      <c r="A201" s="125"/>
      <c r="B201" s="73">
        <v>8710</v>
      </c>
      <c r="C201" s="67" t="s">
        <v>30</v>
      </c>
      <c r="D201" s="72" t="s">
        <v>424</v>
      </c>
      <c r="E201" s="65">
        <v>2907182.33</v>
      </c>
      <c r="F201" s="65">
        <v>0</v>
      </c>
      <c r="G201" s="65">
        <v>0</v>
      </c>
      <c r="H201" s="66">
        <v>0</v>
      </c>
      <c r="I201" s="65"/>
      <c r="J201" s="65"/>
      <c r="K201" s="65"/>
      <c r="L201" s="65"/>
      <c r="M201" s="134"/>
      <c r="N201" s="65">
        <f t="shared" si="74"/>
        <v>0</v>
      </c>
      <c r="O201" s="150" t="s">
        <v>434</v>
      </c>
      <c r="P201" s="151"/>
    </row>
    <row r="202" spans="1:17" s="38" customFormat="1" ht="103.7" customHeight="1" thickTop="1" thickBot="1" x14ac:dyDescent="0.25">
      <c r="A202" s="61"/>
      <c r="B202" s="107" t="s">
        <v>55</v>
      </c>
      <c r="C202" s="107"/>
      <c r="D202" s="108" t="s">
        <v>56</v>
      </c>
      <c r="E202" s="109">
        <f>SUM(E203:E208)-E203-E205</f>
        <v>112912434</v>
      </c>
      <c r="F202" s="109">
        <f>SUM(F203:F208)-F203-F205</f>
        <v>89970624</v>
      </c>
      <c r="G202" s="109">
        <f>SUM(G203:G208)-G203-G205</f>
        <v>32107587.32</v>
      </c>
      <c r="H202" s="110">
        <f>G202/F202</f>
        <v>0.35686745175847617</v>
      </c>
      <c r="I202" s="109">
        <f>SUM(I203:I208)-I203-I205</f>
        <v>8950909</v>
      </c>
      <c r="J202" s="109">
        <f>SUM(J203:J208)-J203-J205</f>
        <v>8950909</v>
      </c>
      <c r="K202" s="110">
        <f>J202/I202</f>
        <v>1</v>
      </c>
      <c r="L202" s="109"/>
      <c r="M202" s="109"/>
      <c r="N202" s="111">
        <f>J202+G202</f>
        <v>41058496.32</v>
      </c>
      <c r="O202" s="53" t="b">
        <f>N202=N204+N206+N207+N208</f>
        <v>1</v>
      </c>
      <c r="P202" s="150"/>
      <c r="Q202" s="151"/>
    </row>
    <row r="203" spans="1:17" s="38" customFormat="1" ht="103.7" customHeight="1" thickTop="1" thickBot="1" x14ac:dyDescent="0.25">
      <c r="A203" s="61"/>
      <c r="B203" s="120" t="s">
        <v>425</v>
      </c>
      <c r="C203" s="120"/>
      <c r="D203" s="120" t="s">
        <v>426</v>
      </c>
      <c r="E203" s="121">
        <f t="shared" ref="E203:J203" si="81">E204</f>
        <v>91712900</v>
      </c>
      <c r="F203" s="121">
        <f t="shared" si="81"/>
        <v>68784300</v>
      </c>
      <c r="G203" s="121">
        <f t="shared" si="81"/>
        <v>12737833.32</v>
      </c>
      <c r="H203" s="122">
        <f t="shared" ref="H203:H206" si="82">G203/F203</f>
        <v>0.18518518499134251</v>
      </c>
      <c r="I203" s="121">
        <f t="shared" si="81"/>
        <v>0</v>
      </c>
      <c r="J203" s="121">
        <f t="shared" si="81"/>
        <v>0</v>
      </c>
      <c r="K203" s="122">
        <v>0</v>
      </c>
      <c r="L203" s="121"/>
      <c r="M203" s="121"/>
      <c r="N203" s="121">
        <f t="shared" si="74"/>
        <v>12737833.32</v>
      </c>
      <c r="O203" s="150" t="s">
        <v>434</v>
      </c>
      <c r="P203" s="151"/>
    </row>
    <row r="204" spans="1:17" s="38" customFormat="1" ht="103.7" customHeight="1" thickTop="1" thickBot="1" x14ac:dyDescent="0.25">
      <c r="A204" s="61"/>
      <c r="B204" s="73">
        <v>9110</v>
      </c>
      <c r="C204" s="67" t="s">
        <v>29</v>
      </c>
      <c r="D204" s="72" t="s">
        <v>427</v>
      </c>
      <c r="E204" s="65">
        <v>91712900</v>
      </c>
      <c r="F204" s="65">
        <v>68784300</v>
      </c>
      <c r="G204" s="65">
        <v>12737833.32</v>
      </c>
      <c r="H204" s="66">
        <f t="shared" si="82"/>
        <v>0.18518518499134251</v>
      </c>
      <c r="I204" s="65"/>
      <c r="J204" s="65"/>
      <c r="K204" s="65"/>
      <c r="L204" s="65"/>
      <c r="M204" s="134"/>
      <c r="N204" s="65">
        <f t="shared" si="74"/>
        <v>12737833.32</v>
      </c>
      <c r="O204" s="12"/>
    </row>
    <row r="205" spans="1:17" s="38" customFormat="1" ht="271.5" thickTop="1" thickBot="1" x14ac:dyDescent="0.25">
      <c r="A205" s="61"/>
      <c r="B205" s="120" t="s">
        <v>57</v>
      </c>
      <c r="C205" s="120"/>
      <c r="D205" s="120" t="s">
        <v>58</v>
      </c>
      <c r="E205" s="121">
        <f>SUM(E206:E207)</f>
        <v>732700</v>
      </c>
      <c r="F205" s="121">
        <f t="shared" ref="F205:G205" si="83">SUM(F206:F207)</f>
        <v>719490</v>
      </c>
      <c r="G205" s="121">
        <f t="shared" si="83"/>
        <v>600600</v>
      </c>
      <c r="H205" s="122">
        <f t="shared" si="82"/>
        <v>0.83475795355043159</v>
      </c>
      <c r="I205" s="121">
        <f t="shared" ref="I205:J205" si="84">SUM(I206:I207)</f>
        <v>0</v>
      </c>
      <c r="J205" s="121">
        <f t="shared" si="84"/>
        <v>0</v>
      </c>
      <c r="K205" s="122">
        <v>0</v>
      </c>
      <c r="L205" s="121"/>
      <c r="M205" s="121"/>
      <c r="N205" s="121">
        <f t="shared" si="74"/>
        <v>600600</v>
      </c>
      <c r="O205" s="150" t="s">
        <v>434</v>
      </c>
      <c r="P205" s="151"/>
    </row>
    <row r="206" spans="1:17" s="38" customFormat="1" ht="276" thickTop="1" thickBot="1" x14ac:dyDescent="0.25">
      <c r="A206" s="125"/>
      <c r="B206" s="67" t="s">
        <v>59</v>
      </c>
      <c r="C206" s="67" t="s">
        <v>29</v>
      </c>
      <c r="D206" s="67" t="s">
        <v>60</v>
      </c>
      <c r="E206" s="65">
        <v>600600</v>
      </c>
      <c r="F206" s="65">
        <v>600600</v>
      </c>
      <c r="G206" s="65">
        <v>600600</v>
      </c>
      <c r="H206" s="66">
        <f t="shared" si="82"/>
        <v>1</v>
      </c>
      <c r="I206" s="65"/>
      <c r="J206" s="65"/>
      <c r="K206" s="65"/>
      <c r="L206" s="65"/>
      <c r="M206" s="134"/>
      <c r="N206" s="65">
        <f t="shared" si="74"/>
        <v>600600</v>
      </c>
      <c r="O206" s="39"/>
      <c r="P206" s="51"/>
    </row>
    <row r="207" spans="1:17" s="38" customFormat="1" ht="93" thickTop="1" thickBot="1" x14ac:dyDescent="0.8">
      <c r="A207" s="125"/>
      <c r="B207" s="67" t="s">
        <v>61</v>
      </c>
      <c r="C207" s="67" t="s">
        <v>29</v>
      </c>
      <c r="D207" s="67" t="s">
        <v>62</v>
      </c>
      <c r="E207" s="65">
        <v>132100</v>
      </c>
      <c r="F207" s="65">
        <v>118890</v>
      </c>
      <c r="G207" s="65">
        <v>0</v>
      </c>
      <c r="H207" s="66">
        <f>G207/F207</f>
        <v>0</v>
      </c>
      <c r="I207" s="65"/>
      <c r="J207" s="65"/>
      <c r="K207" s="66"/>
      <c r="L207" s="65"/>
      <c r="M207" s="134"/>
      <c r="N207" s="65">
        <f t="shared" si="74"/>
        <v>0</v>
      </c>
      <c r="O207" s="55"/>
      <c r="P207" s="51"/>
    </row>
    <row r="208" spans="1:17" s="38" customFormat="1" ht="271.5" thickTop="1" thickBot="1" x14ac:dyDescent="0.25">
      <c r="A208" s="125"/>
      <c r="B208" s="120" t="s">
        <v>63</v>
      </c>
      <c r="C208" s="120" t="s">
        <v>29</v>
      </c>
      <c r="D208" s="120" t="s">
        <v>64</v>
      </c>
      <c r="E208" s="131">
        <v>20466834</v>
      </c>
      <c r="F208" s="131">
        <v>20466834</v>
      </c>
      <c r="G208" s="131">
        <v>18769154</v>
      </c>
      <c r="H208" s="123">
        <f t="shared" ref="H208" si="85">G208/F208</f>
        <v>0.91705214397107049</v>
      </c>
      <c r="I208" s="131">
        <v>8950909</v>
      </c>
      <c r="J208" s="131">
        <v>8950909</v>
      </c>
      <c r="K208" s="123">
        <f t="shared" ref="K208" si="86">J208/I208</f>
        <v>1</v>
      </c>
      <c r="L208" s="121"/>
      <c r="M208" s="121"/>
      <c r="N208" s="131">
        <f t="shared" ref="N208" si="87">G208+J208</f>
        <v>27720063</v>
      </c>
      <c r="O208" s="39"/>
      <c r="P208" s="51"/>
    </row>
    <row r="209" spans="1:27" s="38" customFormat="1" ht="71.45" customHeight="1" thickTop="1" thickBot="1" x14ac:dyDescent="0.25">
      <c r="A209" s="61"/>
      <c r="B209" s="78" t="s">
        <v>428</v>
      </c>
      <c r="C209" s="78" t="s">
        <v>428</v>
      </c>
      <c r="D209" s="79" t="s">
        <v>437</v>
      </c>
      <c r="E209" s="80">
        <f>E14+E19+E51+E64+E109+E118+E133+E147+E187+E202</f>
        <v>3371174062.4200006</v>
      </c>
      <c r="F209" s="80">
        <f>F14+F19+F51+F64+F109+F118+F133+F147+F187+F202</f>
        <v>2292897435.6899996</v>
      </c>
      <c r="G209" s="80">
        <f>G14+G19+G51+G64+G109+G118+G133+G147+G187+G202</f>
        <v>2092882507.9099998</v>
      </c>
      <c r="H209" s="81">
        <f>G209/F209</f>
        <v>0.91276760806363355</v>
      </c>
      <c r="I209" s="80">
        <f>I14+I19+I51+I64+I109+I118+I133+I147+I187+I202</f>
        <v>437867875.13999993</v>
      </c>
      <c r="J209" s="80">
        <f>J14+J19+J51+J64+J109+J118+J133+J147+J187+J202</f>
        <v>127719005.03999996</v>
      </c>
      <c r="K209" s="81">
        <f>J209/I209</f>
        <v>0.29168388980160792</v>
      </c>
      <c r="L209" s="80" t="e">
        <f>#REF!+#REF!+#REF!+#REF!+#REF!+#REF!++L126+L134+L198+L157+L178+L190+L142+#REF!+#REF!</f>
        <v>#REF!</v>
      </c>
      <c r="M209" s="80" t="e">
        <f>#REF!+#REF!+#REF!+#REF!+#REF!+#REF!++M126+M134+M198+M157+M178+M190+M142+#REF!+#REF!</f>
        <v>#REF!</v>
      </c>
      <c r="N209" s="80">
        <f>N14+N19+N51+N64+N109+N118+N133+N147+N187+N202</f>
        <v>2220601512.9499998</v>
      </c>
      <c r="O209" s="53" t="b">
        <f>N209=J209+G209</f>
        <v>1</v>
      </c>
      <c r="P209" s="51"/>
    </row>
    <row r="210" spans="1:27" s="38" customFormat="1" ht="62.25" thickTop="1" thickBot="1" x14ac:dyDescent="0.25">
      <c r="A210" s="125"/>
      <c r="B210" s="126" t="s">
        <v>48</v>
      </c>
      <c r="C210" s="141"/>
      <c r="D210" s="149" t="s">
        <v>442</v>
      </c>
      <c r="E210" s="143">
        <f t="shared" ref="E210:G211" si="88">E211</f>
        <v>500000</v>
      </c>
      <c r="F210" s="143">
        <f t="shared" si="88"/>
        <v>500000</v>
      </c>
      <c r="G210" s="143">
        <f t="shared" si="88"/>
        <v>0</v>
      </c>
      <c r="H210" s="148">
        <v>0</v>
      </c>
      <c r="I210" s="143">
        <f>I211</f>
        <v>0</v>
      </c>
      <c r="J210" s="143">
        <f>J211</f>
        <v>-91088.17</v>
      </c>
      <c r="K210" s="123"/>
      <c r="L210" s="143"/>
      <c r="M210" s="143"/>
      <c r="N210" s="131">
        <f t="shared" ref="N210:N214" si="89">G210+J210</f>
        <v>-91088.17</v>
      </c>
      <c r="O210" s="150" t="s">
        <v>434</v>
      </c>
      <c r="P210" s="151"/>
    </row>
    <row r="211" spans="1:27" s="38" customFormat="1" ht="62.25" thickTop="1" thickBot="1" x14ac:dyDescent="0.25">
      <c r="A211" s="125"/>
      <c r="B211" s="120" t="s">
        <v>440</v>
      </c>
      <c r="C211" s="141"/>
      <c r="D211" s="145" t="s">
        <v>443</v>
      </c>
      <c r="E211" s="140">
        <f t="shared" si="88"/>
        <v>500000</v>
      </c>
      <c r="F211" s="140">
        <f t="shared" si="88"/>
        <v>500000</v>
      </c>
      <c r="G211" s="140">
        <f t="shared" si="88"/>
        <v>0</v>
      </c>
      <c r="H211" s="146">
        <v>0</v>
      </c>
      <c r="I211" s="140">
        <f>I212</f>
        <v>0</v>
      </c>
      <c r="J211" s="140">
        <f>J212</f>
        <v>-91088.17</v>
      </c>
      <c r="K211" s="122"/>
      <c r="L211" s="140"/>
      <c r="M211" s="140"/>
      <c r="N211" s="121">
        <f t="shared" si="89"/>
        <v>-91088.17</v>
      </c>
      <c r="O211" s="150" t="s">
        <v>434</v>
      </c>
      <c r="P211" s="151"/>
    </row>
    <row r="212" spans="1:27" s="38" customFormat="1" ht="321.75" thickTop="1" thickBot="1" x14ac:dyDescent="0.25">
      <c r="A212" s="61"/>
      <c r="B212" s="68" t="s">
        <v>441</v>
      </c>
      <c r="C212" s="141"/>
      <c r="D212" s="147" t="s">
        <v>444</v>
      </c>
      <c r="E212" s="137">
        <f>E213+E214</f>
        <v>500000</v>
      </c>
      <c r="F212" s="137">
        <f>F213+F214</f>
        <v>500000</v>
      </c>
      <c r="G212" s="137">
        <f>G213+G214</f>
        <v>0</v>
      </c>
      <c r="H212" s="70">
        <f>G212/F212</f>
        <v>0</v>
      </c>
      <c r="I212" s="137">
        <f>I213+I214</f>
        <v>0</v>
      </c>
      <c r="J212" s="137">
        <f>J213+J214</f>
        <v>-91088.17</v>
      </c>
      <c r="K212" s="66"/>
      <c r="L212" s="137"/>
      <c r="M212" s="137"/>
      <c r="N212" s="69">
        <f t="shared" si="89"/>
        <v>-91088.17</v>
      </c>
      <c r="O212" s="150"/>
      <c r="P212" s="151"/>
    </row>
    <row r="213" spans="1:27" s="38" customFormat="1" ht="276" thickTop="1" thickBot="1" x14ac:dyDescent="0.25">
      <c r="A213" s="61"/>
      <c r="B213" s="144" t="s">
        <v>438</v>
      </c>
      <c r="C213" s="141"/>
      <c r="D213" s="142" t="s">
        <v>445</v>
      </c>
      <c r="E213" s="134">
        <v>500000</v>
      </c>
      <c r="F213" s="134">
        <v>500000</v>
      </c>
      <c r="G213" s="134">
        <v>0</v>
      </c>
      <c r="H213" s="66">
        <f>G213/F213</f>
        <v>0</v>
      </c>
      <c r="I213" s="134">
        <v>150000</v>
      </c>
      <c r="J213" s="134">
        <v>0</v>
      </c>
      <c r="K213" s="66">
        <f>J213/I213</f>
        <v>0</v>
      </c>
      <c r="L213" s="143"/>
      <c r="M213" s="143"/>
      <c r="N213" s="65">
        <f>G213+J213</f>
        <v>0</v>
      </c>
      <c r="O213" s="150"/>
      <c r="P213" s="151"/>
    </row>
    <row r="214" spans="1:27" s="38" customFormat="1" ht="321.75" thickTop="1" thickBot="1" x14ac:dyDescent="1.2">
      <c r="A214" s="61"/>
      <c r="B214" s="144" t="s">
        <v>439</v>
      </c>
      <c r="C214" s="141"/>
      <c r="D214" s="142" t="s">
        <v>446</v>
      </c>
      <c r="E214" s="143"/>
      <c r="F214" s="143"/>
      <c r="G214" s="143"/>
      <c r="H214" s="148"/>
      <c r="I214" s="134">
        <v>-150000</v>
      </c>
      <c r="J214" s="134">
        <v>-91088.17</v>
      </c>
      <c r="K214" s="66">
        <f t="shared" ref="K214" si="90">J214/I214</f>
        <v>0.6072544666666666</v>
      </c>
      <c r="L214" s="143"/>
      <c r="M214" s="143"/>
      <c r="N214" s="65">
        <f t="shared" si="89"/>
        <v>-91088.17</v>
      </c>
      <c r="O214" s="39"/>
      <c r="P214" s="51"/>
      <c r="AA214" s="57"/>
    </row>
    <row r="215" spans="1:27" s="38" customFormat="1" ht="119.25" customHeight="1" thickTop="1" thickBot="1" x14ac:dyDescent="0.25">
      <c r="A215" s="61"/>
      <c r="B215" s="78" t="s">
        <v>428</v>
      </c>
      <c r="C215" s="78" t="s">
        <v>428</v>
      </c>
      <c r="D215" s="79" t="s">
        <v>429</v>
      </c>
      <c r="E215" s="80">
        <f>E209+E210</f>
        <v>3371674062.4200006</v>
      </c>
      <c r="F215" s="80">
        <f>F209+F210</f>
        <v>2293397435.6899996</v>
      </c>
      <c r="G215" s="80">
        <f>G209+G210</f>
        <v>2092882507.9099998</v>
      </c>
      <c r="H215" s="81">
        <f>G215/F215</f>
        <v>0.91256860906026427</v>
      </c>
      <c r="I215" s="80">
        <f>I209+I210</f>
        <v>437867875.13999993</v>
      </c>
      <c r="J215" s="80">
        <f>J209+J210</f>
        <v>127627916.86999996</v>
      </c>
      <c r="K215" s="81">
        <f>J215/I215</f>
        <v>0.29147586319090746</v>
      </c>
      <c r="L215" s="80" t="e">
        <f>#REF!+#REF!+#REF!+#REF!+#REF!+#REF!++L132+L140+L204+L170+L184+#REF!+L150+#REF!+#REF!</f>
        <v>#REF!</v>
      </c>
      <c r="M215" s="80" t="e">
        <f>#REF!+#REF!+#REF!+#REF!+#REF!+#REF!++M132+M140+M204+M170+M184+#REF!+M150+#REF!+#REF!</f>
        <v>#REF!</v>
      </c>
      <c r="N215" s="80">
        <f>N209+N210</f>
        <v>2220510424.7799997</v>
      </c>
      <c r="O215" s="53" t="b">
        <f>N215=J215+G215</f>
        <v>1</v>
      </c>
      <c r="P215" s="51"/>
      <c r="S215" s="80">
        <f>N215/(I215+E215)*100</f>
        <v>58.28812128006733</v>
      </c>
      <c r="T215" s="80">
        <f>G215/E215*100</f>
        <v>62.072503722612048</v>
      </c>
    </row>
    <row r="216" spans="1:27" ht="58.7" customHeight="1" thickTop="1" x14ac:dyDescent="0.2">
      <c r="A216" s="167" t="s">
        <v>543</v>
      </c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40"/>
    </row>
    <row r="217" spans="1:27" ht="45.75" x14ac:dyDescent="0.65">
      <c r="A217" s="41"/>
      <c r="B217" s="42"/>
      <c r="C217" s="42"/>
      <c r="D217" s="43" t="s">
        <v>503</v>
      </c>
      <c r="E217" s="82"/>
      <c r="F217" s="82"/>
      <c r="G217" s="43"/>
      <c r="H217" s="45"/>
      <c r="I217" s="43" t="s">
        <v>504</v>
      </c>
      <c r="J217" s="45"/>
      <c r="K217" s="45"/>
      <c r="L217" s="45"/>
      <c r="M217" s="45"/>
      <c r="N217" s="45"/>
      <c r="O217" s="40"/>
    </row>
    <row r="218" spans="1:27" ht="23.25" customHeight="1" x14ac:dyDescent="0.65">
      <c r="A218" s="62"/>
      <c r="B218" s="63"/>
      <c r="C218" s="63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40"/>
    </row>
    <row r="219" spans="1:27" ht="45.75" x14ac:dyDescent="0.65">
      <c r="A219" s="41"/>
      <c r="B219" s="42"/>
      <c r="C219" s="42"/>
      <c r="D219" s="43" t="s">
        <v>536</v>
      </c>
      <c r="E219" s="44"/>
      <c r="F219" s="44"/>
      <c r="G219" s="43"/>
      <c r="H219" s="45"/>
      <c r="I219" s="43" t="s">
        <v>537</v>
      </c>
      <c r="J219" s="45"/>
      <c r="K219" s="45"/>
      <c r="L219" s="45"/>
      <c r="M219" s="45"/>
      <c r="N219" s="45"/>
      <c r="O219" s="40"/>
    </row>
    <row r="220" spans="1:27" ht="45.75" x14ac:dyDescent="0.65">
      <c r="A220" s="2"/>
      <c r="B220" s="2"/>
      <c r="C220" s="2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46"/>
    </row>
    <row r="237" spans="5:9" ht="47.25" hidden="1" thickTop="1" thickBot="1" x14ac:dyDescent="0.25">
      <c r="E237" s="56">
        <f>E209-E202-E200</f>
        <v>3255354446.0900006</v>
      </c>
      <c r="I237" s="56">
        <f>I209-I202-I200</f>
        <v>428916966.13999993</v>
      </c>
    </row>
    <row r="244" ht="396" customHeight="1" x14ac:dyDescent="0.2"/>
    <row r="245" ht="357" customHeight="1" x14ac:dyDescent="0.2"/>
    <row r="246" ht="312" customHeight="1" x14ac:dyDescent="0.2"/>
    <row r="247" ht="183" customHeight="1" x14ac:dyDescent="0.2"/>
    <row r="248" ht="228" customHeight="1" x14ac:dyDescent="0.2"/>
    <row r="249" ht="294" customHeight="1" x14ac:dyDescent="0.2"/>
    <row r="250" ht="258" customHeight="1" x14ac:dyDescent="0.2"/>
    <row r="251" ht="180" customHeight="1" x14ac:dyDescent="0.2"/>
    <row r="252" ht="249" customHeight="1" x14ac:dyDescent="0.2"/>
  </sheetData>
  <mergeCells count="105">
    <mergeCell ref="K2:N2"/>
    <mergeCell ref="J3:N3"/>
    <mergeCell ref="A8:B8"/>
    <mergeCell ref="A10:A12"/>
    <mergeCell ref="B10:B12"/>
    <mergeCell ref="C10:C12"/>
    <mergeCell ref="D10:D12"/>
    <mergeCell ref="M11:M12"/>
    <mergeCell ref="I10:M10"/>
    <mergeCell ref="N10:N12"/>
    <mergeCell ref="E11:E12"/>
    <mergeCell ref="H11:H12"/>
    <mergeCell ref="I11:I12"/>
    <mergeCell ref="J11:J12"/>
    <mergeCell ref="E10:H10"/>
    <mergeCell ref="A4:N4"/>
    <mergeCell ref="A5:N5"/>
    <mergeCell ref="A7:B7"/>
    <mergeCell ref="O176:P176"/>
    <mergeCell ref="I102:I104"/>
    <mergeCell ref="J102:J104"/>
    <mergeCell ref="K102:K104"/>
    <mergeCell ref="B102:B104"/>
    <mergeCell ref="C102:C104"/>
    <mergeCell ref="E92:E94"/>
    <mergeCell ref="K92:K94"/>
    <mergeCell ref="F92:F94"/>
    <mergeCell ref="G92:G94"/>
    <mergeCell ref="H92:H94"/>
    <mergeCell ref="I92:I94"/>
    <mergeCell ref="J92:J94"/>
    <mergeCell ref="B92:B94"/>
    <mergeCell ref="C92:C94"/>
    <mergeCell ref="B95:B98"/>
    <mergeCell ref="C95:C98"/>
    <mergeCell ref="B99:B101"/>
    <mergeCell ref="C99:C101"/>
    <mergeCell ref="O179:P179"/>
    <mergeCell ref="O203:P203"/>
    <mergeCell ref="A28:A29"/>
    <mergeCell ref="B28:B29"/>
    <mergeCell ref="C28:C29"/>
    <mergeCell ref="E28:E29"/>
    <mergeCell ref="F28:F29"/>
    <mergeCell ref="B184:B185"/>
    <mergeCell ref="H95:H98"/>
    <mergeCell ref="I95:I98"/>
    <mergeCell ref="J95:J98"/>
    <mergeCell ref="N95:N98"/>
    <mergeCell ref="F99:F101"/>
    <mergeCell ref="G99:G101"/>
    <mergeCell ref="H99:H101"/>
    <mergeCell ref="I99:I101"/>
    <mergeCell ref="J99:J101"/>
    <mergeCell ref="N99:N101"/>
    <mergeCell ref="K99:K101"/>
    <mergeCell ref="K95:K98"/>
    <mergeCell ref="N92:N94"/>
    <mergeCell ref="E95:E98"/>
    <mergeCell ref="E99:E101"/>
    <mergeCell ref="E102:E104"/>
    <mergeCell ref="D220:N220"/>
    <mergeCell ref="F11:F12"/>
    <mergeCell ref="G11:G12"/>
    <mergeCell ref="K11:K12"/>
    <mergeCell ref="L184:L185"/>
    <mergeCell ref="M184:M185"/>
    <mergeCell ref="N184:N185"/>
    <mergeCell ref="L28:L29"/>
    <mergeCell ref="M28:M29"/>
    <mergeCell ref="N28:N29"/>
    <mergeCell ref="G28:G29"/>
    <mergeCell ref="H28:H29"/>
    <mergeCell ref="I28:I29"/>
    <mergeCell ref="J28:J29"/>
    <mergeCell ref="K28:K29"/>
    <mergeCell ref="A216:N216"/>
    <mergeCell ref="D218:N218"/>
    <mergeCell ref="N102:N104"/>
    <mergeCell ref="F102:F104"/>
    <mergeCell ref="G102:G104"/>
    <mergeCell ref="H102:H104"/>
    <mergeCell ref="F95:F98"/>
    <mergeCell ref="G95:G98"/>
    <mergeCell ref="O213:P213"/>
    <mergeCell ref="O212:P212"/>
    <mergeCell ref="O211:P211"/>
    <mergeCell ref="O210:P210"/>
    <mergeCell ref="O189:P189"/>
    <mergeCell ref="O201:P201"/>
    <mergeCell ref="O200:P200"/>
    <mergeCell ref="O191:P191"/>
    <mergeCell ref="C184:C185"/>
    <mergeCell ref="E184:E185"/>
    <mergeCell ref="F184:F185"/>
    <mergeCell ref="G184:G185"/>
    <mergeCell ref="H184:H185"/>
    <mergeCell ref="I184:I185"/>
    <mergeCell ref="J184:J185"/>
    <mergeCell ref="K184:K185"/>
    <mergeCell ref="O205:P205"/>
    <mergeCell ref="P202:Q202"/>
    <mergeCell ref="O188:P188"/>
    <mergeCell ref="O195:P195"/>
    <mergeCell ref="O197:P197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d2</vt:lpstr>
      <vt:lpstr>'d2'!Заголовки_для_печати</vt:lpstr>
      <vt:lpstr>'d2'!Область_печати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2022-10-21T10:59:59Z</cp:lastPrinted>
  <dcterms:created xsi:type="dcterms:W3CDTF">2021-05-18T12:47:38Z</dcterms:created>
  <dcterms:modified xsi:type="dcterms:W3CDTF">2022-11-04T11:36:30Z</dcterms:modified>
</cp:coreProperties>
</file>