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ZagVid\Рішення 2023\09.02.2023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'd2'!$10:$13</definedName>
    <definedName name="_xlnm.Print_Area" localSheetId="0">'d2'!$B$1:$N$220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2" i="1" l="1"/>
  <c r="I182" i="1"/>
  <c r="K202" i="1"/>
  <c r="T216" i="1" l="1"/>
  <c r="H216" i="1"/>
  <c r="H150" i="1" l="1"/>
  <c r="F238" i="1" l="1"/>
  <c r="G195" i="1"/>
  <c r="K199" i="1"/>
  <c r="J195" i="1"/>
  <c r="I195" i="1"/>
  <c r="F195" i="1"/>
  <c r="F194" i="1"/>
  <c r="G194" i="1"/>
  <c r="J154" i="1"/>
  <c r="F187" i="1"/>
  <c r="G187" i="1"/>
  <c r="J185" i="1"/>
  <c r="I185" i="1"/>
  <c r="I180" i="1"/>
  <c r="J180" i="1"/>
  <c r="G180" i="1"/>
  <c r="F180" i="1"/>
  <c r="I154" i="1"/>
  <c r="J152" i="1"/>
  <c r="I152" i="1"/>
  <c r="F141" i="1"/>
  <c r="G141" i="1"/>
  <c r="O64" i="1"/>
  <c r="N83" i="1"/>
  <c r="H83" i="1"/>
  <c r="J106" i="1"/>
  <c r="I106" i="1"/>
  <c r="G106" i="1"/>
  <c r="F106" i="1"/>
  <c r="I90" i="1"/>
  <c r="J90" i="1"/>
  <c r="K78" i="1"/>
  <c r="K62" i="1"/>
  <c r="K55" i="1"/>
  <c r="J19" i="1"/>
  <c r="N24" i="1"/>
  <c r="K24" i="1"/>
  <c r="J16" i="1" l="1"/>
  <c r="I16" i="1"/>
  <c r="G18" i="1"/>
  <c r="F18" i="1"/>
  <c r="F17" i="1"/>
  <c r="G17" i="1"/>
  <c r="G16" i="1"/>
  <c r="F16" i="1"/>
  <c r="F213" i="1" l="1"/>
  <c r="F212" i="1" s="1"/>
  <c r="F211" i="1" s="1"/>
  <c r="F206" i="1"/>
  <c r="F204" i="1"/>
  <c r="F203" i="1"/>
  <c r="F201" i="1"/>
  <c r="F198" i="1"/>
  <c r="F196" i="1"/>
  <c r="F192" i="1"/>
  <c r="F188" i="1" s="1"/>
  <c r="F189" i="1"/>
  <c r="F184" i="1"/>
  <c r="F177" i="1"/>
  <c r="F175" i="1" s="1"/>
  <c r="F172" i="1"/>
  <c r="F170" i="1"/>
  <c r="F167" i="1"/>
  <c r="F164" i="1" s="1"/>
  <c r="F165" i="1"/>
  <c r="F161" i="1"/>
  <c r="F151" i="1"/>
  <c r="F149" i="1"/>
  <c r="F143" i="1"/>
  <c r="F135" i="1"/>
  <c r="F134" i="1" s="1"/>
  <c r="F130" i="1"/>
  <c r="F128" i="1"/>
  <c r="F125" i="1"/>
  <c r="F123" i="1"/>
  <c r="F120" i="1"/>
  <c r="F116" i="1"/>
  <c r="F110" i="1" s="1"/>
  <c r="F107" i="1"/>
  <c r="F92" i="1"/>
  <c r="F64" i="1" s="1"/>
  <c r="F90" i="1"/>
  <c r="F88" i="1"/>
  <c r="F85" i="1"/>
  <c r="F80" i="1"/>
  <c r="F77" i="1"/>
  <c r="F74" i="1"/>
  <c r="F65" i="1"/>
  <c r="F61" i="1"/>
  <c r="F59" i="1"/>
  <c r="F57" i="1"/>
  <c r="F51" i="1" s="1"/>
  <c r="F48" i="1"/>
  <c r="F43" i="1"/>
  <c r="F39" i="1"/>
  <c r="F36" i="1"/>
  <c r="F33" i="1"/>
  <c r="F28" i="1"/>
  <c r="F25" i="1"/>
  <c r="F21" i="1"/>
  <c r="F14" i="1"/>
  <c r="F119" i="1" l="1"/>
  <c r="F19" i="1"/>
  <c r="F148" i="1"/>
  <c r="F210" i="1" l="1"/>
  <c r="F216" i="1" s="1"/>
  <c r="H214" i="1"/>
  <c r="K214" i="1"/>
  <c r="N214" i="1"/>
  <c r="K191" i="1"/>
  <c r="H146" i="1"/>
  <c r="K133" i="1"/>
  <c r="K106" i="1"/>
  <c r="N91" i="1"/>
  <c r="K90" i="1"/>
  <c r="K91" i="1"/>
  <c r="K18" i="1" l="1"/>
  <c r="E203" i="1" l="1"/>
  <c r="N194" i="1"/>
  <c r="G192" i="1"/>
  <c r="J192" i="1"/>
  <c r="I192" i="1"/>
  <c r="E192" i="1"/>
  <c r="H194" i="1"/>
  <c r="H192" i="1" l="1"/>
  <c r="N193" i="1"/>
  <c r="H193" i="1"/>
  <c r="H190" i="1"/>
  <c r="H169" i="1" l="1"/>
  <c r="N163" i="1"/>
  <c r="H163" i="1"/>
  <c r="G149" i="1"/>
  <c r="H149" i="1" s="1"/>
  <c r="E149" i="1"/>
  <c r="I149" i="1"/>
  <c r="N115" i="1" l="1"/>
  <c r="N106" i="1"/>
  <c r="N72" i="1"/>
  <c r="H72" i="1"/>
  <c r="K195" i="1" l="1"/>
  <c r="J170" i="1"/>
  <c r="N133" i="1"/>
  <c r="H115" i="1" l="1"/>
  <c r="H106" i="1"/>
  <c r="G57" i="1"/>
  <c r="E14" i="1" l="1"/>
  <c r="G14" i="1"/>
  <c r="H15" i="1"/>
  <c r="K15" i="1"/>
  <c r="N15" i="1"/>
  <c r="H16" i="1"/>
  <c r="I14" i="1"/>
  <c r="N16" i="1"/>
  <c r="H17" i="1"/>
  <c r="N17" i="1"/>
  <c r="H18" i="1"/>
  <c r="N18" i="1"/>
  <c r="H20" i="1"/>
  <c r="K20" i="1"/>
  <c r="N20" i="1"/>
  <c r="E21" i="1"/>
  <c r="G21" i="1"/>
  <c r="I21" i="1"/>
  <c r="J21" i="1"/>
  <c r="H22" i="1"/>
  <c r="K22" i="1"/>
  <c r="N22" i="1"/>
  <c r="H23" i="1"/>
  <c r="K23" i="1"/>
  <c r="N23" i="1"/>
  <c r="H24" i="1"/>
  <c r="E25" i="1"/>
  <c r="G25" i="1"/>
  <c r="N25" i="1" s="1"/>
  <c r="I25" i="1"/>
  <c r="J25" i="1"/>
  <c r="H26" i="1"/>
  <c r="N26" i="1"/>
  <c r="H27" i="1"/>
  <c r="N27" i="1"/>
  <c r="E28" i="1"/>
  <c r="G28" i="1"/>
  <c r="I28" i="1"/>
  <c r="J28" i="1"/>
  <c r="K30" i="1"/>
  <c r="N30" i="1"/>
  <c r="H31" i="1"/>
  <c r="K31" i="1"/>
  <c r="N31" i="1"/>
  <c r="H32" i="1"/>
  <c r="K32" i="1"/>
  <c r="N32" i="1"/>
  <c r="E33" i="1"/>
  <c r="G33" i="1"/>
  <c r="I33" i="1"/>
  <c r="J33" i="1"/>
  <c r="H34" i="1"/>
  <c r="K34" i="1"/>
  <c r="N34" i="1"/>
  <c r="H35" i="1"/>
  <c r="N35" i="1"/>
  <c r="E36" i="1"/>
  <c r="G36" i="1"/>
  <c r="H36" i="1" s="1"/>
  <c r="I36" i="1"/>
  <c r="J36" i="1"/>
  <c r="H37" i="1"/>
  <c r="K37" i="1"/>
  <c r="N37" i="1"/>
  <c r="H38" i="1"/>
  <c r="N38" i="1"/>
  <c r="E39" i="1"/>
  <c r="G39" i="1"/>
  <c r="I39" i="1"/>
  <c r="J39" i="1"/>
  <c r="H40" i="1"/>
  <c r="N40" i="1"/>
  <c r="H41" i="1"/>
  <c r="N41" i="1"/>
  <c r="H42" i="1"/>
  <c r="N42" i="1"/>
  <c r="E43" i="1"/>
  <c r="G43" i="1"/>
  <c r="I43" i="1"/>
  <c r="J43" i="1"/>
  <c r="H44" i="1"/>
  <c r="K44" i="1"/>
  <c r="N44" i="1"/>
  <c r="H45" i="1"/>
  <c r="K45" i="1"/>
  <c r="N45" i="1"/>
  <c r="H46" i="1"/>
  <c r="K46" i="1"/>
  <c r="N46" i="1"/>
  <c r="H47" i="1"/>
  <c r="K47" i="1"/>
  <c r="N47" i="1"/>
  <c r="E48" i="1"/>
  <c r="G48" i="1"/>
  <c r="I48" i="1"/>
  <c r="J48" i="1"/>
  <c r="K49" i="1"/>
  <c r="N49" i="1"/>
  <c r="K50" i="1"/>
  <c r="N50" i="1"/>
  <c r="H52" i="1"/>
  <c r="K52" i="1"/>
  <c r="N52" i="1"/>
  <c r="H53" i="1"/>
  <c r="K53" i="1"/>
  <c r="N53" i="1"/>
  <c r="H54" i="1"/>
  <c r="K54" i="1"/>
  <c r="N54" i="1"/>
  <c r="H55" i="1"/>
  <c r="N55" i="1"/>
  <c r="H56" i="1"/>
  <c r="K56" i="1"/>
  <c r="N56" i="1"/>
  <c r="E57" i="1"/>
  <c r="H57" i="1"/>
  <c r="N57" i="1"/>
  <c r="H58" i="1"/>
  <c r="N58" i="1"/>
  <c r="E59" i="1"/>
  <c r="G59" i="1"/>
  <c r="H59" i="1"/>
  <c r="H60" i="1"/>
  <c r="N60" i="1"/>
  <c r="E61" i="1"/>
  <c r="G61" i="1"/>
  <c r="I61" i="1"/>
  <c r="I51" i="1" s="1"/>
  <c r="J61" i="1"/>
  <c r="H62" i="1"/>
  <c r="N62" i="1"/>
  <c r="H63" i="1"/>
  <c r="N63" i="1"/>
  <c r="E65" i="1"/>
  <c r="G65" i="1"/>
  <c r="I65" i="1"/>
  <c r="J65" i="1"/>
  <c r="H66" i="1"/>
  <c r="K66" i="1"/>
  <c r="N66" i="1"/>
  <c r="H67" i="1"/>
  <c r="N67" i="1"/>
  <c r="H68" i="1"/>
  <c r="N68" i="1"/>
  <c r="H69" i="1"/>
  <c r="N69" i="1"/>
  <c r="H70" i="1"/>
  <c r="N70" i="1"/>
  <c r="H71" i="1"/>
  <c r="N71" i="1"/>
  <c r="H73" i="1"/>
  <c r="N73" i="1"/>
  <c r="E74" i="1"/>
  <c r="G74" i="1"/>
  <c r="I74" i="1"/>
  <c r="J74" i="1"/>
  <c r="H75" i="1"/>
  <c r="K75" i="1"/>
  <c r="N75" i="1"/>
  <c r="H76" i="1"/>
  <c r="K76" i="1"/>
  <c r="N76" i="1"/>
  <c r="E77" i="1"/>
  <c r="G77" i="1"/>
  <c r="H77" i="1" s="1"/>
  <c r="I77" i="1"/>
  <c r="J77" i="1"/>
  <c r="H78" i="1"/>
  <c r="N78" i="1"/>
  <c r="H79" i="1"/>
  <c r="K79" i="1"/>
  <c r="N79" i="1"/>
  <c r="E80" i="1"/>
  <c r="G80" i="1"/>
  <c r="I80" i="1"/>
  <c r="J80" i="1"/>
  <c r="H81" i="1"/>
  <c r="K81" i="1"/>
  <c r="N81" i="1"/>
  <c r="H82" i="1"/>
  <c r="K82" i="1"/>
  <c r="N82" i="1"/>
  <c r="H84" i="1"/>
  <c r="N84" i="1"/>
  <c r="E85" i="1"/>
  <c r="G85" i="1"/>
  <c r="N85" i="1" s="1"/>
  <c r="H86" i="1"/>
  <c r="N86" i="1"/>
  <c r="H87" i="1"/>
  <c r="N87" i="1"/>
  <c r="E88" i="1"/>
  <c r="G88" i="1"/>
  <c r="H89" i="1"/>
  <c r="N89" i="1"/>
  <c r="E90" i="1"/>
  <c r="G90" i="1"/>
  <c r="N90" i="1" s="1"/>
  <c r="H91" i="1"/>
  <c r="E92" i="1"/>
  <c r="G92" i="1"/>
  <c r="I92" i="1"/>
  <c r="J92" i="1"/>
  <c r="K93" i="1"/>
  <c r="N93" i="1"/>
  <c r="K96" i="1"/>
  <c r="N96" i="1"/>
  <c r="K100" i="1"/>
  <c r="N100" i="1"/>
  <c r="K103" i="1"/>
  <c r="N103" i="1"/>
  <c r="E107" i="1"/>
  <c r="G107" i="1"/>
  <c r="I107" i="1"/>
  <c r="J107" i="1"/>
  <c r="H108" i="1"/>
  <c r="K108" i="1"/>
  <c r="N108" i="1"/>
  <c r="H109" i="1"/>
  <c r="K109" i="1"/>
  <c r="N109" i="1"/>
  <c r="H111" i="1"/>
  <c r="N111" i="1"/>
  <c r="H112" i="1"/>
  <c r="K112" i="1"/>
  <c r="N112" i="1"/>
  <c r="H113" i="1"/>
  <c r="K113" i="1"/>
  <c r="N113" i="1"/>
  <c r="H114" i="1"/>
  <c r="K114" i="1"/>
  <c r="N114" i="1"/>
  <c r="E116" i="1"/>
  <c r="E110" i="1" s="1"/>
  <c r="G116" i="1"/>
  <c r="G110" i="1" s="1"/>
  <c r="I116" i="1"/>
  <c r="I110" i="1" s="1"/>
  <c r="J116" i="1"/>
  <c r="H117" i="1"/>
  <c r="K117" i="1"/>
  <c r="N117" i="1"/>
  <c r="H118" i="1"/>
  <c r="N118" i="1"/>
  <c r="E120" i="1"/>
  <c r="G120" i="1"/>
  <c r="N120" i="1" s="1"/>
  <c r="H121" i="1"/>
  <c r="N121" i="1"/>
  <c r="H122" i="1"/>
  <c r="N122" i="1"/>
  <c r="E123" i="1"/>
  <c r="G123" i="1"/>
  <c r="H124" i="1"/>
  <c r="N124" i="1"/>
  <c r="E125" i="1"/>
  <c r="G125" i="1"/>
  <c r="I125" i="1"/>
  <c r="J125" i="1"/>
  <c r="H126" i="1"/>
  <c r="K126" i="1"/>
  <c r="N126" i="1"/>
  <c r="H127" i="1"/>
  <c r="N127" i="1"/>
  <c r="E128" i="1"/>
  <c r="G128" i="1"/>
  <c r="I128" i="1"/>
  <c r="J128" i="1"/>
  <c r="K129" i="1"/>
  <c r="N129" i="1"/>
  <c r="E130" i="1"/>
  <c r="G130" i="1"/>
  <c r="I130" i="1"/>
  <c r="J130" i="1"/>
  <c r="K130" i="1" s="1"/>
  <c r="H131" i="1"/>
  <c r="N131" i="1"/>
  <c r="H132" i="1"/>
  <c r="N132" i="1"/>
  <c r="H133" i="1"/>
  <c r="E135" i="1"/>
  <c r="G135" i="1"/>
  <c r="I135" i="1"/>
  <c r="J135" i="1"/>
  <c r="H136" i="1"/>
  <c r="K136" i="1"/>
  <c r="N136" i="1"/>
  <c r="H137" i="1"/>
  <c r="N137" i="1"/>
  <c r="H138" i="1"/>
  <c r="K138" i="1"/>
  <c r="N138" i="1"/>
  <c r="K139" i="1"/>
  <c r="N139" i="1"/>
  <c r="K140" i="1"/>
  <c r="N140" i="1"/>
  <c r="H141" i="1"/>
  <c r="H142" i="1"/>
  <c r="K142" i="1"/>
  <c r="N142" i="1"/>
  <c r="E143" i="1"/>
  <c r="G143" i="1"/>
  <c r="I143" i="1"/>
  <c r="J143" i="1"/>
  <c r="K144" i="1"/>
  <c r="N144" i="1"/>
  <c r="K145" i="1"/>
  <c r="N145" i="1"/>
  <c r="N146" i="1"/>
  <c r="N147" i="1"/>
  <c r="J149" i="1"/>
  <c r="K150" i="1"/>
  <c r="N150" i="1"/>
  <c r="K152" i="1"/>
  <c r="N152" i="1"/>
  <c r="J153" i="1"/>
  <c r="I153" i="1"/>
  <c r="N154" i="1"/>
  <c r="K155" i="1"/>
  <c r="N155" i="1"/>
  <c r="N156" i="1"/>
  <c r="K157" i="1"/>
  <c r="N157" i="1"/>
  <c r="K158" i="1"/>
  <c r="N158" i="1"/>
  <c r="K159" i="1"/>
  <c r="N159" i="1"/>
  <c r="K160" i="1"/>
  <c r="N160" i="1"/>
  <c r="E161" i="1"/>
  <c r="E151" i="1" s="1"/>
  <c r="E148" i="1" s="1"/>
  <c r="G161" i="1"/>
  <c r="G151" i="1" s="1"/>
  <c r="I161" i="1"/>
  <c r="J161" i="1"/>
  <c r="K162" i="1"/>
  <c r="N162" i="1"/>
  <c r="E165" i="1"/>
  <c r="G165" i="1"/>
  <c r="I165" i="1"/>
  <c r="J165" i="1"/>
  <c r="H166" i="1"/>
  <c r="N166" i="1"/>
  <c r="E167" i="1"/>
  <c r="G167" i="1"/>
  <c r="N167" i="1" s="1"/>
  <c r="H168" i="1"/>
  <c r="N168" i="1"/>
  <c r="N169" i="1"/>
  <c r="E170" i="1"/>
  <c r="G170" i="1"/>
  <c r="I170" i="1"/>
  <c r="N170" i="1"/>
  <c r="H171" i="1"/>
  <c r="K171" i="1"/>
  <c r="N171" i="1"/>
  <c r="E172" i="1"/>
  <c r="G172" i="1"/>
  <c r="I172" i="1"/>
  <c r="J172" i="1"/>
  <c r="K172" i="1" s="1"/>
  <c r="H173" i="1"/>
  <c r="K173" i="1"/>
  <c r="N173" i="1"/>
  <c r="H174" i="1"/>
  <c r="N174" i="1"/>
  <c r="H176" i="1"/>
  <c r="N176" i="1"/>
  <c r="E177" i="1"/>
  <c r="G177" i="1"/>
  <c r="I177" i="1"/>
  <c r="J177" i="1"/>
  <c r="H178" i="1"/>
  <c r="N178" i="1"/>
  <c r="H179" i="1"/>
  <c r="N179" i="1"/>
  <c r="H180" i="1"/>
  <c r="K180" i="1"/>
  <c r="N180" i="1"/>
  <c r="K181" i="1"/>
  <c r="N181" i="1"/>
  <c r="N182" i="1"/>
  <c r="H183" i="1"/>
  <c r="N183" i="1"/>
  <c r="I184" i="1"/>
  <c r="J184" i="1"/>
  <c r="E184" i="1"/>
  <c r="H187" i="1"/>
  <c r="K187" i="1"/>
  <c r="E189" i="1"/>
  <c r="G189" i="1"/>
  <c r="I189" i="1"/>
  <c r="K189" i="1" s="1"/>
  <c r="J189" i="1"/>
  <c r="N190" i="1"/>
  <c r="H191" i="1"/>
  <c r="N191" i="1"/>
  <c r="K192" i="1"/>
  <c r="H195" i="1"/>
  <c r="N195" i="1"/>
  <c r="E196" i="1"/>
  <c r="G196" i="1"/>
  <c r="I196" i="1"/>
  <c r="J196" i="1"/>
  <c r="K197" i="1"/>
  <c r="N197" i="1"/>
  <c r="E198" i="1"/>
  <c r="G198" i="1"/>
  <c r="I198" i="1"/>
  <c r="J198" i="1"/>
  <c r="H199" i="1"/>
  <c r="N199" i="1"/>
  <c r="H200" i="1"/>
  <c r="N200" i="1"/>
  <c r="E201" i="1"/>
  <c r="G201" i="1"/>
  <c r="N201" i="1" s="1"/>
  <c r="I201" i="1"/>
  <c r="J201" i="1"/>
  <c r="N202" i="1"/>
  <c r="E204" i="1"/>
  <c r="G204" i="1"/>
  <c r="I204" i="1"/>
  <c r="J204" i="1"/>
  <c r="H205" i="1"/>
  <c r="N205" i="1"/>
  <c r="E206" i="1"/>
  <c r="G206" i="1"/>
  <c r="I206" i="1"/>
  <c r="J206" i="1"/>
  <c r="H207" i="1"/>
  <c r="N207" i="1"/>
  <c r="H208" i="1"/>
  <c r="N208" i="1"/>
  <c r="H209" i="1"/>
  <c r="K209" i="1"/>
  <c r="N209" i="1"/>
  <c r="L210" i="1"/>
  <c r="M210" i="1"/>
  <c r="E213" i="1"/>
  <c r="E212" i="1" s="1"/>
  <c r="E211" i="1" s="1"/>
  <c r="G213" i="1"/>
  <c r="H213" i="1" s="1"/>
  <c r="I213" i="1"/>
  <c r="I212" i="1" s="1"/>
  <c r="I211" i="1" s="1"/>
  <c r="J213" i="1"/>
  <c r="J212" i="1" s="1"/>
  <c r="K215" i="1"/>
  <c r="N215" i="1"/>
  <c r="L216" i="1"/>
  <c r="M216" i="1"/>
  <c r="N28" i="1" l="1"/>
  <c r="H151" i="1"/>
  <c r="K80" i="1"/>
  <c r="N135" i="1"/>
  <c r="H110" i="1"/>
  <c r="K92" i="1"/>
  <c r="N107" i="1"/>
  <c r="N61" i="1"/>
  <c r="G51" i="1"/>
  <c r="K48" i="1"/>
  <c r="K196" i="1"/>
  <c r="N189" i="1"/>
  <c r="H33" i="1"/>
  <c r="I119" i="1"/>
  <c r="H177" i="1"/>
  <c r="H170" i="1"/>
  <c r="N92" i="1"/>
  <c r="N59" i="1"/>
  <c r="N213" i="1"/>
  <c r="J134" i="1"/>
  <c r="K135" i="1"/>
  <c r="K36" i="1"/>
  <c r="K21" i="1"/>
  <c r="N192" i="1"/>
  <c r="N130" i="1"/>
  <c r="H123" i="1"/>
  <c r="H107" i="1"/>
  <c r="H80" i="1"/>
  <c r="N33" i="1"/>
  <c r="H14" i="1"/>
  <c r="K170" i="1"/>
  <c r="H167" i="1"/>
  <c r="I64" i="1"/>
  <c r="E188" i="1"/>
  <c r="G203" i="1"/>
  <c r="K161" i="1"/>
  <c r="H135" i="1"/>
  <c r="K128" i="1"/>
  <c r="E119" i="1"/>
  <c r="H125" i="1"/>
  <c r="K107" i="1"/>
  <c r="H90" i="1"/>
  <c r="H85" i="1"/>
  <c r="N80" i="1"/>
  <c r="N77" i="1"/>
  <c r="H65" i="1"/>
  <c r="H39" i="1"/>
  <c r="N36" i="1"/>
  <c r="K28" i="1"/>
  <c r="J119" i="1"/>
  <c r="H206" i="1"/>
  <c r="N204" i="1"/>
  <c r="H198" i="1"/>
  <c r="N196" i="1"/>
  <c r="I188" i="1"/>
  <c r="N187" i="1"/>
  <c r="E175" i="1"/>
  <c r="H172" i="1"/>
  <c r="G164" i="1"/>
  <c r="K154" i="1"/>
  <c r="K149" i="1"/>
  <c r="I134" i="1"/>
  <c r="H88" i="1"/>
  <c r="H74" i="1"/>
  <c r="E51" i="1"/>
  <c r="H43" i="1"/>
  <c r="H25" i="1"/>
  <c r="E19" i="1"/>
  <c r="K16" i="1"/>
  <c r="N206" i="1"/>
  <c r="I203" i="1"/>
  <c r="N198" i="1"/>
  <c r="H189" i="1"/>
  <c r="N185" i="1"/>
  <c r="G184" i="1"/>
  <c r="H184" i="1" s="1"/>
  <c r="N177" i="1"/>
  <c r="E134" i="1"/>
  <c r="N141" i="1"/>
  <c r="G134" i="1"/>
  <c r="H130" i="1"/>
  <c r="N128" i="1"/>
  <c r="N125" i="1"/>
  <c r="K116" i="1"/>
  <c r="K74" i="1"/>
  <c r="N48" i="1"/>
  <c r="I19" i="1"/>
  <c r="I164" i="1"/>
  <c r="G212" i="1"/>
  <c r="G211" i="1" s="1"/>
  <c r="H204" i="1"/>
  <c r="I175" i="1"/>
  <c r="J164" i="1"/>
  <c r="E164" i="1"/>
  <c r="J151" i="1"/>
  <c r="N151" i="1" s="1"/>
  <c r="K125" i="1"/>
  <c r="H120" i="1"/>
  <c r="K65" i="1"/>
  <c r="E64" i="1"/>
  <c r="H61" i="1"/>
  <c r="K43" i="1"/>
  <c r="K33" i="1"/>
  <c r="H21" i="1"/>
  <c r="K184" i="1"/>
  <c r="J211" i="1"/>
  <c r="N161" i="1"/>
  <c r="N39" i="1"/>
  <c r="G19" i="1"/>
  <c r="J203" i="1"/>
  <c r="J188" i="1"/>
  <c r="K185" i="1"/>
  <c r="G175" i="1"/>
  <c r="N172" i="1"/>
  <c r="H165" i="1"/>
  <c r="J64" i="1"/>
  <c r="J51" i="1"/>
  <c r="G188" i="1"/>
  <c r="I151" i="1"/>
  <c r="G64" i="1"/>
  <c r="J175" i="1"/>
  <c r="N165" i="1"/>
  <c r="N153" i="1"/>
  <c r="N149" i="1"/>
  <c r="N143" i="1"/>
  <c r="N123" i="1"/>
  <c r="G119" i="1"/>
  <c r="N116" i="1"/>
  <c r="H116" i="1"/>
  <c r="N88" i="1"/>
  <c r="N74" i="1"/>
  <c r="N65" i="1"/>
  <c r="N43" i="1"/>
  <c r="J14" i="1"/>
  <c r="J110" i="1"/>
  <c r="K182" i="1"/>
  <c r="K153" i="1"/>
  <c r="K143" i="1"/>
  <c r="N21" i="1"/>
  <c r="N184" i="1" l="1"/>
  <c r="G148" i="1"/>
  <c r="H148" i="1" s="1"/>
  <c r="K175" i="1"/>
  <c r="K119" i="1"/>
  <c r="K134" i="1"/>
  <c r="H203" i="1"/>
  <c r="N211" i="1"/>
  <c r="K164" i="1"/>
  <c r="K19" i="1"/>
  <c r="H188" i="1"/>
  <c r="H134" i="1"/>
  <c r="N134" i="1"/>
  <c r="O134" i="1" s="1"/>
  <c r="E210" i="1"/>
  <c r="N164" i="1"/>
  <c r="H164" i="1"/>
  <c r="H51" i="1"/>
  <c r="N212" i="1"/>
  <c r="H119" i="1"/>
  <c r="I148" i="1"/>
  <c r="I210" i="1" s="1"/>
  <c r="I238" i="1" s="1"/>
  <c r="K110" i="1"/>
  <c r="N110" i="1"/>
  <c r="O110" i="1" s="1"/>
  <c r="N203" i="1"/>
  <c r="O203" i="1" s="1"/>
  <c r="K203" i="1"/>
  <c r="N119" i="1"/>
  <c r="O119" i="1" s="1"/>
  <c r="N14" i="1"/>
  <c r="O14" i="1" s="1"/>
  <c r="K14" i="1"/>
  <c r="N64" i="1"/>
  <c r="K64" i="1"/>
  <c r="N175" i="1"/>
  <c r="H175" i="1"/>
  <c r="H19" i="1"/>
  <c r="N19" i="1"/>
  <c r="O19" i="1" s="1"/>
  <c r="K151" i="1"/>
  <c r="J148" i="1"/>
  <c r="J210" i="1" s="1"/>
  <c r="H64" i="1"/>
  <c r="N51" i="1"/>
  <c r="O51" i="1" s="1"/>
  <c r="K51" i="1"/>
  <c r="N188" i="1"/>
  <c r="O188" i="1" s="1"/>
  <c r="K188" i="1"/>
  <c r="G210" i="1" l="1"/>
  <c r="H210" i="1" s="1"/>
  <c r="E216" i="1"/>
  <c r="E238" i="1"/>
  <c r="I216" i="1"/>
  <c r="N148" i="1"/>
  <c r="O148" i="1" s="1"/>
  <c r="K148" i="1"/>
  <c r="K210" i="1"/>
  <c r="J216" i="1"/>
  <c r="G216" i="1" l="1"/>
  <c r="K216" i="1"/>
  <c r="N210" i="1"/>
  <c r="N216" i="1" l="1"/>
  <c r="S216" i="1" s="1"/>
  <c r="O210" i="1"/>
  <c r="O216" i="1" l="1"/>
</calcChain>
</file>

<file path=xl/sharedStrings.xml><?xml version="1.0" encoding="utf-8"?>
<sst xmlns="http://schemas.openxmlformats.org/spreadsheetml/2006/main" count="675" uniqueCount="552">
  <si>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</si>
  <si>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</si>
  <si>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</si>
  <si>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</si>
  <si>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</si>
  <si>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</si>
  <si>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</si>
  <si>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</si>
  <si>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</si>
  <si>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</si>
  <si>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</si>
  <si>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</si>
  <si>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</si>
  <si>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</si>
  <si>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</si>
  <si>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</si>
  <si>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</si>
  <si>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</si>
  <si>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</si>
  <si>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</si>
  <si>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</si>
  <si>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</si>
  <si>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</si>
  <si>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</si>
  <si>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</si>
  <si>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</si>
  <si>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</si>
  <si>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</si>
  <si>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</si>
  <si>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</si>
  <si>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</si>
  <si>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</si>
  <si>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</si>
  <si>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</si>
  <si>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</si>
  <si>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</si>
  <si>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</si>
  <si>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</si>
  <si>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</si>
  <si>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</si>
  <si>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</si>
  <si>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</si>
  <si>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</si>
  <si>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</si>
  <si>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</si>
  <si>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</si>
  <si>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</si>
  <si>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</si>
  <si>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</si>
  <si>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</si>
  <si>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</si>
  <si>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</si>
  <si>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</si>
  <si>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</si>
  <si>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</si>
  <si>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</si>
  <si>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</si>
  <si>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</si>
  <si>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</si>
  <si>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</si>
  <si>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</si>
  <si>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</si>
  <si>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</si>
  <si>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</si>
  <si>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</si>
  <si>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</si>
  <si>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</si>
  <si>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</si>
  <si>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</si>
  <si>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</si>
  <si>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</si>
  <si>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</si>
  <si>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</si>
  <si>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</si>
  <si>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</si>
  <si>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</si>
  <si>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</si>
  <si>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</si>
  <si>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</si>
  <si>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</si>
  <si>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</si>
  <si>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</si>
  <si>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</si>
  <si>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</si>
  <si>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</si>
  <si>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</si>
  <si>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</si>
  <si>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</si>
  <si>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</si>
  <si>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</si>
  <si>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</si>
  <si>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</si>
  <si>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</si>
  <si>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</si>
  <si>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</si>
  <si>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</si>
  <si>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</si>
  <si>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</si>
  <si>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</si>
  <si>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</si>
  <si>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</si>
  <si>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</si>
  <si>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</si>
  <si>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</si>
  <si>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</si>
  <si>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</si>
  <si>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</si>
  <si>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</si>
  <si>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</si>
  <si>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</si>
  <si>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</si>
  <si>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</si>
  <si>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</si>
  <si>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</si>
  <si>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</si>
  <si>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</si>
  <si>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</si>
  <si>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</si>
  <si>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</si>
  <si>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</si>
  <si>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</si>
  <si>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</si>
  <si>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</si>
  <si>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</si>
  <si>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</si>
  <si>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</si>
  <si>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</si>
  <si>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</si>
  <si>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</si>
  <si>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</si>
  <si>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</si>
  <si>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</si>
  <si>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</si>
  <si>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</si>
  <si>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</si>
  <si>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</si>
  <si>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</si>
  <si>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</si>
  <si>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</si>
  <si>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</si>
  <si>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</si>
  <si>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</si>
  <si>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</si>
  <si>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</si>
  <si>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</si>
  <si>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</si>
  <si>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</si>
  <si>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</si>
  <si>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</si>
  <si>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</si>
  <si>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</si>
  <si>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</si>
  <si>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</si>
  <si>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</si>
  <si>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</si>
  <si>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</si>
  <si>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</si>
  <si>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</si>
  <si>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</si>
  <si>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</si>
  <si>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</si>
  <si>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</si>
  <si>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</si>
  <si>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</si>
  <si>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</si>
  <si>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</si>
  <si>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</si>
  <si>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</si>
  <si>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</si>
  <si>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</si>
  <si>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</si>
  <si>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</si>
  <si>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</si>
  <si>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</si>
  <si>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</si>
  <si>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</si>
  <si>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</si>
  <si>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</si>
  <si>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</si>
  <si>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</si>
  <si>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</si>
  <si>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</si>
  <si>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</si>
  <si>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</si>
  <si>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</si>
  <si>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</si>
  <si>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</si>
  <si>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</si>
  <si>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</si>
  <si>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</si>
  <si>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</si>
  <si>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</si>
  <si>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</si>
  <si>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</si>
  <si>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</si>
  <si>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</si>
  <si>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</si>
  <si>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</si>
  <si>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</si>
  <si>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</si>
  <si>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</si>
  <si>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</si>
  <si>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</si>
  <si>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</si>
  <si>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</si>
  <si>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</si>
  <si>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</si>
  <si>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</si>
  <si>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</si>
  <si>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</si>
  <si>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</si>
  <si>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</si>
  <si>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</si>
  <si>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</si>
  <si>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</si>
  <si>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</si>
  <si>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</si>
  <si>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</si>
  <si>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</si>
  <si>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</si>
  <si>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</si>
  <si>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</si>
  <si>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</si>
  <si>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</si>
  <si>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</si>
  <si>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</si>
  <si>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</si>
  <si>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</si>
  <si>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</si>
  <si>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</si>
  <si>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</si>
  <si>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</si>
  <si>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</si>
  <si>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</si>
  <si>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</si>
  <si>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</si>
  <si>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</si>
  <si>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</si>
  <si>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</si>
  <si>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</si>
  <si>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</si>
  <si>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</si>
  <si>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</si>
  <si>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</si>
  <si>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</si>
  <si>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</si>
  <si>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</si>
  <si>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</si>
  <si>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</si>
  <si>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</si>
  <si>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</si>
  <si>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</si>
  <si>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</si>
  <si>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</si>
  <si>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</si>
  <si>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</si>
  <si>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</si>
  <si>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</si>
  <si>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</si>
  <si>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</si>
  <si>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</si>
  <si>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</si>
  <si>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</si>
  <si>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</si>
  <si>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</si>
  <si>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</si>
  <si>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</si>
  <si>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</si>
  <si>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</si>
  <si>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</si>
  <si>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</si>
  <si>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</si>
  <si>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</si>
  <si>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</si>
  <si>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</si>
  <si>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</si>
  <si>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</si>
  <si>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</si>
  <si>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</si>
  <si>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</si>
  <si>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</si>
  <si>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</si>
  <si>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</si>
  <si>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</si>
  <si>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</si>
  <si>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</si>
  <si>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</si>
  <si>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</si>
  <si>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</si>
  <si>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</si>
  <si>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</si>
  <si>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</si>
  <si>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</si>
  <si>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</si>
  <si>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</si>
  <si>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</si>
  <si>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</si>
  <si>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</si>
  <si>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</si>
  <si>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</si>
  <si>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</si>
  <si>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</si>
  <si>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</si>
  <si>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</si>
  <si>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</si>
  <si>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</si>
  <si>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</si>
  <si>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</si>
  <si>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</si>
  <si>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</si>
  <si>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</si>
  <si>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</si>
  <si>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</si>
  <si>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</si>
  <si>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</si>
  <si>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</si>
  <si>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</si>
  <si>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</si>
  <si>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</si>
  <si>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</si>
  <si>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</si>
  <si>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</si>
  <si>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</si>
  <si>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</si>
  <si>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</si>
  <si>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</si>
  <si>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</si>
  <si>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</si>
  <si>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</si>
  <si>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</si>
  <si>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</si>
  <si>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</si>
  <si>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</si>
  <si>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</si>
  <si>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</si>
  <si>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</si>
  <si>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</si>
  <si>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</si>
  <si>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</si>
  <si>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</si>
  <si>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</si>
  <si>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</si>
  <si>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</si>
  <si>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</si>
  <si>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</si>
  <si>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</si>
  <si>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</si>
  <si>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</si>
  <si>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</si>
  <si>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</si>
  <si>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</si>
  <si>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</si>
  <si>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</si>
  <si>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</si>
  <si>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</si>
  <si>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</si>
  <si>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</si>
  <si>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</si>
  <si>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</si>
  <si>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</si>
  <si>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</si>
  <si>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</si>
  <si>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</si>
  <si>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</si>
  <si>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</si>
  <si>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</si>
  <si>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</si>
  <si>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</si>
  <si>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</si>
  <si>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</si>
  <si>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</si>
  <si>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</si>
  <si>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</si>
  <si>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</si>
  <si>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</si>
  <si>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</si>
  <si>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</si>
  <si>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</si>
  <si>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</si>
  <si>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</si>
  <si>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</si>
  <si>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</si>
  <si>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</si>
  <si>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</si>
  <si>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</si>
  <si>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</si>
  <si>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</si>
  <si>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</si>
  <si>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</si>
  <si>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</si>
  <si>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</si>
  <si>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</si>
  <si>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</si>
  <si>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</si>
  <si>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</si>
  <si>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</si>
  <si>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</si>
  <si>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</si>
  <si>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</si>
  <si>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</si>
  <si>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</si>
  <si>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</si>
  <si>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</si>
  <si>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</si>
  <si>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</si>
  <si>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</si>
  <si>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</si>
  <si>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</si>
  <si>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</si>
  <si>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</si>
  <si>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</si>
  <si>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</si>
  <si>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</si>
  <si>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</si>
  <si>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</si>
  <si>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</si>
  <si>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</si>
  <si>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</si>
  <si>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</si>
  <si>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</si>
  <si>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</si>
  <si>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</si>
  <si>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</si>
  <si>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</si>
  <si>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</si>
  <si>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</si>
  <si>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</si>
  <si>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</si>
  <si>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</si>
  <si>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</si>
  <si>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</si>
  <si>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</si>
  <si>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</si>
  <si>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</si>
  <si>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</si>
  <si>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</si>
  <si>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</si>
  <si>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</si>
  <si>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</si>
  <si>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</si>
  <si>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</si>
  <si>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</si>
  <si>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</si>
  <si>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</si>
  <si>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</si>
  <si>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</si>
  <si>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</si>
  <si>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</si>
  <si>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</si>
  <si>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</si>
  <si>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</si>
  <si>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</si>
  <si>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</si>
  <si>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</si>
  <si>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</si>
  <si>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</si>
  <si>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</si>
  <si>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</si>
  <si>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</si>
  <si>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</si>
  <si>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</si>
  <si>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</si>
  <si>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</si>
  <si>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</si>
  <si>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</si>
  <si>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</si>
  <si>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</si>
  <si>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</si>
  <si>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</si>
  <si>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</si>
  <si>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</si>
  <si>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</si>
  <si>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</si>
  <si>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</si>
  <si>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</si>
  <si>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</si>
  <si>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</si>
  <si>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</si>
  <si>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</si>
  <si>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</si>
  <si>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</si>
  <si>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</si>
  <si>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</si>
  <si>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</si>
  <si>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</si>
  <si>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</si>
  <si>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</si>
  <si>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</si>
  <si>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</si>
  <si>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</si>
  <si>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</si>
  <si>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</si>
  <si>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</si>
  <si>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</si>
  <si>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</si>
  <si>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</si>
  <si>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</si>
  <si>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</si>
  <si>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</si>
  <si>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</si>
  <si>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</si>
  <si>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</si>
  <si>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</si>
  <si>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</si>
  <si>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Затверджено на 2022 рік з урахуванням змін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</si>
  <si>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</si>
  <si>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</si>
  <si>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</si>
  <si>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</si>
  <si>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</si>
  <si>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</si>
  <si>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</si>
  <si>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</si>
  <si>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</si>
  <si>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</si>
  <si>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</si>
  <si>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</si>
  <si>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</si>
  <si>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</si>
  <si>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</si>
  <si>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</si>
  <si>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</si>
  <si>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</si>
  <si>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</si>
  <si>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</si>
  <si>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</si>
  <si>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</si>
  <si>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</si>
  <si>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</si>
  <si>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</si>
  <si>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</si>
  <si>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</si>
  <si>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</si>
  <si>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</si>
  <si>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Начальник фінансового управління</t>
  </si>
  <si>
    <t>С. ЯМЧУК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</si>
  <si>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</si>
  <si>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</si>
  <si>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</si>
  <si>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</si>
  <si>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</si>
  <si>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</si>
  <si>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</si>
  <si>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</si>
  <si>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</si>
  <si>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за 2022 рік</t>
  </si>
  <si>
    <t>Виконано за 2022 рік</t>
  </si>
  <si>
    <t>Виконано за 2022 рік разом по загальному та спеціальному фондах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</si>
  <si>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</si>
  <si>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</si>
  <si>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</si>
  <si>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 xml:space="preserve">до рішення  №79 від  09.02.2023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</si>
</sst>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7" tint="0.59999389629810485"/>
        </stop>
      </gradient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0" borderId="0" xfId="0" applyNumberFormat="1" applyFont="1" applyAlignment="1">
      <alignment horizontal="left" vertical="center"/>
    </xf>
    <xf numFmtId="4" fontId="37" fillId="3" borderId="0" xfId="0" applyNumberFormat="1" applyFont="1" applyFill="1"/>
    <xf numFmtId="4" fontId="38" fillId="4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33" fillId="0" borderId="0" xfId="0" applyNumberFormat="1" applyFont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 wrapText="1"/>
    </xf>
    <xf numFmtId="164" fontId="27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 wrapText="1"/>
    </xf>
    <xf numFmtId="164" fontId="3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28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0" fillId="0" borderId="0" xfId="0" applyNumberFormat="1" applyFont="1" applyFill="1" applyAlignment="1">
      <alignment horizontal="center" wrapText="1"/>
    </xf>
    <xf numFmtId="49" fontId="40" fillId="0" borderId="3" xfId="0" applyNumberFormat="1" applyFont="1" applyFill="1" applyBorder="1" applyAlignment="1">
      <alignment horizontal="center" vertical="top" wrapText="1"/>
    </xf>
    <xf numFmtId="4" fontId="27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5" borderId="1" xfId="1" applyNumberFormat="1" applyFont="1" applyFill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/>
    </xf>
    <xf numFmtId="4" fontId="2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4" fillId="0" borderId="1" xfId="0" applyNumberFormat="1" applyFont="1" applyFill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/>
    </xf>
    <xf numFmtId="4" fontId="45" fillId="0" borderId="1" xfId="0" applyNumberFormat="1" applyFont="1" applyFill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>
      <alignment horizontal="center" vertical="center" wrapText="1"/>
    </xf>
    <xf numFmtId="0" fontId="16" fillId="6" borderId="1" xfId="1" applyFont="1" applyFill="1" applyBorder="1" applyAlignment="1" applyProtection="1">
      <alignment horizontal="center" vertical="center" wrapText="1"/>
      <protection locked="0"/>
    </xf>
    <xf numFmtId="4" fontId="16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4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>
      <alignment horizontal="center" vertical="center" wrapText="1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>
      <alignment horizontal="center" vertical="center" wrapText="1"/>
    </xf>
    <xf numFmtId="49" fontId="46" fillId="5" borderId="1" xfId="0" applyNumberFormat="1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164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0" applyNumberFormat="1" applyFont="1" applyFill="1" applyBorder="1" applyAlignment="1">
      <alignment horizont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 wrapText="1"/>
    </xf>
    <xf numFmtId="4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5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6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47" fillId="3" borderId="0" xfId="0" applyNumberFormat="1" applyFont="1" applyFill="1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3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164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3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3"/>
  <sheetViews>
    <sheetView tabSelected="1" view="pageBreakPreview" topLeftCell="B1" zoomScale="25" zoomScaleNormal="25" zoomScaleSheetLayoutView="25" zoomScalePageLayoutView="10" workbookViewId="0">
      <pane ySplit="13" topLeftCell="A197" activePane="bottomLeft" state="frozen"/>
      <selection activeCell="B1" sqref="B1"/>
      <selection pane="bottomLeft" activeCell="A4" sqref="A4:N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62.5703125" style="1" hidden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40" style="5" hidden="1" customWidth="1"/>
    <col min="16" max="16" width="38.85546875" style="5" hidden="1" customWidth="1"/>
    <col min="17" max="17" width="39.42578125" hidden="1" customWidth="1"/>
    <col min="18" max="18" width="72.570312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70" t="s">
        <v>429</v>
      </c>
      <c r="L2" s="170"/>
      <c r="M2" s="170"/>
      <c r="N2" s="170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71" t="s">
        <v>551</v>
      </c>
      <c r="K3" s="171"/>
      <c r="L3" s="171"/>
      <c r="M3" s="171"/>
      <c r="N3" s="171"/>
      <c r="O3" s="49"/>
    </row>
    <row r="4" spans="1:16" ht="45" x14ac:dyDescent="0.2">
      <c r="A4" s="179" t="s">
        <v>430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6" ht="45" x14ac:dyDescent="0.2">
      <c r="A5" s="179" t="s">
        <v>545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80">
        <v>2256400000</v>
      </c>
      <c r="B7" s="18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72" t="s">
        <v>0</v>
      </c>
      <c r="B8" s="17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73" t="s">
        <v>2</v>
      </c>
      <c r="B10" s="173" t="s">
        <v>3</v>
      </c>
      <c r="C10" s="173" t="s">
        <v>4</v>
      </c>
      <c r="D10" s="173" t="s">
        <v>431</v>
      </c>
      <c r="E10" s="176" t="s">
        <v>5</v>
      </c>
      <c r="F10" s="177"/>
      <c r="G10" s="177"/>
      <c r="H10" s="178"/>
      <c r="I10" s="176" t="s">
        <v>6</v>
      </c>
      <c r="J10" s="177"/>
      <c r="K10" s="177"/>
      <c r="L10" s="177"/>
      <c r="M10" s="178"/>
      <c r="N10" s="173" t="s">
        <v>547</v>
      </c>
    </row>
    <row r="11" spans="1:16" ht="96" customHeight="1" thickTop="1" thickBot="1" x14ac:dyDescent="0.25">
      <c r="A11" s="174"/>
      <c r="B11" s="174"/>
      <c r="C11" s="174"/>
      <c r="D11" s="174"/>
      <c r="E11" s="173" t="s">
        <v>504</v>
      </c>
      <c r="F11" s="173" t="s">
        <v>504</v>
      </c>
      <c r="G11" s="173" t="s">
        <v>546</v>
      </c>
      <c r="H11" s="173" t="s">
        <v>432</v>
      </c>
      <c r="I11" s="173" t="s">
        <v>504</v>
      </c>
      <c r="J11" s="173" t="s">
        <v>546</v>
      </c>
      <c r="K11" s="173" t="s">
        <v>432</v>
      </c>
      <c r="L11" s="7"/>
      <c r="M11" s="173"/>
      <c r="N11" s="174"/>
    </row>
    <row r="12" spans="1:16" ht="208.5" customHeight="1" thickTop="1" thickBot="1" x14ac:dyDescent="0.25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7"/>
      <c r="M12" s="175"/>
      <c r="N12" s="175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506</v>
      </c>
      <c r="J13" s="8" t="s">
        <v>507</v>
      </c>
      <c r="K13" s="8" t="s">
        <v>508</v>
      </c>
      <c r="L13" s="8"/>
      <c r="M13" s="8"/>
      <c r="N13" s="8" t="s">
        <v>509</v>
      </c>
      <c r="O13" s="9"/>
      <c r="P13" s="10"/>
    </row>
    <row r="14" spans="1:16" s="14" customFormat="1" ht="88.5" customHeight="1" thickTop="1" thickBot="1" x14ac:dyDescent="0.25">
      <c r="A14" s="58" t="s">
        <v>13</v>
      </c>
      <c r="B14" s="106" t="s">
        <v>14</v>
      </c>
      <c r="C14" s="106"/>
      <c r="D14" s="107" t="s">
        <v>15</v>
      </c>
      <c r="E14" s="104">
        <f>SUM(E15:E18)</f>
        <v>267893589.92000002</v>
      </c>
      <c r="F14" s="104">
        <f>SUM(F15:F18)</f>
        <v>269021783.92000002</v>
      </c>
      <c r="G14" s="104">
        <f t="shared" ref="G14:J14" si="0">SUM(G15:G18)</f>
        <v>231943713.09000003</v>
      </c>
      <c r="H14" s="105">
        <f t="shared" ref="H14:H27" si="1">G14/F14</f>
        <v>0.86217446673007703</v>
      </c>
      <c r="I14" s="104">
        <f t="shared" si="0"/>
        <v>3730108</v>
      </c>
      <c r="J14" s="104">
        <f t="shared" si="0"/>
        <v>3411213.79</v>
      </c>
      <c r="K14" s="105">
        <f>J14/I14</f>
        <v>0.9145080490967018</v>
      </c>
      <c r="L14" s="104"/>
      <c r="M14" s="104"/>
      <c r="N14" s="108">
        <f t="shared" ref="N14:N27" si="2">G14+J14</f>
        <v>235354926.88000003</v>
      </c>
      <c r="O14" s="54" t="b">
        <f>N14=N15+N16+N17+N18</f>
        <v>1</v>
      </c>
      <c r="P14" s="13"/>
    </row>
    <row r="15" spans="1:16" ht="230.25" thickTop="1" thickBot="1" x14ac:dyDescent="0.25">
      <c r="A15" s="59" t="s">
        <v>16</v>
      </c>
      <c r="B15" s="96" t="s">
        <v>17</v>
      </c>
      <c r="C15" s="96" t="s">
        <v>18</v>
      </c>
      <c r="D15" s="96" t="s">
        <v>19</v>
      </c>
      <c r="E15" s="97">
        <v>125443062</v>
      </c>
      <c r="F15" s="97">
        <v>123663062</v>
      </c>
      <c r="G15" s="97">
        <v>105899004.59</v>
      </c>
      <c r="H15" s="98">
        <f t="shared" si="1"/>
        <v>0.85635114380395982</v>
      </c>
      <c r="I15" s="97">
        <v>2079990</v>
      </c>
      <c r="J15" s="99">
        <v>1984582.8</v>
      </c>
      <c r="K15" s="98">
        <f t="shared" ref="K15:K18" si="3">J15/I15</f>
        <v>0.95413093332179488</v>
      </c>
      <c r="L15" s="100"/>
      <c r="M15" s="101"/>
      <c r="N15" s="102">
        <f t="shared" si="2"/>
        <v>107883587.39</v>
      </c>
      <c r="O15" s="15"/>
      <c r="P15" s="16"/>
    </row>
    <row r="16" spans="1:16" ht="138.75" thickTop="1" thickBot="1" x14ac:dyDescent="0.25">
      <c r="A16" s="59" t="s">
        <v>20</v>
      </c>
      <c r="B16" s="96" t="s">
        <v>21</v>
      </c>
      <c r="C16" s="96" t="s">
        <v>18</v>
      </c>
      <c r="D16" s="96" t="s">
        <v>22</v>
      </c>
      <c r="E16" s="97">
        <v>123176518.92</v>
      </c>
      <c r="F16" s="97">
        <f>2518497.92+57297860+8823482+8872984+3675330+8164495+6613581+6793333+9970960+10364190</f>
        <v>123094712.92</v>
      </c>
      <c r="G16" s="97">
        <f>2433686.07+53682307.95+6845572.1+7026815.68+2742116.63+6220356.76+5928160.72+5858134.9+7174048.84+8556870.18</f>
        <v>106468069.83000001</v>
      </c>
      <c r="H16" s="98">
        <f t="shared" si="1"/>
        <v>0.86492804852791894</v>
      </c>
      <c r="I16" s="97">
        <f>99000+849300+164996+164000+0+90000+110500+46000+40000+70000</f>
        <v>1633796</v>
      </c>
      <c r="J16" s="99">
        <f>90715+849300+64995.99+141880+0+61140+108500+0+24600+70000</f>
        <v>1411130.99</v>
      </c>
      <c r="K16" s="98">
        <f t="shared" si="3"/>
        <v>0.86371308902702659</v>
      </c>
      <c r="L16" s="100"/>
      <c r="M16" s="101"/>
      <c r="N16" s="102">
        <f t="shared" si="2"/>
        <v>107879200.82000001</v>
      </c>
      <c r="O16" s="15"/>
      <c r="P16" s="16"/>
    </row>
    <row r="17" spans="1:18" ht="93" thickTop="1" thickBot="1" x14ac:dyDescent="0.25">
      <c r="A17" s="103" t="s">
        <v>23</v>
      </c>
      <c r="B17" s="96" t="s">
        <v>24</v>
      </c>
      <c r="C17" s="96" t="s">
        <v>25</v>
      </c>
      <c r="D17" s="96" t="s">
        <v>26</v>
      </c>
      <c r="E17" s="97">
        <v>145588</v>
      </c>
      <c r="F17" s="97">
        <f>49000+12000+10000+10000+7588+7000</f>
        <v>95588</v>
      </c>
      <c r="G17" s="97">
        <f>10000+0+0</f>
        <v>10000</v>
      </c>
      <c r="H17" s="98">
        <f t="shared" si="1"/>
        <v>0.1046156421308114</v>
      </c>
      <c r="I17" s="97"/>
      <c r="J17" s="99"/>
      <c r="K17" s="100"/>
      <c r="L17" s="100"/>
      <c r="M17" s="101"/>
      <c r="N17" s="102">
        <f t="shared" si="2"/>
        <v>10000</v>
      </c>
      <c r="O17" s="15"/>
      <c r="P17" s="17"/>
    </row>
    <row r="18" spans="1:18" ht="111" customHeight="1" thickTop="1" thickBot="1" x14ac:dyDescent="0.25">
      <c r="A18" s="59" t="s">
        <v>27</v>
      </c>
      <c r="B18" s="96" t="s">
        <v>28</v>
      </c>
      <c r="C18" s="96" t="s">
        <v>29</v>
      </c>
      <c r="D18" s="96" t="s">
        <v>30</v>
      </c>
      <c r="E18" s="102">
        <v>19128421</v>
      </c>
      <c r="F18" s="102">
        <f>22057980+30000+22830+57611</f>
        <v>22168421</v>
      </c>
      <c r="G18" s="102">
        <f>19524678.67+30000+11960</f>
        <v>19566638.670000002</v>
      </c>
      <c r="H18" s="98">
        <f t="shared" si="1"/>
        <v>0.88263564960264884</v>
      </c>
      <c r="I18" s="97">
        <v>16322</v>
      </c>
      <c r="J18" s="99">
        <v>15500</v>
      </c>
      <c r="K18" s="98">
        <f t="shared" si="3"/>
        <v>0.94963852469060162</v>
      </c>
      <c r="L18" s="102"/>
      <c r="M18" s="101"/>
      <c r="N18" s="102">
        <f t="shared" si="2"/>
        <v>19582138.670000002</v>
      </c>
      <c r="O18" s="15"/>
      <c r="P18" s="17"/>
    </row>
    <row r="19" spans="1:18" ht="83.25" customHeight="1" thickTop="1" thickBot="1" x14ac:dyDescent="0.25">
      <c r="A19" s="58" t="s">
        <v>64</v>
      </c>
      <c r="B19" s="122" t="s">
        <v>65</v>
      </c>
      <c r="C19" s="122"/>
      <c r="D19" s="123" t="s">
        <v>66</v>
      </c>
      <c r="E19" s="124">
        <f>SUM(E20:E50)-E21-E25-E33-E36-E39-E43-E48-E28</f>
        <v>1882747862.0800004</v>
      </c>
      <c r="F19" s="124">
        <f>SUM(F20:F50)-F21-F25-F33-F36-F39-F43-F48-F28</f>
        <v>1905610137.3300006</v>
      </c>
      <c r="G19" s="124">
        <f>SUM(G20:G50)-G21-G25-G33-G36-G39-G43-G48-G28</f>
        <v>1776928421.0099998</v>
      </c>
      <c r="H19" s="125">
        <f t="shared" si="1"/>
        <v>0.93247217056669307</v>
      </c>
      <c r="I19" s="124">
        <f>SUM(I20:I50)-I21-I25-I33-I36-I39-I43-I48-I28</f>
        <v>135123918.24000001</v>
      </c>
      <c r="J19" s="124">
        <f>SUM(J20:J50)-J21-J25-J33-J36-J39-J43-J48-J28</f>
        <v>111229708.74999997</v>
      </c>
      <c r="K19" s="125">
        <f>J19/I19</f>
        <v>0.82316817184385971</v>
      </c>
      <c r="L19" s="124"/>
      <c r="M19" s="124"/>
      <c r="N19" s="126">
        <f>G19+J19</f>
        <v>1888158129.7599998</v>
      </c>
      <c r="O19" s="53" t="b">
        <f>N19=N20+N22+N23+N24+N26+N31+N32+N34+N35+N37+N38+N40+N41+N42+N44+N45+N46+N47+N50+N30+N49+N27</f>
        <v>1</v>
      </c>
      <c r="P19" s="12"/>
    </row>
    <row r="20" spans="1:18" ht="99" customHeight="1" thickTop="1" thickBot="1" x14ac:dyDescent="0.6">
      <c r="A20" s="59" t="s">
        <v>67</v>
      </c>
      <c r="B20" s="109" t="s">
        <v>68</v>
      </c>
      <c r="C20" s="109" t="s">
        <v>69</v>
      </c>
      <c r="D20" s="109" t="s">
        <v>70</v>
      </c>
      <c r="E20" s="110">
        <v>541133719.13999999</v>
      </c>
      <c r="F20" s="110">
        <v>527081609.82999998</v>
      </c>
      <c r="G20" s="110">
        <v>470567006.31999999</v>
      </c>
      <c r="H20" s="111">
        <f t="shared" si="1"/>
        <v>0.8927782672436102</v>
      </c>
      <c r="I20" s="110">
        <v>44567973.07</v>
      </c>
      <c r="J20" s="110">
        <v>37297138.530000001</v>
      </c>
      <c r="K20" s="111">
        <f t="shared" ref="K20:K24" si="4">J20/I20</f>
        <v>0.83685965416061947</v>
      </c>
      <c r="L20" s="110"/>
      <c r="M20" s="112"/>
      <c r="N20" s="110">
        <f t="shared" si="2"/>
        <v>507864144.85000002</v>
      </c>
      <c r="O20" s="21"/>
      <c r="P20" s="12"/>
    </row>
    <row r="21" spans="1:18" ht="93" thickTop="1" thickBot="1" x14ac:dyDescent="0.6">
      <c r="A21" s="113" t="s">
        <v>71</v>
      </c>
      <c r="B21" s="114" t="s">
        <v>72</v>
      </c>
      <c r="C21" s="114"/>
      <c r="D21" s="114" t="s">
        <v>73</v>
      </c>
      <c r="E21" s="115">
        <f>E22+E23+E24</f>
        <v>398276470.82999998</v>
      </c>
      <c r="F21" s="115">
        <f>F22+F23+F24</f>
        <v>426661745.44999999</v>
      </c>
      <c r="G21" s="115">
        <f>G22+G23+G24</f>
        <v>376148856.07999998</v>
      </c>
      <c r="H21" s="116">
        <f t="shared" si="1"/>
        <v>0.88160905000582113</v>
      </c>
      <c r="I21" s="115">
        <f>I22+I23+I24</f>
        <v>43144727.229999997</v>
      </c>
      <c r="J21" s="115">
        <f>J22+J23+J24</f>
        <v>33318350.489999998</v>
      </c>
      <c r="K21" s="116">
        <f t="shared" si="4"/>
        <v>0.77224617303485033</v>
      </c>
      <c r="L21" s="115"/>
      <c r="M21" s="117"/>
      <c r="N21" s="115">
        <f>G21+J21</f>
        <v>409467206.56999999</v>
      </c>
      <c r="O21" s="21"/>
      <c r="P21" s="22"/>
    </row>
    <row r="22" spans="1:18" ht="93" thickTop="1" thickBot="1" x14ac:dyDescent="0.6">
      <c r="A22" s="118" t="s">
        <v>74</v>
      </c>
      <c r="B22" s="109" t="s">
        <v>75</v>
      </c>
      <c r="C22" s="109" t="s">
        <v>76</v>
      </c>
      <c r="D22" s="109" t="s">
        <v>77</v>
      </c>
      <c r="E22" s="110">
        <v>354844165.43000001</v>
      </c>
      <c r="F22" s="110">
        <v>381334720.05000001</v>
      </c>
      <c r="G22" s="110">
        <v>335863364.75999999</v>
      </c>
      <c r="H22" s="111">
        <f t="shared" si="1"/>
        <v>0.88075736905352364</v>
      </c>
      <c r="I22" s="110">
        <v>42926825.68</v>
      </c>
      <c r="J22" s="110">
        <v>33126949.68</v>
      </c>
      <c r="K22" s="111">
        <f t="shared" si="4"/>
        <v>0.77170741500772433</v>
      </c>
      <c r="L22" s="110"/>
      <c r="M22" s="112"/>
      <c r="N22" s="110">
        <f t="shared" si="2"/>
        <v>368990314.44</v>
      </c>
      <c r="O22" s="21"/>
      <c r="P22" s="13"/>
      <c r="R22" s="23"/>
    </row>
    <row r="23" spans="1:18" ht="184.5" thickTop="1" thickBot="1" x14ac:dyDescent="0.25">
      <c r="A23" s="59" t="s">
        <v>78</v>
      </c>
      <c r="B23" s="109" t="s">
        <v>79</v>
      </c>
      <c r="C23" s="109" t="s">
        <v>80</v>
      </c>
      <c r="D23" s="109" t="s">
        <v>81</v>
      </c>
      <c r="E23" s="110">
        <v>24885295.399999999</v>
      </c>
      <c r="F23" s="110">
        <v>25660015.399999999</v>
      </c>
      <c r="G23" s="110">
        <v>24709539.09</v>
      </c>
      <c r="H23" s="111">
        <f t="shared" si="1"/>
        <v>0.96295885660302449</v>
      </c>
      <c r="I23" s="110">
        <v>117901.55</v>
      </c>
      <c r="J23" s="110">
        <v>92130.81</v>
      </c>
      <c r="K23" s="111">
        <f t="shared" si="4"/>
        <v>0.78142153347432664</v>
      </c>
      <c r="L23" s="110"/>
      <c r="M23" s="112"/>
      <c r="N23" s="110">
        <f t="shared" si="2"/>
        <v>24801669.899999999</v>
      </c>
      <c r="P23" s="13"/>
    </row>
    <row r="24" spans="1:18" ht="138.75" thickTop="1" thickBot="1" x14ac:dyDescent="0.25">
      <c r="A24" s="109"/>
      <c r="B24" s="109" t="s">
        <v>455</v>
      </c>
      <c r="C24" s="109" t="s">
        <v>80</v>
      </c>
      <c r="D24" s="109" t="s">
        <v>456</v>
      </c>
      <c r="E24" s="110">
        <v>18547010</v>
      </c>
      <c r="F24" s="110">
        <v>19667010</v>
      </c>
      <c r="G24" s="110">
        <v>15575952.23</v>
      </c>
      <c r="H24" s="111">
        <f t="shared" si="1"/>
        <v>0.79198374486004741</v>
      </c>
      <c r="I24" s="110">
        <v>100000</v>
      </c>
      <c r="J24" s="110">
        <v>99270</v>
      </c>
      <c r="K24" s="111">
        <f t="shared" si="4"/>
        <v>0.99270000000000003</v>
      </c>
      <c r="L24" s="110"/>
      <c r="M24" s="112"/>
      <c r="N24" s="110">
        <f>G24+J24</f>
        <v>15675222.23</v>
      </c>
      <c r="P24" s="13"/>
    </row>
    <row r="25" spans="1:18" ht="183.75" thickTop="1" thickBot="1" x14ac:dyDescent="0.25">
      <c r="A25" s="79" t="s">
        <v>82</v>
      </c>
      <c r="B25" s="114" t="s">
        <v>83</v>
      </c>
      <c r="C25" s="114"/>
      <c r="D25" s="114" t="s">
        <v>84</v>
      </c>
      <c r="E25" s="115">
        <f>E26+E27</f>
        <v>632703833</v>
      </c>
      <c r="F25" s="115">
        <f>F26+F27</f>
        <v>632703833</v>
      </c>
      <c r="G25" s="115">
        <f>G26+G27</f>
        <v>632703806.23000002</v>
      </c>
      <c r="H25" s="116">
        <f t="shared" si="1"/>
        <v>0.99999995768952454</v>
      </c>
      <c r="I25" s="115">
        <f>I26+I27</f>
        <v>0</v>
      </c>
      <c r="J25" s="115">
        <f>J26+J27</f>
        <v>0</v>
      </c>
      <c r="K25" s="111">
        <v>0</v>
      </c>
      <c r="L25" s="115"/>
      <c r="M25" s="115"/>
      <c r="N25" s="115">
        <f>G25+J25</f>
        <v>632703806.23000002</v>
      </c>
      <c r="O25" s="50" t="s">
        <v>433</v>
      </c>
      <c r="P25" s="19"/>
    </row>
    <row r="26" spans="1:18" ht="93" thickTop="1" thickBot="1" x14ac:dyDescent="0.25">
      <c r="A26" s="78" t="s">
        <v>85</v>
      </c>
      <c r="B26" s="109" t="s">
        <v>86</v>
      </c>
      <c r="C26" s="109" t="s">
        <v>76</v>
      </c>
      <c r="D26" s="109" t="s">
        <v>77</v>
      </c>
      <c r="E26" s="110">
        <v>628868833</v>
      </c>
      <c r="F26" s="110">
        <v>628868833</v>
      </c>
      <c r="G26" s="110">
        <v>628868806.23000002</v>
      </c>
      <c r="H26" s="111">
        <f t="shared" si="1"/>
        <v>0.99999995743150472</v>
      </c>
      <c r="I26" s="110"/>
      <c r="J26" s="110"/>
      <c r="K26" s="110"/>
      <c r="L26" s="110"/>
      <c r="M26" s="112"/>
      <c r="N26" s="110">
        <f t="shared" si="2"/>
        <v>628868806.23000002</v>
      </c>
      <c r="P26" s="17"/>
    </row>
    <row r="27" spans="1:18" ht="138.75" thickTop="1" thickBot="1" x14ac:dyDescent="0.25">
      <c r="A27" s="80"/>
      <c r="B27" s="119" t="s">
        <v>505</v>
      </c>
      <c r="C27" s="109" t="s">
        <v>80</v>
      </c>
      <c r="D27" s="109" t="s">
        <v>456</v>
      </c>
      <c r="E27" s="120">
        <v>3835000</v>
      </c>
      <c r="F27" s="120">
        <v>3835000</v>
      </c>
      <c r="G27" s="120">
        <v>3835000</v>
      </c>
      <c r="H27" s="111">
        <f t="shared" si="1"/>
        <v>1</v>
      </c>
      <c r="I27" s="120"/>
      <c r="J27" s="120"/>
      <c r="K27" s="120"/>
      <c r="L27" s="120"/>
      <c r="M27" s="121"/>
      <c r="N27" s="110">
        <f t="shared" si="2"/>
        <v>3835000</v>
      </c>
      <c r="P27" s="17"/>
    </row>
    <row r="28" spans="1:18" ht="409.6" hidden="1" customHeight="1" thickTop="1" x14ac:dyDescent="0.65">
      <c r="A28" s="195" t="s">
        <v>87</v>
      </c>
      <c r="B28" s="195" t="s">
        <v>88</v>
      </c>
      <c r="C28" s="195"/>
      <c r="D28" s="90" t="s">
        <v>461</v>
      </c>
      <c r="E28" s="197">
        <f t="shared" ref="E28:J28" si="5">E30</f>
        <v>0</v>
      </c>
      <c r="F28" s="197">
        <f t="shared" ref="F28" si="6">F30</f>
        <v>0</v>
      </c>
      <c r="G28" s="197">
        <f t="shared" si="5"/>
        <v>0</v>
      </c>
      <c r="H28" s="197"/>
      <c r="I28" s="197">
        <f t="shared" si="5"/>
        <v>0</v>
      </c>
      <c r="J28" s="197">
        <f t="shared" si="5"/>
        <v>0</v>
      </c>
      <c r="K28" s="206" t="e">
        <f t="shared" ref="K28:K30" si="7">J28/I28</f>
        <v>#DIV/0!</v>
      </c>
      <c r="L28" s="197"/>
      <c r="M28" s="197"/>
      <c r="N28" s="197">
        <f>J28+G28</f>
        <v>0</v>
      </c>
      <c r="P28" s="17"/>
    </row>
    <row r="29" spans="1:18" ht="230.25" hidden="1" customHeight="1" thickTop="1" thickBot="1" x14ac:dyDescent="0.25">
      <c r="A29" s="196"/>
      <c r="B29" s="196"/>
      <c r="C29" s="196"/>
      <c r="D29" s="91" t="s">
        <v>462</v>
      </c>
      <c r="E29" s="198"/>
      <c r="F29" s="198"/>
      <c r="G29" s="198"/>
      <c r="H29" s="198"/>
      <c r="I29" s="198"/>
      <c r="J29" s="198"/>
      <c r="K29" s="207"/>
      <c r="L29" s="198"/>
      <c r="M29" s="198"/>
      <c r="N29" s="198"/>
      <c r="P29" s="17"/>
    </row>
    <row r="30" spans="1:18" ht="138.75" hidden="1" customHeight="1" thickTop="1" thickBot="1" x14ac:dyDescent="0.25">
      <c r="A30" s="78" t="s">
        <v>89</v>
      </c>
      <c r="B30" s="78" t="s">
        <v>90</v>
      </c>
      <c r="C30" s="78" t="s">
        <v>76</v>
      </c>
      <c r="D30" s="78" t="s">
        <v>91</v>
      </c>
      <c r="E30" s="84"/>
      <c r="F30" s="84"/>
      <c r="G30" s="84"/>
      <c r="H30" s="84"/>
      <c r="I30" s="84"/>
      <c r="J30" s="84"/>
      <c r="K30" s="87" t="e">
        <f t="shared" si="7"/>
        <v>#DIV/0!</v>
      </c>
      <c r="L30" s="84"/>
      <c r="M30" s="85"/>
      <c r="N30" s="84">
        <f t="shared" ref="N30:N36" si="8">G30+J30</f>
        <v>0</v>
      </c>
      <c r="P30" s="12"/>
    </row>
    <row r="31" spans="1:18" ht="138.75" thickTop="1" thickBot="1" x14ac:dyDescent="0.25">
      <c r="A31" s="109" t="s">
        <v>92</v>
      </c>
      <c r="B31" s="109" t="s">
        <v>93</v>
      </c>
      <c r="C31" s="109" t="s">
        <v>94</v>
      </c>
      <c r="D31" s="109" t="s">
        <v>95</v>
      </c>
      <c r="E31" s="110">
        <v>33645580</v>
      </c>
      <c r="F31" s="110">
        <v>33795580</v>
      </c>
      <c r="G31" s="110">
        <v>27786562.210000001</v>
      </c>
      <c r="H31" s="111">
        <f t="shared" ref="H31:H36" si="9">G31/F31</f>
        <v>0.82219515717735869</v>
      </c>
      <c r="I31" s="110">
        <v>2641500.2000000002</v>
      </c>
      <c r="J31" s="110">
        <v>2180082.77</v>
      </c>
      <c r="K31" s="111">
        <f t="shared" ref="K31:K37" si="10">J31/I31</f>
        <v>0.82531993372553969</v>
      </c>
      <c r="L31" s="110"/>
      <c r="M31" s="112"/>
      <c r="N31" s="110">
        <f t="shared" si="8"/>
        <v>29966644.98</v>
      </c>
      <c r="P31" s="12"/>
    </row>
    <row r="32" spans="1:18" ht="93" thickTop="1" thickBot="1" x14ac:dyDescent="0.25">
      <c r="A32" s="59"/>
      <c r="B32" s="109" t="s">
        <v>269</v>
      </c>
      <c r="C32" s="109" t="s">
        <v>94</v>
      </c>
      <c r="D32" s="109" t="s">
        <v>510</v>
      </c>
      <c r="E32" s="110">
        <v>78240350</v>
      </c>
      <c r="F32" s="110">
        <v>78339680</v>
      </c>
      <c r="G32" s="110">
        <v>77366151.319999993</v>
      </c>
      <c r="H32" s="111">
        <f t="shared" si="9"/>
        <v>0.98757298115080372</v>
      </c>
      <c r="I32" s="110">
        <v>7201920.7199999997</v>
      </c>
      <c r="J32" s="110">
        <v>5426035.9500000002</v>
      </c>
      <c r="K32" s="111">
        <f t="shared" si="10"/>
        <v>0.75341511812698769</v>
      </c>
      <c r="L32" s="110"/>
      <c r="M32" s="112"/>
      <c r="N32" s="110">
        <f t="shared" si="8"/>
        <v>82792187.269999996</v>
      </c>
      <c r="P32" s="12"/>
    </row>
    <row r="33" spans="1:16" ht="138.75" thickTop="1" thickBot="1" x14ac:dyDescent="0.25">
      <c r="A33" s="79" t="s">
        <v>96</v>
      </c>
      <c r="B33" s="114" t="s">
        <v>97</v>
      </c>
      <c r="C33" s="114"/>
      <c r="D33" s="114" t="s">
        <v>98</v>
      </c>
      <c r="E33" s="115">
        <f>E34+E35</f>
        <v>155156328.11000001</v>
      </c>
      <c r="F33" s="115">
        <f>F34+F35</f>
        <v>163314609.05000001</v>
      </c>
      <c r="G33" s="115">
        <f>G34+G35</f>
        <v>155842740.22999999</v>
      </c>
      <c r="H33" s="116">
        <f t="shared" si="9"/>
        <v>0.95424861949911377</v>
      </c>
      <c r="I33" s="115">
        <f t="shared" ref="I33:J33" si="11">I34+I35</f>
        <v>31961635.84</v>
      </c>
      <c r="J33" s="115">
        <f t="shared" si="11"/>
        <v>29458683.129999999</v>
      </c>
      <c r="K33" s="116">
        <f t="shared" si="10"/>
        <v>0.92168884213155466</v>
      </c>
      <c r="L33" s="115"/>
      <c r="M33" s="115"/>
      <c r="N33" s="115">
        <f t="shared" si="8"/>
        <v>185301423.35999998</v>
      </c>
      <c r="P33" s="19"/>
    </row>
    <row r="34" spans="1:16" ht="184.5" thickTop="1" thickBot="1" x14ac:dyDescent="0.25">
      <c r="A34" s="109" t="s">
        <v>99</v>
      </c>
      <c r="B34" s="109" t="s">
        <v>100</v>
      </c>
      <c r="C34" s="109" t="s">
        <v>101</v>
      </c>
      <c r="D34" s="109" t="s">
        <v>102</v>
      </c>
      <c r="E34" s="110">
        <v>137739012.11000001</v>
      </c>
      <c r="F34" s="110">
        <v>145897293.05000001</v>
      </c>
      <c r="G34" s="110">
        <v>138425424.22999999</v>
      </c>
      <c r="H34" s="111">
        <f t="shared" si="9"/>
        <v>0.94878678922823223</v>
      </c>
      <c r="I34" s="110">
        <v>31961635.84</v>
      </c>
      <c r="J34" s="110">
        <v>29458683.129999999</v>
      </c>
      <c r="K34" s="111">
        <f t="shared" si="10"/>
        <v>0.92168884213155466</v>
      </c>
      <c r="L34" s="110"/>
      <c r="M34" s="112"/>
      <c r="N34" s="110">
        <f t="shared" si="8"/>
        <v>167884107.35999998</v>
      </c>
      <c r="P34" s="12"/>
    </row>
    <row r="35" spans="1:16" ht="138.75" thickTop="1" thickBot="1" x14ac:dyDescent="0.25">
      <c r="A35" s="78" t="s">
        <v>103</v>
      </c>
      <c r="B35" s="109" t="s">
        <v>104</v>
      </c>
      <c r="C35" s="109" t="s">
        <v>101</v>
      </c>
      <c r="D35" s="109" t="s">
        <v>105</v>
      </c>
      <c r="E35" s="110">
        <v>17417316</v>
      </c>
      <c r="F35" s="110">
        <v>17417316</v>
      </c>
      <c r="G35" s="110">
        <v>17417316</v>
      </c>
      <c r="H35" s="111">
        <f t="shared" si="9"/>
        <v>1</v>
      </c>
      <c r="I35" s="110"/>
      <c r="J35" s="110"/>
      <c r="K35" s="110"/>
      <c r="L35" s="110"/>
      <c r="M35" s="112"/>
      <c r="N35" s="110">
        <f t="shared" si="8"/>
        <v>17417316</v>
      </c>
      <c r="P35" s="17"/>
    </row>
    <row r="36" spans="1:16" ht="93" thickTop="1" thickBot="1" x14ac:dyDescent="0.25">
      <c r="A36" s="60" t="s">
        <v>106</v>
      </c>
      <c r="B36" s="114" t="s">
        <v>107</v>
      </c>
      <c r="C36" s="114"/>
      <c r="D36" s="114" t="s">
        <v>108</v>
      </c>
      <c r="E36" s="115">
        <f t="shared" ref="E36:J36" si="12">E37+E38</f>
        <v>30502885</v>
      </c>
      <c r="F36" s="115">
        <f t="shared" ref="F36" si="13">F37+F38</f>
        <v>30502885</v>
      </c>
      <c r="G36" s="115">
        <f t="shared" si="12"/>
        <v>24966607.77</v>
      </c>
      <c r="H36" s="116">
        <f t="shared" si="9"/>
        <v>0.81849988189641731</v>
      </c>
      <c r="I36" s="115">
        <f t="shared" si="12"/>
        <v>4075245.18</v>
      </c>
      <c r="J36" s="115">
        <f t="shared" si="12"/>
        <v>2668862.9</v>
      </c>
      <c r="K36" s="116">
        <f t="shared" si="10"/>
        <v>0.65489627792161442</v>
      </c>
      <c r="L36" s="115"/>
      <c r="M36" s="115"/>
      <c r="N36" s="115">
        <f t="shared" si="8"/>
        <v>27635470.669999998</v>
      </c>
      <c r="P36" s="19"/>
    </row>
    <row r="37" spans="1:16" ht="93" thickTop="1" thickBot="1" x14ac:dyDescent="0.25">
      <c r="A37" s="59" t="s">
        <v>109</v>
      </c>
      <c r="B37" s="109" t="s">
        <v>110</v>
      </c>
      <c r="C37" s="109" t="s">
        <v>111</v>
      </c>
      <c r="D37" s="109" t="s">
        <v>112</v>
      </c>
      <c r="E37" s="110">
        <v>30284875</v>
      </c>
      <c r="F37" s="110">
        <v>30284875</v>
      </c>
      <c r="G37" s="110">
        <v>24796508.77</v>
      </c>
      <c r="H37" s="111">
        <f t="shared" ref="H37:H46" si="14">G37/F37</f>
        <v>0.81877533818448978</v>
      </c>
      <c r="I37" s="110">
        <v>4075245.18</v>
      </c>
      <c r="J37" s="110">
        <v>2668862.9</v>
      </c>
      <c r="K37" s="111">
        <f t="shared" si="10"/>
        <v>0.65489627792161442</v>
      </c>
      <c r="L37" s="110"/>
      <c r="M37" s="112"/>
      <c r="N37" s="110">
        <f t="shared" ref="N37:N46" si="15">G37+J37</f>
        <v>27465371.669999998</v>
      </c>
      <c r="P37" s="17"/>
    </row>
    <row r="38" spans="1:16" ht="93" thickTop="1" thickBot="1" x14ac:dyDescent="0.25">
      <c r="A38" s="59" t="s">
        <v>113</v>
      </c>
      <c r="B38" s="109" t="s">
        <v>114</v>
      </c>
      <c r="C38" s="109" t="s">
        <v>111</v>
      </c>
      <c r="D38" s="109" t="s">
        <v>115</v>
      </c>
      <c r="E38" s="110">
        <v>218010</v>
      </c>
      <c r="F38" s="110">
        <v>218010</v>
      </c>
      <c r="G38" s="110">
        <v>170099</v>
      </c>
      <c r="H38" s="111">
        <f t="shared" si="14"/>
        <v>0.78023485161231132</v>
      </c>
      <c r="I38" s="110"/>
      <c r="J38" s="110"/>
      <c r="K38" s="110"/>
      <c r="L38" s="110"/>
      <c r="M38" s="112"/>
      <c r="N38" s="110">
        <f t="shared" si="15"/>
        <v>170099</v>
      </c>
      <c r="P38" s="17"/>
    </row>
    <row r="39" spans="1:16" ht="183.75" thickTop="1" thickBot="1" x14ac:dyDescent="0.25">
      <c r="A39" s="60" t="s">
        <v>116</v>
      </c>
      <c r="B39" s="114" t="s">
        <v>117</v>
      </c>
      <c r="C39" s="114"/>
      <c r="D39" s="114" t="s">
        <v>118</v>
      </c>
      <c r="E39" s="115">
        <f>E40+E41</f>
        <v>5722975</v>
      </c>
      <c r="F39" s="115">
        <f>F40+F41</f>
        <v>5748174</v>
      </c>
      <c r="G39" s="115">
        <f t="shared" ref="G39:J39" si="16">G40+G41</f>
        <v>4180245.83</v>
      </c>
      <c r="H39" s="116">
        <f>G39/F39</f>
        <v>0.72723021780481945</v>
      </c>
      <c r="I39" s="115">
        <f t="shared" si="16"/>
        <v>0</v>
      </c>
      <c r="J39" s="115">
        <f t="shared" si="16"/>
        <v>0</v>
      </c>
      <c r="K39" s="116">
        <v>0</v>
      </c>
      <c r="L39" s="115"/>
      <c r="M39" s="115"/>
      <c r="N39" s="115">
        <f t="shared" si="15"/>
        <v>4180245.83</v>
      </c>
      <c r="O39" s="50" t="s">
        <v>433</v>
      </c>
      <c r="P39" s="19"/>
    </row>
    <row r="40" spans="1:16" ht="93" thickTop="1" thickBot="1" x14ac:dyDescent="0.25">
      <c r="A40" s="59" t="s">
        <v>119</v>
      </c>
      <c r="B40" s="109" t="s">
        <v>120</v>
      </c>
      <c r="C40" s="109" t="s">
        <v>111</v>
      </c>
      <c r="D40" s="109" t="s">
        <v>121</v>
      </c>
      <c r="E40" s="110">
        <v>1120505</v>
      </c>
      <c r="F40" s="110">
        <v>1145704</v>
      </c>
      <c r="G40" s="110">
        <v>842120.09</v>
      </c>
      <c r="H40" s="111">
        <f t="shared" si="14"/>
        <v>0.73502413363311991</v>
      </c>
      <c r="I40" s="110"/>
      <c r="J40" s="110"/>
      <c r="K40" s="111"/>
      <c r="L40" s="110"/>
      <c r="M40" s="112"/>
      <c r="N40" s="110">
        <f>G40+J40</f>
        <v>842120.09</v>
      </c>
      <c r="P40" s="12"/>
    </row>
    <row r="41" spans="1:16" ht="93" thickTop="1" thickBot="1" x14ac:dyDescent="0.25">
      <c r="A41" s="59" t="s">
        <v>122</v>
      </c>
      <c r="B41" s="109" t="s">
        <v>123</v>
      </c>
      <c r="C41" s="109" t="s">
        <v>111</v>
      </c>
      <c r="D41" s="109" t="s">
        <v>124</v>
      </c>
      <c r="E41" s="110">
        <v>4602470</v>
      </c>
      <c r="F41" s="110">
        <v>4602470</v>
      </c>
      <c r="G41" s="110">
        <v>3338125.74</v>
      </c>
      <c r="H41" s="111">
        <f t="shared" si="14"/>
        <v>0.72529005946806824</v>
      </c>
      <c r="I41" s="110"/>
      <c r="J41" s="110"/>
      <c r="K41" s="110"/>
      <c r="L41" s="110"/>
      <c r="M41" s="112"/>
      <c r="N41" s="110">
        <f t="shared" si="15"/>
        <v>3338125.74</v>
      </c>
      <c r="P41" s="17"/>
    </row>
    <row r="42" spans="1:16" ht="93" thickTop="1" thickBot="1" x14ac:dyDescent="0.25">
      <c r="A42" s="78" t="s">
        <v>125</v>
      </c>
      <c r="B42" s="109" t="s">
        <v>126</v>
      </c>
      <c r="C42" s="109" t="s">
        <v>111</v>
      </c>
      <c r="D42" s="109" t="s">
        <v>127</v>
      </c>
      <c r="E42" s="110">
        <v>3056165</v>
      </c>
      <c r="F42" s="110">
        <v>3152465</v>
      </c>
      <c r="G42" s="110">
        <v>3061360.65</v>
      </c>
      <c r="H42" s="111">
        <f t="shared" si="14"/>
        <v>0.97110059905502522</v>
      </c>
      <c r="I42" s="110"/>
      <c r="J42" s="110"/>
      <c r="K42" s="111"/>
      <c r="L42" s="110"/>
      <c r="M42" s="112"/>
      <c r="N42" s="110">
        <f t="shared" si="15"/>
        <v>3061360.65</v>
      </c>
      <c r="O42" s="50"/>
      <c r="P42" s="12"/>
    </row>
    <row r="43" spans="1:16" s="18" customFormat="1" ht="230.25" hidden="1" customHeight="1" thickTop="1" thickBot="1" x14ac:dyDescent="0.25">
      <c r="A43" s="79" t="s">
        <v>128</v>
      </c>
      <c r="B43" s="114" t="s">
        <v>129</v>
      </c>
      <c r="C43" s="114"/>
      <c r="D43" s="114" t="s">
        <v>130</v>
      </c>
      <c r="E43" s="115">
        <f>E44+E45</f>
        <v>0</v>
      </c>
      <c r="F43" s="115">
        <f>F44+F45</f>
        <v>0</v>
      </c>
      <c r="G43" s="115">
        <f>G44+G45</f>
        <v>0</v>
      </c>
      <c r="H43" s="116" t="e">
        <f t="shared" si="14"/>
        <v>#DIV/0!</v>
      </c>
      <c r="I43" s="115">
        <f>I44+I45</f>
        <v>0</v>
      </c>
      <c r="J43" s="115">
        <f>J44+J45</f>
        <v>0</v>
      </c>
      <c r="K43" s="116" t="e">
        <f t="shared" ref="K43:K45" si="17">J43/I43</f>
        <v>#DIV/0!</v>
      </c>
      <c r="L43" s="115"/>
      <c r="M43" s="115"/>
      <c r="N43" s="115">
        <f t="shared" si="15"/>
        <v>0</v>
      </c>
      <c r="O43" s="50"/>
      <c r="P43" s="22"/>
    </row>
    <row r="44" spans="1:16" s="18" customFormat="1" ht="367.5" hidden="1" customHeight="1" thickTop="1" thickBot="1" x14ac:dyDescent="0.25">
      <c r="A44" s="78" t="s">
        <v>131</v>
      </c>
      <c r="B44" s="109" t="s">
        <v>132</v>
      </c>
      <c r="C44" s="109" t="s">
        <v>111</v>
      </c>
      <c r="D44" s="109" t="s">
        <v>133</v>
      </c>
      <c r="E44" s="110"/>
      <c r="F44" s="110"/>
      <c r="G44" s="110"/>
      <c r="H44" s="111" t="e">
        <f t="shared" si="14"/>
        <v>#DIV/0!</v>
      </c>
      <c r="I44" s="110"/>
      <c r="J44" s="110"/>
      <c r="K44" s="111" t="e">
        <f t="shared" si="17"/>
        <v>#DIV/0!</v>
      </c>
      <c r="L44" s="110"/>
      <c r="M44" s="112"/>
      <c r="N44" s="110">
        <f t="shared" si="15"/>
        <v>0</v>
      </c>
      <c r="O44" s="50"/>
      <c r="P44" s="12"/>
    </row>
    <row r="45" spans="1:16" s="18" customFormat="1" ht="321.75" hidden="1" customHeight="1" thickTop="1" thickBot="1" x14ac:dyDescent="0.25">
      <c r="A45" s="78"/>
      <c r="B45" s="109" t="s">
        <v>453</v>
      </c>
      <c r="C45" s="109" t="s">
        <v>111</v>
      </c>
      <c r="D45" s="109" t="s">
        <v>454</v>
      </c>
      <c r="E45" s="110"/>
      <c r="F45" s="110"/>
      <c r="G45" s="110"/>
      <c r="H45" s="111" t="e">
        <f t="shared" si="14"/>
        <v>#DIV/0!</v>
      </c>
      <c r="I45" s="110"/>
      <c r="J45" s="110"/>
      <c r="K45" s="111" t="e">
        <f t="shared" si="17"/>
        <v>#DIV/0!</v>
      </c>
      <c r="L45" s="110"/>
      <c r="M45" s="112"/>
      <c r="N45" s="110">
        <f t="shared" si="15"/>
        <v>0</v>
      </c>
      <c r="O45" s="52"/>
      <c r="P45" s="12"/>
    </row>
    <row r="46" spans="1:16" s="18" customFormat="1" ht="184.5" thickTop="1" thickBot="1" x14ac:dyDescent="0.25">
      <c r="A46" s="78" t="s">
        <v>134</v>
      </c>
      <c r="B46" s="109" t="s">
        <v>135</v>
      </c>
      <c r="C46" s="109" t="s">
        <v>111</v>
      </c>
      <c r="D46" s="109" t="s">
        <v>136</v>
      </c>
      <c r="E46" s="110">
        <v>4309556</v>
      </c>
      <c r="F46" s="110">
        <v>4309556</v>
      </c>
      <c r="G46" s="110">
        <v>4305084.37</v>
      </c>
      <c r="H46" s="111">
        <f t="shared" si="14"/>
        <v>0.99896239194942593</v>
      </c>
      <c r="I46" s="110">
        <v>1530916</v>
      </c>
      <c r="J46" s="110">
        <v>880554.98</v>
      </c>
      <c r="K46" s="111">
        <f t="shared" ref="K46:K51" si="18">J46/I46</f>
        <v>0.57518177352643773</v>
      </c>
      <c r="L46" s="110"/>
      <c r="M46" s="112"/>
      <c r="N46" s="110">
        <f t="shared" si="15"/>
        <v>5185639.3499999996</v>
      </c>
      <c r="O46" s="20"/>
      <c r="P46" s="12"/>
    </row>
    <row r="47" spans="1:16" s="18" customFormat="1" ht="289.14999999999998" hidden="1" customHeight="1" thickTop="1" thickBot="1" x14ac:dyDescent="0.25">
      <c r="A47" s="58"/>
      <c r="B47" s="72" t="s">
        <v>137</v>
      </c>
      <c r="C47" s="72" t="s">
        <v>111</v>
      </c>
      <c r="D47" s="72" t="s">
        <v>138</v>
      </c>
      <c r="E47" s="70"/>
      <c r="F47" s="70"/>
      <c r="G47" s="70"/>
      <c r="H47" s="71" t="e">
        <f t="shared" ref="H47" si="19">G47/F47</f>
        <v>#DIV/0!</v>
      </c>
      <c r="I47" s="70"/>
      <c r="J47" s="70"/>
      <c r="K47" s="71" t="e">
        <f t="shared" si="18"/>
        <v>#DIV/0!</v>
      </c>
      <c r="L47" s="73"/>
      <c r="M47" s="73"/>
      <c r="N47" s="70">
        <f t="shared" ref="N47:N50" si="20">G47+J47</f>
        <v>0</v>
      </c>
      <c r="O47" s="20"/>
      <c r="P47" s="12"/>
    </row>
    <row r="48" spans="1:16" s="18" customFormat="1" ht="244.5" hidden="1" customHeight="1" thickTop="1" thickBot="1" x14ac:dyDescent="0.25">
      <c r="A48" s="58"/>
      <c r="B48" s="74" t="s">
        <v>457</v>
      </c>
      <c r="C48" s="74"/>
      <c r="D48" s="74" t="s">
        <v>458</v>
      </c>
      <c r="E48" s="75">
        <f>E50+E49</f>
        <v>0</v>
      </c>
      <c r="F48" s="75">
        <f>F50+F49</f>
        <v>0</v>
      </c>
      <c r="G48" s="75">
        <f>G50+G49</f>
        <v>0</v>
      </c>
      <c r="H48" s="76">
        <v>0</v>
      </c>
      <c r="I48" s="75">
        <f>I50+I49</f>
        <v>0</v>
      </c>
      <c r="J48" s="75">
        <f>J50+J49</f>
        <v>0</v>
      </c>
      <c r="K48" s="76" t="e">
        <f t="shared" si="18"/>
        <v>#DIV/0!</v>
      </c>
      <c r="L48" s="77"/>
      <c r="M48" s="77"/>
      <c r="N48" s="75">
        <f>G48+J48</f>
        <v>0</v>
      </c>
      <c r="O48" s="50" t="s">
        <v>433</v>
      </c>
      <c r="P48" s="12"/>
    </row>
    <row r="49" spans="1:18" s="18" customFormat="1" ht="367.5" hidden="1" customHeight="1" thickTop="1" thickBot="1" x14ac:dyDescent="0.25">
      <c r="A49" s="58"/>
      <c r="B49" s="72" t="s">
        <v>474</v>
      </c>
      <c r="C49" s="72" t="s">
        <v>111</v>
      </c>
      <c r="D49" s="72" t="s">
        <v>475</v>
      </c>
      <c r="E49" s="70"/>
      <c r="F49" s="70"/>
      <c r="G49" s="70"/>
      <c r="H49" s="71"/>
      <c r="I49" s="70"/>
      <c r="J49" s="70"/>
      <c r="K49" s="71" t="e">
        <f t="shared" si="18"/>
        <v>#DIV/0!</v>
      </c>
      <c r="L49" s="73"/>
      <c r="M49" s="73"/>
      <c r="N49" s="70">
        <f>G49+J49</f>
        <v>0</v>
      </c>
      <c r="O49" s="50"/>
      <c r="P49" s="12"/>
    </row>
    <row r="50" spans="1:18" s="18" customFormat="1" ht="2.25" customHeight="1" thickTop="1" thickBot="1" x14ac:dyDescent="0.25">
      <c r="A50" s="58"/>
      <c r="B50" s="72" t="s">
        <v>459</v>
      </c>
      <c r="C50" s="72" t="s">
        <v>111</v>
      </c>
      <c r="D50" s="72" t="s">
        <v>460</v>
      </c>
      <c r="E50" s="70"/>
      <c r="F50" s="70"/>
      <c r="G50" s="70"/>
      <c r="H50" s="71">
        <v>0</v>
      </c>
      <c r="I50" s="70"/>
      <c r="J50" s="70"/>
      <c r="K50" s="71" t="e">
        <f t="shared" si="18"/>
        <v>#DIV/0!</v>
      </c>
      <c r="L50" s="73"/>
      <c r="M50" s="73"/>
      <c r="N50" s="70">
        <f t="shared" si="20"/>
        <v>0</v>
      </c>
      <c r="O50" s="50" t="s">
        <v>433</v>
      </c>
      <c r="P50" s="12"/>
    </row>
    <row r="51" spans="1:18" ht="103.7" customHeight="1" thickTop="1" thickBot="1" x14ac:dyDescent="0.25">
      <c r="A51" s="58" t="s">
        <v>142</v>
      </c>
      <c r="B51" s="122" t="s">
        <v>143</v>
      </c>
      <c r="C51" s="122"/>
      <c r="D51" s="123" t="s">
        <v>144</v>
      </c>
      <c r="E51" s="124">
        <f t="shared" ref="E51:J51" si="21">SUM(E52:E63)-E57-E59-E61</f>
        <v>102016534.86</v>
      </c>
      <c r="F51" s="124">
        <f t="shared" ref="F51" si="22">SUM(F52:F63)-F57-F59-F61</f>
        <v>110371534.86</v>
      </c>
      <c r="G51" s="124">
        <f t="shared" si="21"/>
        <v>93322559.579999998</v>
      </c>
      <c r="H51" s="125">
        <f>G51/F51</f>
        <v>0.84553104836654081</v>
      </c>
      <c r="I51" s="124">
        <f>SUM(I52:I63)-I57-I59-I61</f>
        <v>9170045.1100000013</v>
      </c>
      <c r="J51" s="124">
        <f t="shared" si="21"/>
        <v>7487237.3399999999</v>
      </c>
      <c r="K51" s="125">
        <f t="shared" si="18"/>
        <v>0.81648860503806164</v>
      </c>
      <c r="L51" s="124"/>
      <c r="M51" s="124"/>
      <c r="N51" s="126">
        <f>J51+G51</f>
        <v>100809796.92</v>
      </c>
      <c r="O51" s="53" t="b">
        <f>N51=N52+N53+N54+N55+N56+N58+N60+N62+N63</f>
        <v>1</v>
      </c>
      <c r="P51" s="24"/>
    </row>
    <row r="52" spans="1:18" ht="93" thickTop="1" thickBot="1" x14ac:dyDescent="0.25">
      <c r="A52" s="59" t="s">
        <v>145</v>
      </c>
      <c r="B52" s="109" t="s">
        <v>146</v>
      </c>
      <c r="C52" s="109" t="s">
        <v>147</v>
      </c>
      <c r="D52" s="109" t="s">
        <v>148</v>
      </c>
      <c r="E52" s="110">
        <v>36698869.859999999</v>
      </c>
      <c r="F52" s="110">
        <v>45053869.859999999</v>
      </c>
      <c r="G52" s="110">
        <v>40085686.32</v>
      </c>
      <c r="H52" s="111">
        <f t="shared" ref="H52:H109" si="23">G52/F52</f>
        <v>0.88972792891180963</v>
      </c>
      <c r="I52" s="110">
        <v>6068691.1399999997</v>
      </c>
      <c r="J52" s="110">
        <v>5840955.3399999999</v>
      </c>
      <c r="K52" s="111">
        <f>J52/I52</f>
        <v>0.96247365457455136</v>
      </c>
      <c r="L52" s="110"/>
      <c r="M52" s="112"/>
      <c r="N52" s="110">
        <f>G52+J52</f>
        <v>45926641.659999996</v>
      </c>
      <c r="P52" s="17"/>
    </row>
    <row r="53" spans="1:18" ht="93" thickTop="1" thickBot="1" x14ac:dyDescent="0.25">
      <c r="A53" s="59" t="s">
        <v>149</v>
      </c>
      <c r="B53" s="109" t="s">
        <v>150</v>
      </c>
      <c r="C53" s="109" t="s">
        <v>151</v>
      </c>
      <c r="D53" s="109" t="s">
        <v>152</v>
      </c>
      <c r="E53" s="110">
        <v>13091450</v>
      </c>
      <c r="F53" s="110">
        <v>13091450</v>
      </c>
      <c r="G53" s="110">
        <v>9875739.7400000002</v>
      </c>
      <c r="H53" s="111">
        <f t="shared" si="23"/>
        <v>0.75436561572629468</v>
      </c>
      <c r="I53" s="110">
        <v>2655900</v>
      </c>
      <c r="J53" s="110">
        <v>1365900</v>
      </c>
      <c r="K53" s="111">
        <f>J53/I53</f>
        <v>0.5142889416017169</v>
      </c>
      <c r="L53" s="110"/>
      <c r="M53" s="112"/>
      <c r="N53" s="110">
        <f t="shared" ref="N53:N109" si="24">G53+J53</f>
        <v>11241639.74</v>
      </c>
      <c r="P53" s="24"/>
    </row>
    <row r="54" spans="1:18" ht="93" thickTop="1" thickBot="1" x14ac:dyDescent="0.25">
      <c r="A54" s="118" t="s">
        <v>153</v>
      </c>
      <c r="B54" s="109" t="s">
        <v>154</v>
      </c>
      <c r="C54" s="109" t="s">
        <v>155</v>
      </c>
      <c r="D54" s="109" t="s">
        <v>156</v>
      </c>
      <c r="E54" s="110">
        <v>9129950</v>
      </c>
      <c r="F54" s="110">
        <v>9129950</v>
      </c>
      <c r="G54" s="110">
        <v>7710740.6600000001</v>
      </c>
      <c r="H54" s="111">
        <f t="shared" si="23"/>
        <v>0.84455453315735574</v>
      </c>
      <c r="I54" s="110">
        <v>282000</v>
      </c>
      <c r="J54" s="110">
        <v>280382</v>
      </c>
      <c r="K54" s="111">
        <f>J54/I54</f>
        <v>0.99426241134751769</v>
      </c>
      <c r="L54" s="110"/>
      <c r="M54" s="112"/>
      <c r="N54" s="110">
        <f t="shared" si="24"/>
        <v>7991122.6600000001</v>
      </c>
      <c r="P54" s="24"/>
    </row>
    <row r="55" spans="1:18" ht="93" thickTop="1" thickBot="1" x14ac:dyDescent="0.25">
      <c r="A55" s="78" t="s">
        <v>157</v>
      </c>
      <c r="B55" s="109" t="s">
        <v>158</v>
      </c>
      <c r="C55" s="109" t="s">
        <v>159</v>
      </c>
      <c r="D55" s="109" t="s">
        <v>160</v>
      </c>
      <c r="E55" s="110">
        <v>13726470</v>
      </c>
      <c r="F55" s="110">
        <v>21282770</v>
      </c>
      <c r="G55" s="110">
        <v>17961778.800000001</v>
      </c>
      <c r="H55" s="111">
        <f t="shared" si="23"/>
        <v>0.84395869522623235</v>
      </c>
      <c r="I55" s="110">
        <v>150000</v>
      </c>
      <c r="J55" s="110">
        <v>0</v>
      </c>
      <c r="K55" s="111">
        <f>J55/I55</f>
        <v>0</v>
      </c>
      <c r="L55" s="110"/>
      <c r="M55" s="112"/>
      <c r="N55" s="110">
        <f t="shared" si="24"/>
        <v>17961778.800000001</v>
      </c>
      <c r="P55" s="24"/>
    </row>
    <row r="56" spans="1:18" ht="93" hidden="1" thickTop="1" thickBot="1" x14ac:dyDescent="0.25">
      <c r="A56" s="78" t="s">
        <v>161</v>
      </c>
      <c r="B56" s="78" t="s">
        <v>162</v>
      </c>
      <c r="C56" s="78" t="s">
        <v>163</v>
      </c>
      <c r="D56" s="78" t="s">
        <v>164</v>
      </c>
      <c r="E56" s="84">
        <v>7556300</v>
      </c>
      <c r="F56" s="84"/>
      <c r="G56" s="84"/>
      <c r="H56" s="87" t="e">
        <f t="shared" si="23"/>
        <v>#DIV/0!</v>
      </c>
      <c r="I56" s="84"/>
      <c r="J56" s="84"/>
      <c r="K56" s="87" t="e">
        <f>J56/I56</f>
        <v>#DIV/0!</v>
      </c>
      <c r="L56" s="84"/>
      <c r="M56" s="85"/>
      <c r="N56" s="84">
        <f t="shared" si="24"/>
        <v>0</v>
      </c>
      <c r="P56" s="24"/>
    </row>
    <row r="57" spans="1:18" ht="93" thickTop="1" thickBot="1" x14ac:dyDescent="0.25">
      <c r="A57" s="78" t="s">
        <v>165</v>
      </c>
      <c r="B57" s="114" t="s">
        <v>166</v>
      </c>
      <c r="C57" s="114"/>
      <c r="D57" s="114" t="s">
        <v>167</v>
      </c>
      <c r="E57" s="115">
        <f>E58</f>
        <v>14204885</v>
      </c>
      <c r="F57" s="115">
        <f>F58</f>
        <v>14204885</v>
      </c>
      <c r="G57" s="115">
        <f t="shared" ref="G57" si="25">G58</f>
        <v>11393992.109999999</v>
      </c>
      <c r="H57" s="116">
        <f>G57/F57</f>
        <v>0.80211787071841834</v>
      </c>
      <c r="I57" s="115"/>
      <c r="J57" s="115"/>
      <c r="K57" s="116"/>
      <c r="L57" s="115"/>
      <c r="M57" s="115"/>
      <c r="N57" s="115">
        <f t="shared" si="24"/>
        <v>11393992.109999999</v>
      </c>
      <c r="O57" s="50"/>
      <c r="P57" s="24"/>
    </row>
    <row r="58" spans="1:18" ht="138.75" thickTop="1" thickBot="1" x14ac:dyDescent="0.25">
      <c r="A58" s="78" t="s">
        <v>168</v>
      </c>
      <c r="B58" s="109" t="s">
        <v>169</v>
      </c>
      <c r="C58" s="109" t="s">
        <v>170</v>
      </c>
      <c r="D58" s="109" t="s">
        <v>171</v>
      </c>
      <c r="E58" s="110">
        <v>14204885</v>
      </c>
      <c r="F58" s="110">
        <v>14204885</v>
      </c>
      <c r="G58" s="110">
        <v>11393992.109999999</v>
      </c>
      <c r="H58" s="111">
        <f>G58/F58</f>
        <v>0.80211787071841834</v>
      </c>
      <c r="I58" s="110"/>
      <c r="J58" s="110"/>
      <c r="K58" s="110"/>
      <c r="L58" s="110"/>
      <c r="M58" s="112"/>
      <c r="N58" s="110">
        <f t="shared" si="24"/>
        <v>11393992.109999999</v>
      </c>
      <c r="P58" s="24"/>
    </row>
    <row r="59" spans="1:18" ht="138.75" hidden="1" customHeight="1" thickTop="1" thickBot="1" x14ac:dyDescent="0.25">
      <c r="A59" s="60" t="s">
        <v>172</v>
      </c>
      <c r="B59" s="74" t="s">
        <v>173</v>
      </c>
      <c r="C59" s="74"/>
      <c r="D59" s="74" t="s">
        <v>174</v>
      </c>
      <c r="E59" s="75">
        <f t="shared" ref="E59:G59" si="26">E60</f>
        <v>0</v>
      </c>
      <c r="F59" s="75">
        <f t="shared" si="26"/>
        <v>0</v>
      </c>
      <c r="G59" s="75">
        <f t="shared" si="26"/>
        <v>0</v>
      </c>
      <c r="H59" s="76" t="e">
        <f t="shared" si="23"/>
        <v>#DIV/0!</v>
      </c>
      <c r="I59" s="88"/>
      <c r="J59" s="88"/>
      <c r="K59" s="89"/>
      <c r="L59" s="88"/>
      <c r="M59" s="88"/>
      <c r="N59" s="88">
        <f t="shared" si="24"/>
        <v>0</v>
      </c>
      <c r="O59" s="50"/>
      <c r="P59" s="24"/>
    </row>
    <row r="60" spans="1:18" ht="138.75" hidden="1" customHeight="1" thickTop="1" thickBot="1" x14ac:dyDescent="0.25">
      <c r="A60" s="59" t="s">
        <v>175</v>
      </c>
      <c r="B60" s="72" t="s">
        <v>176</v>
      </c>
      <c r="C60" s="72" t="s">
        <v>177</v>
      </c>
      <c r="D60" s="72" t="s">
        <v>178</v>
      </c>
      <c r="E60" s="70"/>
      <c r="F60" s="70"/>
      <c r="G60" s="70"/>
      <c r="H60" s="71" t="e">
        <f t="shared" si="23"/>
        <v>#DIV/0!</v>
      </c>
      <c r="I60" s="84"/>
      <c r="J60" s="84"/>
      <c r="K60" s="84"/>
      <c r="L60" s="84"/>
      <c r="M60" s="85"/>
      <c r="N60" s="84">
        <f t="shared" si="24"/>
        <v>0</v>
      </c>
      <c r="P60" s="24"/>
    </row>
    <row r="61" spans="1:18" ht="183.75" thickTop="1" thickBot="1" x14ac:dyDescent="0.25">
      <c r="A61" s="59" t="s">
        <v>179</v>
      </c>
      <c r="B61" s="114" t="s">
        <v>180</v>
      </c>
      <c r="C61" s="114"/>
      <c r="D61" s="114" t="s">
        <v>181</v>
      </c>
      <c r="E61" s="115">
        <f t="shared" ref="E61:J61" si="27">SUM(E62:E63)</f>
        <v>7608610</v>
      </c>
      <c r="F61" s="115">
        <f t="shared" ref="F61" si="28">SUM(F62:F63)</f>
        <v>7608610</v>
      </c>
      <c r="G61" s="115">
        <f t="shared" si="27"/>
        <v>6294621.9500000002</v>
      </c>
      <c r="H61" s="116">
        <f t="shared" si="23"/>
        <v>0.82730248363367298</v>
      </c>
      <c r="I61" s="115">
        <f t="shared" si="27"/>
        <v>13453.97</v>
      </c>
      <c r="J61" s="115">
        <f t="shared" si="27"/>
        <v>0</v>
      </c>
      <c r="K61" s="111">
        <v>0</v>
      </c>
      <c r="L61" s="115"/>
      <c r="M61" s="115"/>
      <c r="N61" s="115">
        <f t="shared" si="24"/>
        <v>6294621.9500000002</v>
      </c>
      <c r="O61" s="50" t="s">
        <v>433</v>
      </c>
      <c r="P61" s="24"/>
    </row>
    <row r="62" spans="1:18" s="18" customFormat="1" ht="93" thickTop="1" thickBot="1" x14ac:dyDescent="0.25">
      <c r="A62" s="59" t="s">
        <v>182</v>
      </c>
      <c r="B62" s="109" t="s">
        <v>183</v>
      </c>
      <c r="C62" s="109" t="s">
        <v>177</v>
      </c>
      <c r="D62" s="127" t="s">
        <v>184</v>
      </c>
      <c r="E62" s="110">
        <v>3474610</v>
      </c>
      <c r="F62" s="110">
        <v>3474610</v>
      </c>
      <c r="G62" s="110">
        <v>3266319.25</v>
      </c>
      <c r="H62" s="111">
        <f t="shared" si="23"/>
        <v>0.94005348801736022</v>
      </c>
      <c r="I62" s="110">
        <v>13453.97</v>
      </c>
      <c r="J62" s="110">
        <v>0</v>
      </c>
      <c r="K62" s="111">
        <f>J62/I62</f>
        <v>0</v>
      </c>
      <c r="L62" s="110"/>
      <c r="M62" s="112"/>
      <c r="N62" s="110">
        <f t="shared" si="24"/>
        <v>3266319.25</v>
      </c>
      <c r="O62" s="20"/>
      <c r="P62" s="24"/>
    </row>
    <row r="63" spans="1:18" s="18" customFormat="1" ht="93" thickTop="1" thickBot="1" x14ac:dyDescent="0.25">
      <c r="A63" s="59" t="s">
        <v>185</v>
      </c>
      <c r="B63" s="109" t="s">
        <v>186</v>
      </c>
      <c r="C63" s="109" t="s">
        <v>177</v>
      </c>
      <c r="D63" s="127" t="s">
        <v>187</v>
      </c>
      <c r="E63" s="110">
        <v>4134000</v>
      </c>
      <c r="F63" s="110">
        <v>4134000</v>
      </c>
      <c r="G63" s="110">
        <v>3028302.7</v>
      </c>
      <c r="H63" s="111">
        <f t="shared" si="23"/>
        <v>0.73253572810836964</v>
      </c>
      <c r="I63" s="110"/>
      <c r="J63" s="110"/>
      <c r="K63" s="110"/>
      <c r="L63" s="110"/>
      <c r="M63" s="112"/>
      <c r="N63" s="110">
        <f t="shared" si="24"/>
        <v>3028302.7</v>
      </c>
      <c r="O63" s="20"/>
      <c r="P63" s="24"/>
    </row>
    <row r="64" spans="1:18" ht="99" customHeight="1" thickTop="1" thickBot="1" x14ac:dyDescent="0.25">
      <c r="A64" s="58" t="s">
        <v>190</v>
      </c>
      <c r="B64" s="122" t="s">
        <v>139</v>
      </c>
      <c r="C64" s="122"/>
      <c r="D64" s="123" t="s">
        <v>140</v>
      </c>
      <c r="E64" s="124">
        <f>SUM(E65:E109)-E65-E74-E88-E90-E107-E85-E77-E80-E92</f>
        <v>191103902.3300001</v>
      </c>
      <c r="F64" s="124">
        <f>SUM(F65:F109)-F65-F74-F88-F90-F107-F85-F77-F80-F92</f>
        <v>200118175.14000005</v>
      </c>
      <c r="G64" s="124">
        <f>SUM(G65:G109)-G65-G74-G88-G90-G107-G85-G77-G80-G92</f>
        <v>187814274.86000004</v>
      </c>
      <c r="H64" s="125">
        <f>G64/F64</f>
        <v>0.9385168275125817</v>
      </c>
      <c r="I64" s="124">
        <f>SUM(I65:I109)-I65-I74-I88-I90-I107-I85-I77-I80-I92</f>
        <v>34725533.519999996</v>
      </c>
      <c r="J64" s="124">
        <f>SUM(J65:J109)-J65-J74-J88-J90-J107-J85-J77-J80-J92</f>
        <v>28060949.819999993</v>
      </c>
      <c r="K64" s="125">
        <f>J64/I64</f>
        <v>0.80807829212583382</v>
      </c>
      <c r="L64" s="124"/>
      <c r="M64" s="124"/>
      <c r="N64" s="126">
        <f>J64+G64</f>
        <v>215875224.68000004</v>
      </c>
      <c r="O64" s="53" t="b">
        <f>N64=N66+N67+N68+N69+N70+N71+N73+N75+N76+N78+N81+N82+N84+N86+N87+N89+N91+N108+N109+N79+N72+N93+N96+N100+N103+N106+N83</f>
        <v>1</v>
      </c>
      <c r="P64" s="26"/>
      <c r="R64" s="25"/>
    </row>
    <row r="65" spans="1:18" ht="276" customHeight="1" thickTop="1" thickBot="1" x14ac:dyDescent="0.25">
      <c r="A65" s="79" t="s">
        <v>191</v>
      </c>
      <c r="B65" s="114" t="s">
        <v>192</v>
      </c>
      <c r="C65" s="114"/>
      <c r="D65" s="114" t="s">
        <v>193</v>
      </c>
      <c r="E65" s="115">
        <f t="shared" ref="E65:J65" si="29">SUM(E66:E70)</f>
        <v>64538000</v>
      </c>
      <c r="F65" s="115">
        <f t="shared" ref="F65" si="30">SUM(F66:F70)</f>
        <v>70368000</v>
      </c>
      <c r="G65" s="115">
        <f t="shared" si="29"/>
        <v>66987336.609999999</v>
      </c>
      <c r="H65" s="116">
        <f t="shared" si="23"/>
        <v>0.95195737565370619</v>
      </c>
      <c r="I65" s="115">
        <f t="shared" si="29"/>
        <v>150000</v>
      </c>
      <c r="J65" s="115">
        <f t="shared" si="29"/>
        <v>0</v>
      </c>
      <c r="K65" s="116">
        <f t="shared" ref="K65:K66" si="31">J65/I65</f>
        <v>0</v>
      </c>
      <c r="L65" s="115"/>
      <c r="M65" s="115"/>
      <c r="N65" s="115">
        <f t="shared" si="24"/>
        <v>66987336.609999999</v>
      </c>
      <c r="O65" s="27"/>
      <c r="P65" s="28"/>
      <c r="R65" s="29"/>
    </row>
    <row r="66" spans="1:18" s="18" customFormat="1" ht="93" thickTop="1" thickBot="1" x14ac:dyDescent="0.25">
      <c r="A66" s="78" t="s">
        <v>194</v>
      </c>
      <c r="B66" s="109" t="s">
        <v>195</v>
      </c>
      <c r="C66" s="109" t="s">
        <v>83</v>
      </c>
      <c r="D66" s="128" t="s">
        <v>196</v>
      </c>
      <c r="E66" s="110">
        <v>270000</v>
      </c>
      <c r="F66" s="110">
        <v>270000</v>
      </c>
      <c r="G66" s="110">
        <v>229113.5</v>
      </c>
      <c r="H66" s="111">
        <f t="shared" si="23"/>
        <v>0.84856851851851856</v>
      </c>
      <c r="I66" s="110">
        <v>150000</v>
      </c>
      <c r="J66" s="110">
        <v>0</v>
      </c>
      <c r="K66" s="111">
        <f t="shared" si="31"/>
        <v>0</v>
      </c>
      <c r="L66" s="110"/>
      <c r="M66" s="112"/>
      <c r="N66" s="110">
        <f t="shared" si="24"/>
        <v>229113.5</v>
      </c>
      <c r="O66" s="20"/>
      <c r="P66" s="26"/>
    </row>
    <row r="67" spans="1:18" s="18" customFormat="1" ht="93" thickTop="1" thickBot="1" x14ac:dyDescent="0.25">
      <c r="A67" s="78" t="s">
        <v>197</v>
      </c>
      <c r="B67" s="109" t="s">
        <v>198</v>
      </c>
      <c r="C67" s="109" t="s">
        <v>93</v>
      </c>
      <c r="D67" s="109" t="s">
        <v>199</v>
      </c>
      <c r="E67" s="110">
        <v>900000</v>
      </c>
      <c r="F67" s="110">
        <v>900000</v>
      </c>
      <c r="G67" s="110">
        <v>847895.42</v>
      </c>
      <c r="H67" s="111">
        <f t="shared" si="23"/>
        <v>0.94210602222222228</v>
      </c>
      <c r="I67" s="110"/>
      <c r="J67" s="110"/>
      <c r="K67" s="110"/>
      <c r="L67" s="110"/>
      <c r="M67" s="112"/>
      <c r="N67" s="110">
        <f t="shared" si="24"/>
        <v>847895.42</v>
      </c>
      <c r="O67" s="20"/>
      <c r="P67" s="30"/>
    </row>
    <row r="68" spans="1:18" s="18" customFormat="1" ht="138.75" thickTop="1" thickBot="1" x14ac:dyDescent="0.25">
      <c r="A68" s="59" t="s">
        <v>200</v>
      </c>
      <c r="B68" s="109" t="s">
        <v>201</v>
      </c>
      <c r="C68" s="109" t="s">
        <v>93</v>
      </c>
      <c r="D68" s="109" t="s">
        <v>202</v>
      </c>
      <c r="E68" s="110">
        <v>15600000</v>
      </c>
      <c r="F68" s="110">
        <v>17430000</v>
      </c>
      <c r="G68" s="110">
        <v>17363384.989999998</v>
      </c>
      <c r="H68" s="111">
        <f t="shared" si="23"/>
        <v>0.99617814056224885</v>
      </c>
      <c r="I68" s="110"/>
      <c r="J68" s="110"/>
      <c r="K68" s="110"/>
      <c r="L68" s="110"/>
      <c r="M68" s="112"/>
      <c r="N68" s="110">
        <f t="shared" si="24"/>
        <v>17363384.989999998</v>
      </c>
      <c r="O68" s="20"/>
      <c r="P68" s="30"/>
    </row>
    <row r="69" spans="1:18" s="18" customFormat="1" ht="138.75" thickTop="1" thickBot="1" x14ac:dyDescent="0.25">
      <c r="A69" s="59" t="s">
        <v>203</v>
      </c>
      <c r="B69" s="109" t="s">
        <v>204</v>
      </c>
      <c r="C69" s="109" t="s">
        <v>93</v>
      </c>
      <c r="D69" s="109" t="s">
        <v>205</v>
      </c>
      <c r="E69" s="110">
        <v>900000</v>
      </c>
      <c r="F69" s="110">
        <v>900000</v>
      </c>
      <c r="G69" s="110">
        <v>532294.69999999995</v>
      </c>
      <c r="H69" s="111">
        <f t="shared" si="23"/>
        <v>0.59143855555555547</v>
      </c>
      <c r="I69" s="110"/>
      <c r="J69" s="110"/>
      <c r="K69" s="110"/>
      <c r="L69" s="110"/>
      <c r="M69" s="112"/>
      <c r="N69" s="110">
        <f t="shared" si="24"/>
        <v>532294.69999999995</v>
      </c>
      <c r="O69" s="50"/>
      <c r="P69" s="30"/>
    </row>
    <row r="70" spans="1:18" s="18" customFormat="1" ht="138.75" thickTop="1" thickBot="1" x14ac:dyDescent="0.25">
      <c r="A70" s="59" t="s">
        <v>206</v>
      </c>
      <c r="B70" s="109" t="s">
        <v>207</v>
      </c>
      <c r="C70" s="109" t="s">
        <v>93</v>
      </c>
      <c r="D70" s="109" t="s">
        <v>208</v>
      </c>
      <c r="E70" s="110">
        <v>46868000</v>
      </c>
      <c r="F70" s="110">
        <v>50868000</v>
      </c>
      <c r="G70" s="110">
        <v>48014648</v>
      </c>
      <c r="H70" s="111">
        <f t="shared" si="23"/>
        <v>0.94390673901077293</v>
      </c>
      <c r="I70" s="110"/>
      <c r="J70" s="110"/>
      <c r="K70" s="110"/>
      <c r="L70" s="110"/>
      <c r="M70" s="112"/>
      <c r="N70" s="110">
        <f t="shared" si="24"/>
        <v>48014648</v>
      </c>
      <c r="O70" s="20"/>
      <c r="P70" s="30"/>
    </row>
    <row r="71" spans="1:18" s="18" customFormat="1" ht="138.75" thickTop="1" thickBot="1" x14ac:dyDescent="0.25">
      <c r="A71" s="59" t="s">
        <v>209</v>
      </c>
      <c r="B71" s="109" t="s">
        <v>210</v>
      </c>
      <c r="C71" s="109" t="s">
        <v>93</v>
      </c>
      <c r="D71" s="109" t="s">
        <v>211</v>
      </c>
      <c r="E71" s="110">
        <v>226297</v>
      </c>
      <c r="F71" s="110">
        <v>226297</v>
      </c>
      <c r="G71" s="110">
        <v>226297</v>
      </c>
      <c r="H71" s="111">
        <f t="shared" si="23"/>
        <v>1</v>
      </c>
      <c r="I71" s="110"/>
      <c r="J71" s="110"/>
      <c r="K71" s="110"/>
      <c r="L71" s="110"/>
      <c r="M71" s="112"/>
      <c r="N71" s="110">
        <f t="shared" si="24"/>
        <v>226297</v>
      </c>
      <c r="O71" s="20"/>
      <c r="P71" s="30"/>
    </row>
    <row r="72" spans="1:18" s="18" customFormat="1" ht="165" customHeight="1" thickTop="1" thickBot="1" x14ac:dyDescent="0.25">
      <c r="A72" s="59"/>
      <c r="B72" s="109" t="s">
        <v>212</v>
      </c>
      <c r="C72" s="109" t="s">
        <v>93</v>
      </c>
      <c r="D72" s="109" t="s">
        <v>213</v>
      </c>
      <c r="E72" s="110">
        <v>179985</v>
      </c>
      <c r="F72" s="110">
        <v>179985</v>
      </c>
      <c r="G72" s="110">
        <v>102655.8</v>
      </c>
      <c r="H72" s="111">
        <f>G72/F72</f>
        <v>0.57035752979414955</v>
      </c>
      <c r="I72" s="110"/>
      <c r="J72" s="110"/>
      <c r="K72" s="110"/>
      <c r="L72" s="110"/>
      <c r="M72" s="112"/>
      <c r="N72" s="110">
        <f>G72+J72</f>
        <v>102655.8</v>
      </c>
      <c r="O72" s="50"/>
      <c r="P72" s="30"/>
    </row>
    <row r="73" spans="1:18" ht="93" thickTop="1" thickBot="1" x14ac:dyDescent="0.25">
      <c r="A73" s="59" t="s">
        <v>214</v>
      </c>
      <c r="B73" s="109" t="s">
        <v>215</v>
      </c>
      <c r="C73" s="109" t="s">
        <v>83</v>
      </c>
      <c r="D73" s="109" t="s">
        <v>216</v>
      </c>
      <c r="E73" s="110">
        <v>498130</v>
      </c>
      <c r="F73" s="110">
        <v>498130</v>
      </c>
      <c r="G73" s="110">
        <v>419874.35</v>
      </c>
      <c r="H73" s="111">
        <f t="shared" si="23"/>
        <v>0.84290115030212986</v>
      </c>
      <c r="I73" s="110"/>
      <c r="J73" s="110"/>
      <c r="K73" s="110"/>
      <c r="L73" s="110"/>
      <c r="M73" s="112"/>
      <c r="N73" s="110">
        <f t="shared" si="24"/>
        <v>419874.35</v>
      </c>
      <c r="P73" s="30"/>
    </row>
    <row r="74" spans="1:18" s="18" customFormat="1" ht="184.5" thickTop="1" thickBot="1" x14ac:dyDescent="0.25">
      <c r="A74" s="113" t="s">
        <v>217</v>
      </c>
      <c r="B74" s="114" t="s">
        <v>218</v>
      </c>
      <c r="C74" s="114"/>
      <c r="D74" s="114" t="s">
        <v>219</v>
      </c>
      <c r="E74" s="115">
        <f t="shared" ref="E74:J74" si="32">SUM(E75:E76)</f>
        <v>50450305.510000005</v>
      </c>
      <c r="F74" s="115">
        <f t="shared" ref="F74" si="33">SUM(F75:F76)</f>
        <v>51430189.620000005</v>
      </c>
      <c r="G74" s="115">
        <f t="shared" si="32"/>
        <v>49332631.319999993</v>
      </c>
      <c r="H74" s="116">
        <f t="shared" si="23"/>
        <v>0.95921542744644439</v>
      </c>
      <c r="I74" s="115">
        <f t="shared" si="32"/>
        <v>4122483.84</v>
      </c>
      <c r="J74" s="115">
        <f t="shared" si="32"/>
        <v>4028838.43</v>
      </c>
      <c r="K74" s="116">
        <f t="shared" ref="K74:K79" si="34">J74/I74</f>
        <v>0.97728422629790113</v>
      </c>
      <c r="L74" s="115"/>
      <c r="M74" s="115"/>
      <c r="N74" s="115">
        <f t="shared" si="24"/>
        <v>53361469.749999993</v>
      </c>
      <c r="O74" s="20"/>
      <c r="P74" s="31"/>
    </row>
    <row r="75" spans="1:18" ht="184.5" thickTop="1" thickBot="1" x14ac:dyDescent="0.25">
      <c r="A75" s="118" t="s">
        <v>220</v>
      </c>
      <c r="B75" s="109" t="s">
        <v>221</v>
      </c>
      <c r="C75" s="109" t="s">
        <v>72</v>
      </c>
      <c r="D75" s="109" t="s">
        <v>222</v>
      </c>
      <c r="E75" s="110">
        <v>41890122.670000002</v>
      </c>
      <c r="F75" s="110">
        <v>42820026.780000001</v>
      </c>
      <c r="G75" s="110">
        <v>41341702.229999997</v>
      </c>
      <c r="H75" s="111">
        <f t="shared" si="23"/>
        <v>0.96547586115264905</v>
      </c>
      <c r="I75" s="110">
        <v>3655550.32</v>
      </c>
      <c r="J75" s="110">
        <v>3570421.52</v>
      </c>
      <c r="K75" s="111">
        <f t="shared" si="34"/>
        <v>0.97671245296932474</v>
      </c>
      <c r="L75" s="110"/>
      <c r="M75" s="112"/>
      <c r="N75" s="110">
        <f t="shared" si="24"/>
        <v>44912123.75</v>
      </c>
      <c r="P75" s="26"/>
    </row>
    <row r="76" spans="1:18" ht="93" thickTop="1" thickBot="1" x14ac:dyDescent="0.25">
      <c r="A76" s="59" t="s">
        <v>223</v>
      </c>
      <c r="B76" s="109" t="s">
        <v>224</v>
      </c>
      <c r="C76" s="109" t="s">
        <v>68</v>
      </c>
      <c r="D76" s="109" t="s">
        <v>225</v>
      </c>
      <c r="E76" s="110">
        <v>8560182.8399999999</v>
      </c>
      <c r="F76" s="110">
        <v>8610162.8399999999</v>
      </c>
      <c r="G76" s="110">
        <v>7990929.0899999999</v>
      </c>
      <c r="H76" s="111">
        <f t="shared" si="23"/>
        <v>0.92808106402782042</v>
      </c>
      <c r="I76" s="110">
        <v>466933.52</v>
      </c>
      <c r="J76" s="110">
        <v>458416.91</v>
      </c>
      <c r="K76" s="111">
        <f t="shared" si="34"/>
        <v>0.98176055126648432</v>
      </c>
      <c r="L76" s="110"/>
      <c r="M76" s="112"/>
      <c r="N76" s="110">
        <f t="shared" si="24"/>
        <v>8449346</v>
      </c>
      <c r="P76" s="26"/>
    </row>
    <row r="77" spans="1:18" ht="183.75" thickTop="1" thickBot="1" x14ac:dyDescent="0.25">
      <c r="A77" s="78"/>
      <c r="B77" s="114" t="s">
        <v>298</v>
      </c>
      <c r="C77" s="114"/>
      <c r="D77" s="114" t="s">
        <v>299</v>
      </c>
      <c r="E77" s="129">
        <f>E78+E79</f>
        <v>6166700.2199999997</v>
      </c>
      <c r="F77" s="129">
        <f>F78+F79</f>
        <v>6517347.2199999997</v>
      </c>
      <c r="G77" s="129">
        <f>G78+G79</f>
        <v>6413886.8099999996</v>
      </c>
      <c r="H77" s="116">
        <f t="shared" si="23"/>
        <v>0.98412538008063954</v>
      </c>
      <c r="I77" s="129">
        <f>I78+I79</f>
        <v>474725.92</v>
      </c>
      <c r="J77" s="129">
        <f>J78+J79</f>
        <v>426705.91999999998</v>
      </c>
      <c r="K77" s="116">
        <v>0</v>
      </c>
      <c r="L77" s="129"/>
      <c r="M77" s="129"/>
      <c r="N77" s="115">
        <f>G77+J77</f>
        <v>6840592.7299999995</v>
      </c>
      <c r="O77" s="50" t="s">
        <v>433</v>
      </c>
      <c r="P77" s="26"/>
    </row>
    <row r="78" spans="1:18" ht="93" thickTop="1" thickBot="1" x14ac:dyDescent="0.25">
      <c r="A78" s="78"/>
      <c r="B78" s="109" t="s">
        <v>300</v>
      </c>
      <c r="C78" s="109" t="s">
        <v>141</v>
      </c>
      <c r="D78" s="109" t="s">
        <v>301</v>
      </c>
      <c r="E78" s="130">
        <v>6166700.2199999997</v>
      </c>
      <c r="F78" s="130">
        <v>6517347.2199999997</v>
      </c>
      <c r="G78" s="130">
        <v>6413886.8099999996</v>
      </c>
      <c r="H78" s="111">
        <f t="shared" si="23"/>
        <v>0.98412538008063954</v>
      </c>
      <c r="I78" s="130">
        <v>474725.92</v>
      </c>
      <c r="J78" s="131">
        <v>426705.91999999998</v>
      </c>
      <c r="K78" s="111">
        <f t="shared" ref="K78:K82" si="35">J78/I78</f>
        <v>0.89884689675255147</v>
      </c>
      <c r="L78" s="131"/>
      <c r="M78" s="112"/>
      <c r="N78" s="110">
        <f t="shared" si="24"/>
        <v>6840592.7299999995</v>
      </c>
      <c r="P78" s="26"/>
    </row>
    <row r="79" spans="1:18" ht="276" hidden="1" customHeight="1" thickTop="1" thickBot="1" x14ac:dyDescent="0.25">
      <c r="A79" s="59"/>
      <c r="B79" s="72" t="s">
        <v>463</v>
      </c>
      <c r="C79" s="72" t="s">
        <v>141</v>
      </c>
      <c r="D79" s="72" t="s">
        <v>464</v>
      </c>
      <c r="E79" s="92"/>
      <c r="F79" s="92"/>
      <c r="G79" s="92"/>
      <c r="H79" s="71" t="e">
        <f t="shared" si="23"/>
        <v>#DIV/0!</v>
      </c>
      <c r="I79" s="92"/>
      <c r="J79" s="93"/>
      <c r="K79" s="71" t="e">
        <f t="shared" si="34"/>
        <v>#DIV/0!</v>
      </c>
      <c r="L79" s="93"/>
      <c r="M79" s="94"/>
      <c r="N79" s="70">
        <f t="shared" si="24"/>
        <v>0</v>
      </c>
      <c r="P79" s="26"/>
    </row>
    <row r="80" spans="1:18" ht="93" thickTop="1" thickBot="1" x14ac:dyDescent="0.25">
      <c r="A80" s="109"/>
      <c r="B80" s="114" t="s">
        <v>302</v>
      </c>
      <c r="C80" s="114"/>
      <c r="D80" s="114" t="s">
        <v>303</v>
      </c>
      <c r="E80" s="132">
        <f t="shared" ref="E80:G80" si="36">SUM(E81:E82)</f>
        <v>13001319</v>
      </c>
      <c r="F80" s="132">
        <f t="shared" ref="F80" si="37">SUM(F81:F82)</f>
        <v>12958119</v>
      </c>
      <c r="G80" s="132">
        <f t="shared" si="36"/>
        <v>10901811.380000001</v>
      </c>
      <c r="H80" s="116">
        <f t="shared" si="23"/>
        <v>0.84131125667236117</v>
      </c>
      <c r="I80" s="132">
        <f t="shared" ref="I80:J80" si="38">SUM(I81:I82)</f>
        <v>1041792.74</v>
      </c>
      <c r="J80" s="132">
        <f t="shared" si="38"/>
        <v>472589.86</v>
      </c>
      <c r="K80" s="111">
        <f t="shared" si="35"/>
        <v>0.45363136241475438</v>
      </c>
      <c r="L80" s="132"/>
      <c r="M80" s="132"/>
      <c r="N80" s="115">
        <f t="shared" si="24"/>
        <v>11374401.24</v>
      </c>
      <c r="P80" s="26"/>
    </row>
    <row r="81" spans="1:16" ht="93" thickTop="1" thickBot="1" x14ac:dyDescent="0.25">
      <c r="A81" s="109"/>
      <c r="B81" s="109" t="s">
        <v>304</v>
      </c>
      <c r="C81" s="109" t="s">
        <v>141</v>
      </c>
      <c r="D81" s="109" t="s">
        <v>305</v>
      </c>
      <c r="E81" s="130">
        <v>4920329</v>
      </c>
      <c r="F81" s="130">
        <v>4920329</v>
      </c>
      <c r="G81" s="130">
        <v>4427201.9000000004</v>
      </c>
      <c r="H81" s="111">
        <f t="shared" si="23"/>
        <v>0.89977761649678312</v>
      </c>
      <c r="I81" s="130">
        <v>959903.65</v>
      </c>
      <c r="J81" s="131">
        <v>393590.86</v>
      </c>
      <c r="K81" s="111">
        <f t="shared" si="35"/>
        <v>0.4100316318205478</v>
      </c>
      <c r="L81" s="131"/>
      <c r="M81" s="112"/>
      <c r="N81" s="110">
        <f t="shared" si="24"/>
        <v>4820792.7600000007</v>
      </c>
      <c r="P81" s="26"/>
    </row>
    <row r="82" spans="1:16" ht="48" thickTop="1" thickBot="1" x14ac:dyDescent="0.25">
      <c r="A82" s="109"/>
      <c r="B82" s="109" t="s">
        <v>306</v>
      </c>
      <c r="C82" s="109" t="s">
        <v>141</v>
      </c>
      <c r="D82" s="109" t="s">
        <v>307</v>
      </c>
      <c r="E82" s="130">
        <v>8080990</v>
      </c>
      <c r="F82" s="130">
        <v>8037790</v>
      </c>
      <c r="G82" s="130">
        <v>6474609.4800000004</v>
      </c>
      <c r="H82" s="111">
        <f t="shared" si="23"/>
        <v>0.80552110468175964</v>
      </c>
      <c r="I82" s="130">
        <v>81889.09</v>
      </c>
      <c r="J82" s="131">
        <v>78999</v>
      </c>
      <c r="K82" s="111">
        <f t="shared" si="35"/>
        <v>0.96470726442313626</v>
      </c>
      <c r="L82" s="131"/>
      <c r="M82" s="112"/>
      <c r="N82" s="110">
        <f t="shared" si="24"/>
        <v>6553608.4800000004</v>
      </c>
      <c r="P82" s="26"/>
    </row>
    <row r="83" spans="1:16" ht="230.25" thickTop="1" thickBot="1" x14ac:dyDescent="0.25">
      <c r="A83" s="109"/>
      <c r="B83" s="109" t="s">
        <v>548</v>
      </c>
      <c r="C83" s="109" t="s">
        <v>141</v>
      </c>
      <c r="D83" s="109" t="s">
        <v>549</v>
      </c>
      <c r="E83" s="130"/>
      <c r="F83" s="130">
        <v>347841.7</v>
      </c>
      <c r="G83" s="130">
        <v>347841.7</v>
      </c>
      <c r="H83" s="111">
        <f t="shared" ref="H83" si="39">G83/F83</f>
        <v>1</v>
      </c>
      <c r="I83" s="130"/>
      <c r="J83" s="131"/>
      <c r="K83" s="111"/>
      <c r="L83" s="131"/>
      <c r="M83" s="112"/>
      <c r="N83" s="110">
        <f t="shared" ref="N83" si="40">G83+J83</f>
        <v>347841.7</v>
      </c>
      <c r="P83" s="26"/>
    </row>
    <row r="84" spans="1:16" ht="276" thickTop="1" thickBot="1" x14ac:dyDescent="0.25">
      <c r="A84" s="78" t="s">
        <v>226</v>
      </c>
      <c r="B84" s="109" t="s">
        <v>227</v>
      </c>
      <c r="C84" s="109" t="s">
        <v>68</v>
      </c>
      <c r="D84" s="109" t="s">
        <v>228</v>
      </c>
      <c r="E84" s="110">
        <v>3283295</v>
      </c>
      <c r="F84" s="110">
        <v>3283295</v>
      </c>
      <c r="G84" s="110">
        <v>2723672.49</v>
      </c>
      <c r="H84" s="111">
        <f t="shared" si="23"/>
        <v>0.82955460596748087</v>
      </c>
      <c r="I84" s="133"/>
      <c r="J84" s="110"/>
      <c r="K84" s="110"/>
      <c r="L84" s="110"/>
      <c r="M84" s="112"/>
      <c r="N84" s="110">
        <f t="shared" si="24"/>
        <v>2723672.49</v>
      </c>
      <c r="P84" s="30"/>
    </row>
    <row r="85" spans="1:16" ht="93" thickTop="1" thickBot="1" x14ac:dyDescent="0.25">
      <c r="A85" s="113" t="s">
        <v>229</v>
      </c>
      <c r="B85" s="114" t="s">
        <v>230</v>
      </c>
      <c r="C85" s="114"/>
      <c r="D85" s="114" t="s">
        <v>231</v>
      </c>
      <c r="E85" s="115">
        <f>E86</f>
        <v>159297</v>
      </c>
      <c r="F85" s="115">
        <f>F86</f>
        <v>159297</v>
      </c>
      <c r="G85" s="115">
        <f t="shared" ref="G85" si="41">G86</f>
        <v>141142.92000000001</v>
      </c>
      <c r="H85" s="116">
        <f t="shared" si="23"/>
        <v>0.88603627186952683</v>
      </c>
      <c r="I85" s="115"/>
      <c r="J85" s="115"/>
      <c r="K85" s="116"/>
      <c r="L85" s="115"/>
      <c r="M85" s="115"/>
      <c r="N85" s="115">
        <f t="shared" si="24"/>
        <v>141142.92000000001</v>
      </c>
      <c r="O85" s="50"/>
      <c r="P85" s="30"/>
    </row>
    <row r="86" spans="1:16" ht="184.5" thickTop="1" thickBot="1" x14ac:dyDescent="0.25">
      <c r="A86" s="118" t="s">
        <v>232</v>
      </c>
      <c r="B86" s="109" t="s">
        <v>233</v>
      </c>
      <c r="C86" s="109" t="s">
        <v>68</v>
      </c>
      <c r="D86" s="109" t="s">
        <v>234</v>
      </c>
      <c r="E86" s="110">
        <v>159297</v>
      </c>
      <c r="F86" s="110">
        <v>159297</v>
      </c>
      <c r="G86" s="110">
        <v>141142.92000000001</v>
      </c>
      <c r="H86" s="111">
        <f t="shared" si="23"/>
        <v>0.88603627186952683</v>
      </c>
      <c r="I86" s="133"/>
      <c r="J86" s="110"/>
      <c r="K86" s="110"/>
      <c r="L86" s="110"/>
      <c r="M86" s="112"/>
      <c r="N86" s="110">
        <f t="shared" si="24"/>
        <v>141142.92000000001</v>
      </c>
      <c r="P86" s="30"/>
    </row>
    <row r="87" spans="1:16" ht="230.25" thickTop="1" thickBot="1" x14ac:dyDescent="0.25">
      <c r="A87" s="59" t="s">
        <v>235</v>
      </c>
      <c r="B87" s="109" t="s">
        <v>236</v>
      </c>
      <c r="C87" s="109" t="s">
        <v>88</v>
      </c>
      <c r="D87" s="109" t="s">
        <v>237</v>
      </c>
      <c r="E87" s="110">
        <v>2842500</v>
      </c>
      <c r="F87" s="110">
        <v>2842500</v>
      </c>
      <c r="G87" s="110">
        <v>2739365.48</v>
      </c>
      <c r="H87" s="111">
        <f t="shared" si="23"/>
        <v>0.96371696745822344</v>
      </c>
      <c r="I87" s="133"/>
      <c r="J87" s="110"/>
      <c r="K87" s="110"/>
      <c r="L87" s="110"/>
      <c r="M87" s="112"/>
      <c r="N87" s="110">
        <f t="shared" si="24"/>
        <v>2739365.48</v>
      </c>
      <c r="P87" s="30"/>
    </row>
    <row r="88" spans="1:16" s="18" customFormat="1" ht="93" thickTop="1" thickBot="1" x14ac:dyDescent="0.25">
      <c r="A88" s="113" t="s">
        <v>238</v>
      </c>
      <c r="B88" s="114" t="s">
        <v>239</v>
      </c>
      <c r="C88" s="114"/>
      <c r="D88" s="114" t="s">
        <v>240</v>
      </c>
      <c r="E88" s="115">
        <f t="shared" ref="E88:G88" si="42">E89</f>
        <v>908000</v>
      </c>
      <c r="F88" s="115">
        <f t="shared" si="42"/>
        <v>908000</v>
      </c>
      <c r="G88" s="115">
        <f t="shared" si="42"/>
        <v>907976.25</v>
      </c>
      <c r="H88" s="116">
        <f t="shared" si="23"/>
        <v>0.99997384361233477</v>
      </c>
      <c r="I88" s="115"/>
      <c r="J88" s="115"/>
      <c r="K88" s="116"/>
      <c r="L88" s="115"/>
      <c r="M88" s="115"/>
      <c r="N88" s="115">
        <f>G88+J88</f>
        <v>907976.25</v>
      </c>
      <c r="O88" s="50"/>
      <c r="P88" s="31"/>
    </row>
    <row r="89" spans="1:16" ht="138.75" thickTop="1" thickBot="1" x14ac:dyDescent="0.25">
      <c r="A89" s="118" t="s">
        <v>241</v>
      </c>
      <c r="B89" s="109" t="s">
        <v>242</v>
      </c>
      <c r="C89" s="109" t="s">
        <v>83</v>
      </c>
      <c r="D89" s="109" t="s">
        <v>243</v>
      </c>
      <c r="E89" s="110">
        <v>908000</v>
      </c>
      <c r="F89" s="110">
        <v>908000</v>
      </c>
      <c r="G89" s="110">
        <v>907976.25</v>
      </c>
      <c r="H89" s="111">
        <f t="shared" si="23"/>
        <v>0.99997384361233477</v>
      </c>
      <c r="I89" s="110"/>
      <c r="J89" s="110"/>
      <c r="K89" s="110"/>
      <c r="L89" s="110"/>
      <c r="M89" s="112"/>
      <c r="N89" s="110">
        <f t="shared" si="24"/>
        <v>907976.25</v>
      </c>
      <c r="P89" s="30"/>
    </row>
    <row r="90" spans="1:16" s="18" customFormat="1" ht="93" thickTop="1" thickBot="1" x14ac:dyDescent="0.25">
      <c r="A90" s="114" t="s">
        <v>244</v>
      </c>
      <c r="B90" s="114" t="s">
        <v>245</v>
      </c>
      <c r="C90" s="114"/>
      <c r="D90" s="114" t="s">
        <v>246</v>
      </c>
      <c r="E90" s="115">
        <f t="shared" ref="E90:J90" si="43">E91</f>
        <v>107000</v>
      </c>
      <c r="F90" s="115">
        <f t="shared" si="43"/>
        <v>107000</v>
      </c>
      <c r="G90" s="115">
        <f t="shared" si="43"/>
        <v>105064.04</v>
      </c>
      <c r="H90" s="116">
        <f>G90/F90</f>
        <v>0.9819069158878504</v>
      </c>
      <c r="I90" s="115">
        <f t="shared" si="43"/>
        <v>105064.02</v>
      </c>
      <c r="J90" s="115">
        <f t="shared" si="43"/>
        <v>105064.02</v>
      </c>
      <c r="K90" s="116">
        <f t="shared" ref="K90" si="44">J90/I90</f>
        <v>1</v>
      </c>
      <c r="L90" s="115"/>
      <c r="M90" s="115"/>
      <c r="N90" s="115">
        <f>G90+J90</f>
        <v>210128.06</v>
      </c>
      <c r="O90" s="50"/>
      <c r="P90" s="31"/>
    </row>
    <row r="91" spans="1:16" ht="93" thickTop="1" thickBot="1" x14ac:dyDescent="0.25">
      <c r="A91" s="109" t="s">
        <v>247</v>
      </c>
      <c r="B91" s="109" t="s">
        <v>248</v>
      </c>
      <c r="C91" s="109" t="s">
        <v>249</v>
      </c>
      <c r="D91" s="109" t="s">
        <v>250</v>
      </c>
      <c r="E91" s="110">
        <v>107000</v>
      </c>
      <c r="F91" s="110">
        <v>107000</v>
      </c>
      <c r="G91" s="110">
        <v>105064.04</v>
      </c>
      <c r="H91" s="111">
        <f t="shared" si="23"/>
        <v>0.9819069158878504</v>
      </c>
      <c r="I91" s="110">
        <v>105064.02</v>
      </c>
      <c r="J91" s="110">
        <v>105064.02</v>
      </c>
      <c r="K91" s="111">
        <f t="shared" ref="K91" si="45">J91/I91</f>
        <v>1</v>
      </c>
      <c r="L91" s="110"/>
      <c r="M91" s="112"/>
      <c r="N91" s="110">
        <f>G91+J91</f>
        <v>210128.06</v>
      </c>
      <c r="P91" s="30"/>
    </row>
    <row r="92" spans="1:16" ht="183.75" hidden="1" thickTop="1" thickBot="1" x14ac:dyDescent="0.25">
      <c r="A92" s="118"/>
      <c r="B92" s="134" t="s">
        <v>476</v>
      </c>
      <c r="C92" s="134"/>
      <c r="D92" s="134" t="s">
        <v>477</v>
      </c>
      <c r="E92" s="135">
        <f>E93+E96+E100+E103</f>
        <v>0</v>
      </c>
      <c r="F92" s="135">
        <f>F93+F96+F100+F103</f>
        <v>0</v>
      </c>
      <c r="G92" s="135">
        <f t="shared" ref="G92" si="46">G93+G96+G100+G103</f>
        <v>0</v>
      </c>
      <c r="H92" s="136">
        <v>0</v>
      </c>
      <c r="I92" s="115">
        <f>I93+I96+I100+I103</f>
        <v>0</v>
      </c>
      <c r="J92" s="115">
        <f>J93+J96+J100+J103</f>
        <v>0</v>
      </c>
      <c r="K92" s="116" t="e">
        <f>J92/I92</f>
        <v>#DIV/0!</v>
      </c>
      <c r="L92" s="110"/>
      <c r="M92" s="112"/>
      <c r="N92" s="115">
        <f>G92+J92</f>
        <v>0</v>
      </c>
      <c r="O92" s="50" t="s">
        <v>433</v>
      </c>
      <c r="P92" s="30"/>
    </row>
    <row r="93" spans="1:16" ht="276" hidden="1" thickTop="1" thickBot="1" x14ac:dyDescent="0.7">
      <c r="A93" s="118"/>
      <c r="B93" s="189" t="s">
        <v>478</v>
      </c>
      <c r="C93" s="189" t="s">
        <v>88</v>
      </c>
      <c r="D93" s="137" t="s">
        <v>479</v>
      </c>
      <c r="E93" s="192"/>
      <c r="F93" s="192"/>
      <c r="G93" s="192"/>
      <c r="H93" s="192"/>
      <c r="I93" s="183"/>
      <c r="J93" s="183"/>
      <c r="K93" s="186" t="e">
        <f>J93/I93</f>
        <v>#DIV/0!</v>
      </c>
      <c r="L93" s="110"/>
      <c r="M93" s="112"/>
      <c r="N93" s="183">
        <f>G93+J93</f>
        <v>0</v>
      </c>
      <c r="P93" s="30"/>
    </row>
    <row r="94" spans="1:16" ht="276" hidden="1" thickTop="1" thickBot="1" x14ac:dyDescent="0.25">
      <c r="A94" s="118"/>
      <c r="B94" s="190"/>
      <c r="C94" s="190"/>
      <c r="D94" s="138" t="s">
        <v>480</v>
      </c>
      <c r="E94" s="193"/>
      <c r="F94" s="193"/>
      <c r="G94" s="193"/>
      <c r="H94" s="193"/>
      <c r="I94" s="184"/>
      <c r="J94" s="184"/>
      <c r="K94" s="187"/>
      <c r="L94" s="110"/>
      <c r="M94" s="112"/>
      <c r="N94" s="184"/>
      <c r="P94" s="30"/>
    </row>
    <row r="95" spans="1:16" ht="230.25" hidden="1" thickTop="1" thickBot="1" x14ac:dyDescent="0.25">
      <c r="A95" s="118"/>
      <c r="B95" s="191"/>
      <c r="C95" s="191"/>
      <c r="D95" s="139" t="s">
        <v>481</v>
      </c>
      <c r="E95" s="194"/>
      <c r="F95" s="194"/>
      <c r="G95" s="194"/>
      <c r="H95" s="194"/>
      <c r="I95" s="185"/>
      <c r="J95" s="185"/>
      <c r="K95" s="188"/>
      <c r="L95" s="110"/>
      <c r="M95" s="112"/>
      <c r="N95" s="185"/>
      <c r="P95" s="30"/>
    </row>
    <row r="96" spans="1:16" ht="276" hidden="1" thickTop="1" thickBot="1" x14ac:dyDescent="0.7">
      <c r="A96" s="118"/>
      <c r="B96" s="189" t="s">
        <v>482</v>
      </c>
      <c r="C96" s="189" t="s">
        <v>88</v>
      </c>
      <c r="D96" s="137" t="s">
        <v>483</v>
      </c>
      <c r="E96" s="192"/>
      <c r="F96" s="192"/>
      <c r="G96" s="192"/>
      <c r="H96" s="192"/>
      <c r="I96" s="183"/>
      <c r="J96" s="183"/>
      <c r="K96" s="186" t="e">
        <f>J96/I96</f>
        <v>#DIV/0!</v>
      </c>
      <c r="L96" s="110"/>
      <c r="M96" s="112"/>
      <c r="N96" s="183">
        <f>G96+J96</f>
        <v>0</v>
      </c>
      <c r="P96" s="30"/>
    </row>
    <row r="97" spans="1:16" ht="321.75" hidden="1" thickTop="1" thickBot="1" x14ac:dyDescent="0.25">
      <c r="A97" s="118"/>
      <c r="B97" s="190"/>
      <c r="C97" s="190"/>
      <c r="D97" s="138" t="s">
        <v>484</v>
      </c>
      <c r="E97" s="193"/>
      <c r="F97" s="193"/>
      <c r="G97" s="193"/>
      <c r="H97" s="193"/>
      <c r="I97" s="184"/>
      <c r="J97" s="184"/>
      <c r="K97" s="187"/>
      <c r="L97" s="110"/>
      <c r="M97" s="112"/>
      <c r="N97" s="184"/>
      <c r="P97" s="30"/>
    </row>
    <row r="98" spans="1:16" ht="276" hidden="1" thickTop="1" thickBot="1" x14ac:dyDescent="0.25">
      <c r="A98" s="118"/>
      <c r="B98" s="190"/>
      <c r="C98" s="190"/>
      <c r="D98" s="138" t="s">
        <v>485</v>
      </c>
      <c r="E98" s="193"/>
      <c r="F98" s="193"/>
      <c r="G98" s="193"/>
      <c r="H98" s="193"/>
      <c r="I98" s="184"/>
      <c r="J98" s="184"/>
      <c r="K98" s="187"/>
      <c r="L98" s="110"/>
      <c r="M98" s="112"/>
      <c r="N98" s="184"/>
      <c r="P98" s="30"/>
    </row>
    <row r="99" spans="1:16" ht="138.75" hidden="1" thickTop="1" thickBot="1" x14ac:dyDescent="0.25">
      <c r="A99" s="118"/>
      <c r="B99" s="191"/>
      <c r="C99" s="191"/>
      <c r="D99" s="139" t="s">
        <v>486</v>
      </c>
      <c r="E99" s="194"/>
      <c r="F99" s="194"/>
      <c r="G99" s="194"/>
      <c r="H99" s="194"/>
      <c r="I99" s="185"/>
      <c r="J99" s="185"/>
      <c r="K99" s="188"/>
      <c r="L99" s="110"/>
      <c r="M99" s="112"/>
      <c r="N99" s="185"/>
      <c r="P99" s="30"/>
    </row>
    <row r="100" spans="1:16" ht="276" hidden="1" thickTop="1" thickBot="1" x14ac:dyDescent="0.7">
      <c r="A100" s="118"/>
      <c r="B100" s="189" t="s">
        <v>487</v>
      </c>
      <c r="C100" s="189" t="s">
        <v>88</v>
      </c>
      <c r="D100" s="137" t="s">
        <v>488</v>
      </c>
      <c r="E100" s="192"/>
      <c r="F100" s="192"/>
      <c r="G100" s="192"/>
      <c r="H100" s="192"/>
      <c r="I100" s="183"/>
      <c r="J100" s="183"/>
      <c r="K100" s="186" t="e">
        <f>J100/I100</f>
        <v>#DIV/0!</v>
      </c>
      <c r="L100" s="110"/>
      <c r="M100" s="112"/>
      <c r="N100" s="183">
        <f>G100+J100</f>
        <v>0</v>
      </c>
      <c r="P100" s="30"/>
    </row>
    <row r="101" spans="1:16" ht="276" hidden="1" thickTop="1" thickBot="1" x14ac:dyDescent="0.25">
      <c r="A101" s="118"/>
      <c r="B101" s="190"/>
      <c r="C101" s="190"/>
      <c r="D101" s="138" t="s">
        <v>489</v>
      </c>
      <c r="E101" s="193"/>
      <c r="F101" s="193"/>
      <c r="G101" s="193"/>
      <c r="H101" s="193"/>
      <c r="I101" s="184"/>
      <c r="J101" s="184"/>
      <c r="K101" s="187"/>
      <c r="L101" s="110"/>
      <c r="M101" s="112"/>
      <c r="N101" s="184"/>
      <c r="P101" s="30"/>
    </row>
    <row r="102" spans="1:16" ht="93" hidden="1" thickTop="1" thickBot="1" x14ac:dyDescent="0.25">
      <c r="A102" s="118"/>
      <c r="B102" s="191"/>
      <c r="C102" s="191"/>
      <c r="D102" s="139" t="s">
        <v>490</v>
      </c>
      <c r="E102" s="194"/>
      <c r="F102" s="194"/>
      <c r="G102" s="194"/>
      <c r="H102" s="194"/>
      <c r="I102" s="185"/>
      <c r="J102" s="185"/>
      <c r="K102" s="188"/>
      <c r="L102" s="110"/>
      <c r="M102" s="112"/>
      <c r="N102" s="185"/>
      <c r="P102" s="30"/>
    </row>
    <row r="103" spans="1:16" ht="276" hidden="1" thickTop="1" thickBot="1" x14ac:dyDescent="0.7">
      <c r="A103" s="118"/>
      <c r="B103" s="189" t="s">
        <v>491</v>
      </c>
      <c r="C103" s="189" t="s">
        <v>88</v>
      </c>
      <c r="D103" s="137" t="s">
        <v>492</v>
      </c>
      <c r="E103" s="192"/>
      <c r="F103" s="192"/>
      <c r="G103" s="192"/>
      <c r="H103" s="192"/>
      <c r="I103" s="183"/>
      <c r="J103" s="183"/>
      <c r="K103" s="186" t="e">
        <f>J103/I103</f>
        <v>#DIV/0!</v>
      </c>
      <c r="L103" s="110"/>
      <c r="M103" s="112"/>
      <c r="N103" s="183">
        <f t="shared" si="24"/>
        <v>0</v>
      </c>
      <c r="P103" s="30"/>
    </row>
    <row r="104" spans="1:16" ht="230.25" hidden="1" thickTop="1" thickBot="1" x14ac:dyDescent="0.25">
      <c r="A104" s="118"/>
      <c r="B104" s="190"/>
      <c r="C104" s="190"/>
      <c r="D104" s="138" t="s">
        <v>493</v>
      </c>
      <c r="E104" s="193"/>
      <c r="F104" s="193"/>
      <c r="G104" s="193"/>
      <c r="H104" s="193"/>
      <c r="I104" s="184"/>
      <c r="J104" s="184"/>
      <c r="K104" s="187"/>
      <c r="L104" s="110"/>
      <c r="M104" s="112"/>
      <c r="N104" s="184"/>
      <c r="P104" s="30"/>
    </row>
    <row r="105" spans="1:16" ht="48" hidden="1" thickTop="1" thickBot="1" x14ac:dyDescent="0.25">
      <c r="A105" s="118"/>
      <c r="B105" s="191"/>
      <c r="C105" s="191"/>
      <c r="D105" s="139" t="s">
        <v>494</v>
      </c>
      <c r="E105" s="194"/>
      <c r="F105" s="194"/>
      <c r="G105" s="194"/>
      <c r="H105" s="194"/>
      <c r="I105" s="185"/>
      <c r="J105" s="185"/>
      <c r="K105" s="188"/>
      <c r="L105" s="110"/>
      <c r="M105" s="112"/>
      <c r="N105" s="185"/>
      <c r="P105" s="30"/>
    </row>
    <row r="106" spans="1:16" ht="138.75" thickTop="1" thickBot="1" x14ac:dyDescent="0.25">
      <c r="A106" s="109"/>
      <c r="B106" s="109" t="s">
        <v>536</v>
      </c>
      <c r="C106" s="140" t="s">
        <v>93</v>
      </c>
      <c r="D106" s="169" t="s">
        <v>550</v>
      </c>
      <c r="E106" s="141">
        <v>6795000</v>
      </c>
      <c r="F106" s="141">
        <f>270100+100000+7095000</f>
        <v>7465100</v>
      </c>
      <c r="G106" s="141">
        <f>269119+88300+6828944.5</f>
        <v>7186363.5</v>
      </c>
      <c r="H106" s="111">
        <f t="shared" si="23"/>
        <v>0.96266138430831472</v>
      </c>
      <c r="I106" s="141">
        <f>65000+20773723.33+400000</f>
        <v>21238723.329999998</v>
      </c>
      <c r="J106" s="141">
        <f>65000+15864612.69+80000</f>
        <v>16009612.689999999</v>
      </c>
      <c r="K106" s="111">
        <f t="shared" ref="K106:K109" si="47">J106/I106</f>
        <v>0.75379355158255645</v>
      </c>
      <c r="L106" s="110"/>
      <c r="M106" s="112"/>
      <c r="N106" s="110">
        <f t="shared" si="24"/>
        <v>23195976.189999998</v>
      </c>
      <c r="P106" s="30"/>
    </row>
    <row r="107" spans="1:16" s="18" customFormat="1" ht="93" thickTop="1" thickBot="1" x14ac:dyDescent="0.25">
      <c r="A107" s="114" t="s">
        <v>251</v>
      </c>
      <c r="B107" s="114" t="s">
        <v>252</v>
      </c>
      <c r="C107" s="114"/>
      <c r="D107" s="114" t="s">
        <v>253</v>
      </c>
      <c r="E107" s="115">
        <f t="shared" ref="E107:J107" si="48">SUM(E108:E109)</f>
        <v>41948073.600000001</v>
      </c>
      <c r="F107" s="115">
        <f t="shared" ref="F107" si="49">SUM(F108:F109)</f>
        <v>42827073.600000001</v>
      </c>
      <c r="G107" s="115">
        <f t="shared" si="48"/>
        <v>39278355.210000001</v>
      </c>
      <c r="H107" s="116">
        <f t="shared" si="23"/>
        <v>0.91713843389943883</v>
      </c>
      <c r="I107" s="115">
        <f t="shared" si="48"/>
        <v>7592743.6699999999</v>
      </c>
      <c r="J107" s="115">
        <f t="shared" si="48"/>
        <v>7018138.8999999994</v>
      </c>
      <c r="K107" s="116">
        <f t="shared" si="47"/>
        <v>0.92432185320961846</v>
      </c>
      <c r="L107" s="115"/>
      <c r="M107" s="115"/>
      <c r="N107" s="115">
        <f t="shared" si="24"/>
        <v>46296494.109999999</v>
      </c>
      <c r="O107" s="20"/>
      <c r="P107" s="31"/>
    </row>
    <row r="108" spans="1:16" ht="93" thickTop="1" thickBot="1" x14ac:dyDescent="0.25">
      <c r="A108" s="109" t="s">
        <v>254</v>
      </c>
      <c r="B108" s="109" t="s">
        <v>255</v>
      </c>
      <c r="C108" s="109" t="s">
        <v>97</v>
      </c>
      <c r="D108" s="127" t="s">
        <v>256</v>
      </c>
      <c r="E108" s="110">
        <v>12681454.6</v>
      </c>
      <c r="F108" s="110">
        <v>12181454.6</v>
      </c>
      <c r="G108" s="130">
        <v>11571139.779999999</v>
      </c>
      <c r="H108" s="111">
        <f t="shared" si="23"/>
        <v>0.94989803434476539</v>
      </c>
      <c r="I108" s="110">
        <v>7029856.6699999999</v>
      </c>
      <c r="J108" s="110">
        <v>6467356.1399999997</v>
      </c>
      <c r="K108" s="111">
        <f t="shared" si="47"/>
        <v>0.91998406846607861</v>
      </c>
      <c r="L108" s="110"/>
      <c r="M108" s="112"/>
      <c r="N108" s="110">
        <f t="shared" si="24"/>
        <v>18038495.919999998</v>
      </c>
      <c r="P108" s="26"/>
    </row>
    <row r="109" spans="1:16" ht="93" thickTop="1" thickBot="1" x14ac:dyDescent="0.25">
      <c r="A109" s="78" t="s">
        <v>257</v>
      </c>
      <c r="B109" s="109" t="s">
        <v>258</v>
      </c>
      <c r="C109" s="109" t="s">
        <v>97</v>
      </c>
      <c r="D109" s="127" t="s">
        <v>259</v>
      </c>
      <c r="E109" s="110">
        <v>29266619</v>
      </c>
      <c r="F109" s="110">
        <v>30645619</v>
      </c>
      <c r="G109" s="110">
        <v>27707215.43</v>
      </c>
      <c r="H109" s="111">
        <f t="shared" si="23"/>
        <v>0.90411668401933731</v>
      </c>
      <c r="I109" s="110">
        <v>562887</v>
      </c>
      <c r="J109" s="110">
        <v>550782.76</v>
      </c>
      <c r="K109" s="111">
        <f t="shared" si="47"/>
        <v>0.97849614576282629</v>
      </c>
      <c r="L109" s="110"/>
      <c r="M109" s="112"/>
      <c r="N109" s="110">
        <f t="shared" si="24"/>
        <v>28257998.190000001</v>
      </c>
      <c r="P109" s="26"/>
    </row>
    <row r="110" spans="1:16" s="11" customFormat="1" ht="92.25" customHeight="1" thickTop="1" thickBot="1" x14ac:dyDescent="0.25">
      <c r="A110" s="58" t="s">
        <v>270</v>
      </c>
      <c r="B110" s="122" t="s">
        <v>271</v>
      </c>
      <c r="C110" s="122"/>
      <c r="D110" s="123" t="s">
        <v>272</v>
      </c>
      <c r="E110" s="124">
        <f>SUM(E111:E118)-E116</f>
        <v>62564858</v>
      </c>
      <c r="F110" s="124">
        <f>SUM(F111:F118)-F116</f>
        <v>62656551</v>
      </c>
      <c r="G110" s="124">
        <f t="shared" ref="G110:J110" si="50">SUM(G111:G118)-G116</f>
        <v>60421042.740000002</v>
      </c>
      <c r="H110" s="125">
        <f>G110/F110</f>
        <v>0.96432123657748092</v>
      </c>
      <c r="I110" s="124">
        <f t="shared" si="50"/>
        <v>1310079.08</v>
      </c>
      <c r="J110" s="124">
        <f t="shared" si="50"/>
        <v>1079329.94</v>
      </c>
      <c r="K110" s="125">
        <f>J110/I110</f>
        <v>0.82386625088311449</v>
      </c>
      <c r="L110" s="124"/>
      <c r="M110" s="124"/>
      <c r="N110" s="126">
        <f>J110+G110</f>
        <v>61500372.68</v>
      </c>
      <c r="O110" s="53" t="b">
        <f>N110=N111+N112+N113+N114+N117+N118+N115</f>
        <v>1</v>
      </c>
      <c r="P110" s="30"/>
    </row>
    <row r="111" spans="1:16" ht="93" thickTop="1" thickBot="1" x14ac:dyDescent="0.25">
      <c r="A111" s="59" t="s">
        <v>273</v>
      </c>
      <c r="B111" s="109" t="s">
        <v>274</v>
      </c>
      <c r="C111" s="109" t="s">
        <v>275</v>
      </c>
      <c r="D111" s="109" t="s">
        <v>276</v>
      </c>
      <c r="E111" s="110">
        <v>1100800</v>
      </c>
      <c r="F111" s="110">
        <v>1100800</v>
      </c>
      <c r="G111" s="110">
        <v>1023590.12</v>
      </c>
      <c r="H111" s="111">
        <f t="shared" ref="H111:H133" si="51">G111/F111</f>
        <v>0.92986021075581393</v>
      </c>
      <c r="I111" s="110"/>
      <c r="J111" s="110"/>
      <c r="K111" s="110"/>
      <c r="L111" s="110"/>
      <c r="M111" s="112"/>
      <c r="N111" s="110">
        <f t="shared" ref="N111:N133" si="52">G111+J111</f>
        <v>1023590.12</v>
      </c>
      <c r="P111" s="30"/>
    </row>
    <row r="112" spans="1:16" ht="93" thickTop="1" thickBot="1" x14ac:dyDescent="0.25">
      <c r="A112" s="59" t="s">
        <v>277</v>
      </c>
      <c r="B112" s="109" t="s">
        <v>278</v>
      </c>
      <c r="C112" s="109" t="s">
        <v>279</v>
      </c>
      <c r="D112" s="109" t="s">
        <v>280</v>
      </c>
      <c r="E112" s="110">
        <v>15273555</v>
      </c>
      <c r="F112" s="110">
        <v>15273555</v>
      </c>
      <c r="G112" s="110">
        <v>15005862.640000001</v>
      </c>
      <c r="H112" s="111">
        <f t="shared" si="51"/>
        <v>0.98247347392273776</v>
      </c>
      <c r="I112" s="110">
        <v>394013.95</v>
      </c>
      <c r="J112" s="110">
        <v>336998.64</v>
      </c>
      <c r="K112" s="111">
        <f t="shared" ref="K112:K117" si="53">J112/I112</f>
        <v>0.85529621476600004</v>
      </c>
      <c r="L112" s="110"/>
      <c r="M112" s="112"/>
      <c r="N112" s="110">
        <f t="shared" si="52"/>
        <v>15342861.280000001</v>
      </c>
      <c r="P112" s="26"/>
    </row>
    <row r="113" spans="1:16" ht="93" thickTop="1" thickBot="1" x14ac:dyDescent="0.25">
      <c r="A113" s="78" t="s">
        <v>281</v>
      </c>
      <c r="B113" s="109" t="s">
        <v>282</v>
      </c>
      <c r="C113" s="109" t="s">
        <v>279</v>
      </c>
      <c r="D113" s="109" t="s">
        <v>283</v>
      </c>
      <c r="E113" s="110">
        <v>2274910</v>
      </c>
      <c r="F113" s="110">
        <v>2274910</v>
      </c>
      <c r="G113" s="110">
        <v>2168852.31</v>
      </c>
      <c r="H113" s="111">
        <f t="shared" si="51"/>
        <v>0.95337939083304402</v>
      </c>
      <c r="I113" s="110">
        <v>81245.259999999995</v>
      </c>
      <c r="J113" s="110">
        <v>37036.75</v>
      </c>
      <c r="K113" s="111">
        <f t="shared" si="53"/>
        <v>0.45586351745320286</v>
      </c>
      <c r="L113" s="110"/>
      <c r="M113" s="112"/>
      <c r="N113" s="110">
        <f t="shared" si="52"/>
        <v>2205889.06</v>
      </c>
      <c r="P113" s="26"/>
    </row>
    <row r="114" spans="1:16" ht="138.75" thickTop="1" thickBot="1" x14ac:dyDescent="0.25">
      <c r="A114" s="78" t="s">
        <v>284</v>
      </c>
      <c r="B114" s="109" t="s">
        <v>285</v>
      </c>
      <c r="C114" s="109" t="s">
        <v>286</v>
      </c>
      <c r="D114" s="109" t="s">
        <v>287</v>
      </c>
      <c r="E114" s="110">
        <v>16744655</v>
      </c>
      <c r="F114" s="110">
        <v>16836348</v>
      </c>
      <c r="G114" s="110">
        <v>16403628.85</v>
      </c>
      <c r="H114" s="111">
        <f t="shared" si="51"/>
        <v>0.97429851473728146</v>
      </c>
      <c r="I114" s="110">
        <v>448731.4</v>
      </c>
      <c r="J114" s="110">
        <v>351614.49</v>
      </c>
      <c r="K114" s="111">
        <f t="shared" si="53"/>
        <v>0.78357451696048008</v>
      </c>
      <c r="L114" s="110"/>
      <c r="M114" s="112"/>
      <c r="N114" s="110">
        <f t="shared" si="52"/>
        <v>16755243.34</v>
      </c>
      <c r="P114" s="26"/>
    </row>
    <row r="115" spans="1:16" ht="48" thickTop="1" thickBot="1" x14ac:dyDescent="0.25">
      <c r="A115" s="78"/>
      <c r="B115" s="109" t="s">
        <v>537</v>
      </c>
      <c r="C115" s="109" t="s">
        <v>538</v>
      </c>
      <c r="D115" s="109" t="s">
        <v>539</v>
      </c>
      <c r="E115" s="110">
        <v>426538</v>
      </c>
      <c r="F115" s="110">
        <v>426538</v>
      </c>
      <c r="G115" s="110">
        <v>426538</v>
      </c>
      <c r="H115" s="111">
        <f t="shared" si="51"/>
        <v>1</v>
      </c>
      <c r="I115" s="110"/>
      <c r="J115" s="110"/>
      <c r="K115" s="111"/>
      <c r="L115" s="110"/>
      <c r="M115" s="112"/>
      <c r="N115" s="110">
        <f t="shared" si="52"/>
        <v>426538</v>
      </c>
      <c r="P115" s="26"/>
    </row>
    <row r="116" spans="1:16" ht="93" thickTop="1" thickBot="1" x14ac:dyDescent="0.25">
      <c r="A116" s="114" t="s">
        <v>288</v>
      </c>
      <c r="B116" s="114" t="s">
        <v>289</v>
      </c>
      <c r="C116" s="114"/>
      <c r="D116" s="114" t="s">
        <v>290</v>
      </c>
      <c r="E116" s="115">
        <f t="shared" ref="E116:J116" si="54">SUM(E117:E118)</f>
        <v>26744400</v>
      </c>
      <c r="F116" s="115">
        <f t="shared" ref="F116" si="55">SUM(F117:F118)</f>
        <v>26744400</v>
      </c>
      <c r="G116" s="115">
        <f t="shared" si="54"/>
        <v>25392570.82</v>
      </c>
      <c r="H116" s="116">
        <f t="shared" si="51"/>
        <v>0.94945374807436322</v>
      </c>
      <c r="I116" s="115">
        <f t="shared" si="54"/>
        <v>386088.47</v>
      </c>
      <c r="J116" s="115">
        <f t="shared" si="54"/>
        <v>353680.06</v>
      </c>
      <c r="K116" s="116">
        <f t="shared" si="53"/>
        <v>0.91605962747346492</v>
      </c>
      <c r="L116" s="115"/>
      <c r="M116" s="115"/>
      <c r="N116" s="115">
        <f t="shared" si="52"/>
        <v>25746250.879999999</v>
      </c>
      <c r="P116" s="26"/>
    </row>
    <row r="117" spans="1:16" ht="93" thickTop="1" thickBot="1" x14ac:dyDescent="0.25">
      <c r="A117" s="109" t="s">
        <v>291</v>
      </c>
      <c r="B117" s="109" t="s">
        <v>292</v>
      </c>
      <c r="C117" s="109" t="s">
        <v>293</v>
      </c>
      <c r="D117" s="109" t="s">
        <v>294</v>
      </c>
      <c r="E117" s="110">
        <v>23987945</v>
      </c>
      <c r="F117" s="110">
        <v>23987945</v>
      </c>
      <c r="G117" s="110">
        <v>23854897.82</v>
      </c>
      <c r="H117" s="111">
        <f t="shared" si="51"/>
        <v>0.99445358158024788</v>
      </c>
      <c r="I117" s="110">
        <v>386088.47</v>
      </c>
      <c r="J117" s="110">
        <v>353680.06</v>
      </c>
      <c r="K117" s="111">
        <f t="shared" si="53"/>
        <v>0.91605962747346492</v>
      </c>
      <c r="L117" s="110"/>
      <c r="M117" s="112"/>
      <c r="N117" s="110">
        <f t="shared" si="52"/>
        <v>24208577.879999999</v>
      </c>
      <c r="P117" s="30"/>
    </row>
    <row r="118" spans="1:16" ht="93" thickTop="1" thickBot="1" x14ac:dyDescent="0.25">
      <c r="A118" s="109" t="s">
        <v>295</v>
      </c>
      <c r="B118" s="109" t="s">
        <v>296</v>
      </c>
      <c r="C118" s="109" t="s">
        <v>293</v>
      </c>
      <c r="D118" s="109" t="s">
        <v>297</v>
      </c>
      <c r="E118" s="110">
        <v>2756455</v>
      </c>
      <c r="F118" s="110">
        <v>2756455</v>
      </c>
      <c r="G118" s="110">
        <v>1537673</v>
      </c>
      <c r="H118" s="111">
        <f t="shared" si="51"/>
        <v>0.55784440522337564</v>
      </c>
      <c r="I118" s="110"/>
      <c r="J118" s="110"/>
      <c r="K118" s="110"/>
      <c r="L118" s="110"/>
      <c r="M118" s="112"/>
      <c r="N118" s="110">
        <f t="shared" si="52"/>
        <v>1537673</v>
      </c>
      <c r="P118" s="30"/>
    </row>
    <row r="119" spans="1:16" ht="77.25" customHeight="1" thickTop="1" thickBot="1" x14ac:dyDescent="0.25">
      <c r="A119" s="58" t="s">
        <v>308</v>
      </c>
      <c r="B119" s="122" t="s">
        <v>309</v>
      </c>
      <c r="C119" s="122"/>
      <c r="D119" s="123" t="s">
        <v>310</v>
      </c>
      <c r="E119" s="124">
        <f>SUM(E120:E133)-E120-E123-E125-E130-E128</f>
        <v>93530350.840000004</v>
      </c>
      <c r="F119" s="124">
        <f>SUM(F120:F133)-F120-F123-F125-F130-F128</f>
        <v>93439343.099999994</v>
      </c>
      <c r="G119" s="124">
        <f>SUM(G120:G133)-G120-G123-G125-G130-G128</f>
        <v>73235196.689999983</v>
      </c>
      <c r="H119" s="125">
        <f>G119/F119</f>
        <v>0.78377259792615117</v>
      </c>
      <c r="I119" s="124">
        <f>SUM(I120:I133)-I120-I123-I125-I130-I128</f>
        <v>29081757.640000004</v>
      </c>
      <c r="J119" s="124">
        <f>SUM(J120:J133)-J120-J123-J125-J130-J128</f>
        <v>10829691.280000003</v>
      </c>
      <c r="K119" s="125">
        <f>J119/I119</f>
        <v>0.37238778391800126</v>
      </c>
      <c r="L119" s="124"/>
      <c r="M119" s="124"/>
      <c r="N119" s="126">
        <f>J119+G119</f>
        <v>84064887.969999984</v>
      </c>
      <c r="O119" s="53" t="b">
        <f>N119=N121+N122+N124+N126+N127+N129+N131+N132+N133</f>
        <v>1</v>
      </c>
      <c r="P119" s="26"/>
    </row>
    <row r="120" spans="1:16" s="18" customFormat="1" ht="93" thickTop="1" thickBot="1" x14ac:dyDescent="0.25">
      <c r="A120" s="79" t="s">
        <v>311</v>
      </c>
      <c r="B120" s="114" t="s">
        <v>312</v>
      </c>
      <c r="C120" s="114"/>
      <c r="D120" s="114" t="s">
        <v>313</v>
      </c>
      <c r="E120" s="132">
        <f t="shared" ref="E120:G120" si="56">SUM(E121:E122)</f>
        <v>25324232</v>
      </c>
      <c r="F120" s="132">
        <f t="shared" ref="F120" si="57">SUM(F121:F122)</f>
        <v>25324232</v>
      </c>
      <c r="G120" s="132">
        <f t="shared" si="56"/>
        <v>7652401.96</v>
      </c>
      <c r="H120" s="116">
        <f>G120/F120</f>
        <v>0.30217705950569401</v>
      </c>
      <c r="I120" s="132"/>
      <c r="J120" s="132"/>
      <c r="K120" s="116"/>
      <c r="L120" s="132"/>
      <c r="M120" s="132"/>
      <c r="N120" s="115">
        <f t="shared" si="52"/>
        <v>7652401.96</v>
      </c>
      <c r="O120" s="50"/>
      <c r="P120" s="32"/>
    </row>
    <row r="121" spans="1:16" s="35" customFormat="1" ht="93" thickTop="1" thickBot="1" x14ac:dyDescent="0.25">
      <c r="A121" s="78" t="s">
        <v>314</v>
      </c>
      <c r="B121" s="109" t="s">
        <v>315</v>
      </c>
      <c r="C121" s="109" t="s">
        <v>316</v>
      </c>
      <c r="D121" s="109" t="s">
        <v>317</v>
      </c>
      <c r="E121" s="130">
        <v>22258032</v>
      </c>
      <c r="F121" s="130">
        <v>22258032</v>
      </c>
      <c r="G121" s="110">
        <v>6432001.96</v>
      </c>
      <c r="H121" s="111">
        <f t="shared" si="51"/>
        <v>0.28897442325538936</v>
      </c>
      <c r="I121" s="110"/>
      <c r="J121" s="110"/>
      <c r="K121" s="110"/>
      <c r="L121" s="110"/>
      <c r="M121" s="112"/>
      <c r="N121" s="110">
        <f t="shared" si="52"/>
        <v>6432001.96</v>
      </c>
      <c r="O121" s="33"/>
      <c r="P121" s="34"/>
    </row>
    <row r="122" spans="1:16" s="35" customFormat="1" ht="93" thickTop="1" thickBot="1" x14ac:dyDescent="0.25">
      <c r="A122" s="59" t="s">
        <v>318</v>
      </c>
      <c r="B122" s="109" t="s">
        <v>319</v>
      </c>
      <c r="C122" s="109" t="s">
        <v>316</v>
      </c>
      <c r="D122" s="109" t="s">
        <v>320</v>
      </c>
      <c r="E122" s="130">
        <v>3066200</v>
      </c>
      <c r="F122" s="130">
        <v>3066200</v>
      </c>
      <c r="G122" s="110">
        <v>1220400</v>
      </c>
      <c r="H122" s="111">
        <f t="shared" si="51"/>
        <v>0.39801708955710652</v>
      </c>
      <c r="I122" s="110"/>
      <c r="J122" s="110"/>
      <c r="K122" s="110"/>
      <c r="L122" s="110"/>
      <c r="M122" s="112"/>
      <c r="N122" s="110">
        <f t="shared" si="52"/>
        <v>1220400</v>
      </c>
      <c r="O122" s="33"/>
      <c r="P122" s="34"/>
    </row>
    <row r="123" spans="1:16" s="18" customFormat="1" ht="93" thickTop="1" thickBot="1" x14ac:dyDescent="0.25">
      <c r="A123" s="79" t="s">
        <v>321</v>
      </c>
      <c r="B123" s="114" t="s">
        <v>322</v>
      </c>
      <c r="C123" s="114"/>
      <c r="D123" s="114" t="s">
        <v>323</v>
      </c>
      <c r="E123" s="132">
        <f t="shared" ref="E123:F123" si="58">E124</f>
        <v>53300</v>
      </c>
      <c r="F123" s="132">
        <f t="shared" si="58"/>
        <v>53300</v>
      </c>
      <c r="G123" s="132">
        <f>G124</f>
        <v>0</v>
      </c>
      <c r="H123" s="116">
        <f>G123/F123</f>
        <v>0</v>
      </c>
      <c r="I123" s="132"/>
      <c r="J123" s="132"/>
      <c r="K123" s="116"/>
      <c r="L123" s="132"/>
      <c r="M123" s="132"/>
      <c r="N123" s="115">
        <f t="shared" si="52"/>
        <v>0</v>
      </c>
      <c r="O123" s="50"/>
      <c r="P123" s="36"/>
    </row>
    <row r="124" spans="1:16" s="35" customFormat="1" ht="93" thickTop="1" thickBot="1" x14ac:dyDescent="0.25">
      <c r="A124" s="78" t="s">
        <v>324</v>
      </c>
      <c r="B124" s="109" t="s">
        <v>325</v>
      </c>
      <c r="C124" s="109" t="s">
        <v>316</v>
      </c>
      <c r="D124" s="109" t="s">
        <v>326</v>
      </c>
      <c r="E124" s="130">
        <v>53300</v>
      </c>
      <c r="F124" s="130">
        <v>53300</v>
      </c>
      <c r="G124" s="130">
        <v>0</v>
      </c>
      <c r="H124" s="111">
        <f>G124/F124</f>
        <v>0</v>
      </c>
      <c r="I124" s="110"/>
      <c r="J124" s="130"/>
      <c r="K124" s="130"/>
      <c r="L124" s="130"/>
      <c r="M124" s="112"/>
      <c r="N124" s="110">
        <f t="shared" si="52"/>
        <v>0</v>
      </c>
      <c r="O124" s="33"/>
      <c r="P124" s="34"/>
    </row>
    <row r="125" spans="1:16" ht="93" thickTop="1" thickBot="1" x14ac:dyDescent="0.25">
      <c r="A125" s="114" t="s">
        <v>327</v>
      </c>
      <c r="B125" s="114" t="s">
        <v>328</v>
      </c>
      <c r="C125" s="114"/>
      <c r="D125" s="114" t="s">
        <v>329</v>
      </c>
      <c r="E125" s="132">
        <f t="shared" ref="E125:J125" si="59">SUM(E126:E127)</f>
        <v>62891352.840000004</v>
      </c>
      <c r="F125" s="132">
        <f t="shared" ref="F125" si="60">SUM(F126:F127)</f>
        <v>62800345.100000001</v>
      </c>
      <c r="G125" s="132">
        <f t="shared" si="59"/>
        <v>61735926.530000001</v>
      </c>
      <c r="H125" s="116">
        <f t="shared" si="51"/>
        <v>0.98305075285326737</v>
      </c>
      <c r="I125" s="132">
        <f t="shared" si="59"/>
        <v>8782771.4399999995</v>
      </c>
      <c r="J125" s="132">
        <f t="shared" si="59"/>
        <v>6960175.7599999998</v>
      </c>
      <c r="K125" s="116">
        <f t="shared" ref="K125:K130" si="61">J125/I125</f>
        <v>0.792480574901537</v>
      </c>
      <c r="L125" s="132"/>
      <c r="M125" s="132"/>
      <c r="N125" s="115">
        <f t="shared" si="52"/>
        <v>68696102.290000007</v>
      </c>
      <c r="P125" s="26"/>
    </row>
    <row r="126" spans="1:16" s="35" customFormat="1" ht="93" thickTop="1" thickBot="1" x14ac:dyDescent="0.25">
      <c r="A126" s="109" t="s">
        <v>330</v>
      </c>
      <c r="B126" s="109" t="s">
        <v>331</v>
      </c>
      <c r="C126" s="109" t="s">
        <v>316</v>
      </c>
      <c r="D126" s="109" t="s">
        <v>332</v>
      </c>
      <c r="E126" s="130">
        <v>57335156</v>
      </c>
      <c r="F126" s="130">
        <v>57147156</v>
      </c>
      <c r="G126" s="130">
        <v>56083926.780000001</v>
      </c>
      <c r="H126" s="111">
        <f t="shared" si="51"/>
        <v>0.98139488831255228</v>
      </c>
      <c r="I126" s="130">
        <v>8782771.4399999995</v>
      </c>
      <c r="J126" s="130">
        <v>6960175.7599999998</v>
      </c>
      <c r="K126" s="111">
        <f t="shared" si="61"/>
        <v>0.792480574901537</v>
      </c>
      <c r="L126" s="130"/>
      <c r="M126" s="112"/>
      <c r="N126" s="110">
        <f t="shared" si="52"/>
        <v>63044102.539999999</v>
      </c>
      <c r="O126" s="33"/>
      <c r="P126" s="34"/>
    </row>
    <row r="127" spans="1:16" s="35" customFormat="1" ht="138.75" thickTop="1" thickBot="1" x14ac:dyDescent="0.25">
      <c r="A127" s="109" t="s">
        <v>333</v>
      </c>
      <c r="B127" s="109" t="s">
        <v>334</v>
      </c>
      <c r="C127" s="109" t="s">
        <v>316</v>
      </c>
      <c r="D127" s="109" t="s">
        <v>335</v>
      </c>
      <c r="E127" s="130">
        <v>5556196.8399999999</v>
      </c>
      <c r="F127" s="130">
        <v>5653189.0999999996</v>
      </c>
      <c r="G127" s="130">
        <v>5651999.75</v>
      </c>
      <c r="H127" s="111">
        <f t="shared" si="51"/>
        <v>0.99978961432583258</v>
      </c>
      <c r="I127" s="130"/>
      <c r="J127" s="130"/>
      <c r="K127" s="111"/>
      <c r="L127" s="130"/>
      <c r="M127" s="112"/>
      <c r="N127" s="110">
        <f t="shared" si="52"/>
        <v>5651999.75</v>
      </c>
      <c r="O127" s="33"/>
      <c r="P127" s="34"/>
    </row>
    <row r="128" spans="1:16" s="35" customFormat="1" ht="93" thickTop="1" thickBot="1" x14ac:dyDescent="0.25">
      <c r="A128" s="78"/>
      <c r="B128" s="114" t="s">
        <v>393</v>
      </c>
      <c r="C128" s="114"/>
      <c r="D128" s="114" t="s">
        <v>394</v>
      </c>
      <c r="E128" s="132">
        <f t="shared" ref="E128:J128" si="62">E129</f>
        <v>0</v>
      </c>
      <c r="F128" s="132">
        <f t="shared" si="62"/>
        <v>0</v>
      </c>
      <c r="G128" s="132">
        <f t="shared" si="62"/>
        <v>0</v>
      </c>
      <c r="H128" s="116">
        <v>0</v>
      </c>
      <c r="I128" s="132">
        <f t="shared" si="62"/>
        <v>20268106.199999999</v>
      </c>
      <c r="J128" s="132">
        <f t="shared" si="62"/>
        <v>3866315.08</v>
      </c>
      <c r="K128" s="116">
        <f t="shared" si="61"/>
        <v>0.19075857615153013</v>
      </c>
      <c r="L128" s="132"/>
      <c r="M128" s="132"/>
      <c r="N128" s="115">
        <f t="shared" si="52"/>
        <v>3866315.08</v>
      </c>
      <c r="O128" s="33"/>
      <c r="P128" s="34"/>
    </row>
    <row r="129" spans="1:16" s="35" customFormat="1" ht="230.25" thickTop="1" thickBot="1" x14ac:dyDescent="0.25">
      <c r="A129" s="78"/>
      <c r="B129" s="109" t="s">
        <v>395</v>
      </c>
      <c r="C129" s="109" t="s">
        <v>316</v>
      </c>
      <c r="D129" s="109" t="s">
        <v>521</v>
      </c>
      <c r="E129" s="110"/>
      <c r="F129" s="110"/>
      <c r="G129" s="110"/>
      <c r="H129" s="111"/>
      <c r="I129" s="110">
        <v>20268106.199999999</v>
      </c>
      <c r="J129" s="110">
        <v>3866315.08</v>
      </c>
      <c r="K129" s="111">
        <f t="shared" si="61"/>
        <v>0.19075857615153013</v>
      </c>
      <c r="L129" s="110"/>
      <c r="M129" s="112"/>
      <c r="N129" s="110">
        <f t="shared" si="52"/>
        <v>3866315.08</v>
      </c>
      <c r="O129" s="33"/>
      <c r="P129" s="34"/>
    </row>
    <row r="130" spans="1:16" ht="93" thickTop="1" thickBot="1" x14ac:dyDescent="0.25">
      <c r="A130" s="81" t="s">
        <v>336</v>
      </c>
      <c r="B130" s="114" t="s">
        <v>337</v>
      </c>
      <c r="C130" s="114"/>
      <c r="D130" s="114" t="s">
        <v>338</v>
      </c>
      <c r="E130" s="132">
        <f t="shared" ref="E130:J130" si="63">SUM(E131:E133)</f>
        <v>5261466</v>
      </c>
      <c r="F130" s="132">
        <f t="shared" ref="F130" si="64">SUM(F131:F133)</f>
        <v>5261466</v>
      </c>
      <c r="G130" s="132">
        <f t="shared" si="63"/>
        <v>3846868.2</v>
      </c>
      <c r="H130" s="116">
        <f t="shared" si="51"/>
        <v>0.73113999026126941</v>
      </c>
      <c r="I130" s="132">
        <f t="shared" si="63"/>
        <v>30880</v>
      </c>
      <c r="J130" s="132">
        <f t="shared" si="63"/>
        <v>3200.44</v>
      </c>
      <c r="K130" s="116">
        <f t="shared" si="61"/>
        <v>0.10364119170984457</v>
      </c>
      <c r="L130" s="132"/>
      <c r="M130" s="132"/>
      <c r="N130" s="115">
        <f t="shared" si="52"/>
        <v>3850068.64</v>
      </c>
      <c r="O130" s="50"/>
      <c r="P130" s="26"/>
    </row>
    <row r="131" spans="1:16" s="35" customFormat="1" ht="184.5" thickTop="1" thickBot="1" x14ac:dyDescent="0.25">
      <c r="A131" s="82" t="s">
        <v>339</v>
      </c>
      <c r="B131" s="142" t="s">
        <v>340</v>
      </c>
      <c r="C131" s="142" t="s">
        <v>316</v>
      </c>
      <c r="D131" s="109" t="s">
        <v>341</v>
      </c>
      <c r="E131" s="130">
        <v>1016620</v>
      </c>
      <c r="F131" s="130">
        <v>1016620</v>
      </c>
      <c r="G131" s="110">
        <v>40817.629999999997</v>
      </c>
      <c r="H131" s="111">
        <f t="shared" si="51"/>
        <v>4.0150331490625794E-2</v>
      </c>
      <c r="I131" s="110"/>
      <c r="J131" s="110"/>
      <c r="K131" s="110"/>
      <c r="L131" s="110"/>
      <c r="M131" s="112"/>
      <c r="N131" s="110">
        <f t="shared" si="52"/>
        <v>40817.629999999997</v>
      </c>
      <c r="O131" s="33"/>
      <c r="P131" s="34"/>
    </row>
    <row r="132" spans="1:16" s="35" customFormat="1" ht="138.75" thickTop="1" thickBot="1" x14ac:dyDescent="0.25">
      <c r="A132" s="82" t="s">
        <v>342</v>
      </c>
      <c r="B132" s="142" t="s">
        <v>343</v>
      </c>
      <c r="C132" s="142" t="s">
        <v>316</v>
      </c>
      <c r="D132" s="109" t="s">
        <v>344</v>
      </c>
      <c r="E132" s="130">
        <v>2490471</v>
      </c>
      <c r="F132" s="130">
        <v>2490471</v>
      </c>
      <c r="G132" s="110">
        <v>2098380</v>
      </c>
      <c r="H132" s="111">
        <f t="shared" si="51"/>
        <v>0.84256351509413274</v>
      </c>
      <c r="I132" s="110"/>
      <c r="J132" s="110"/>
      <c r="K132" s="110"/>
      <c r="L132" s="110"/>
      <c r="M132" s="112"/>
      <c r="N132" s="110">
        <f t="shared" si="52"/>
        <v>2098380</v>
      </c>
      <c r="O132" s="33"/>
      <c r="P132" s="34"/>
    </row>
    <row r="133" spans="1:16" s="35" customFormat="1" ht="93" thickTop="1" thickBot="1" x14ac:dyDescent="0.25">
      <c r="A133" s="82" t="s">
        <v>345</v>
      </c>
      <c r="B133" s="142" t="s">
        <v>346</v>
      </c>
      <c r="C133" s="142" t="s">
        <v>316</v>
      </c>
      <c r="D133" s="109" t="s">
        <v>347</v>
      </c>
      <c r="E133" s="130">
        <v>1754375</v>
      </c>
      <c r="F133" s="130">
        <v>1754375</v>
      </c>
      <c r="G133" s="110">
        <v>1707670.57</v>
      </c>
      <c r="H133" s="111">
        <f t="shared" si="51"/>
        <v>0.9733783085144283</v>
      </c>
      <c r="I133" s="110">
        <v>30880</v>
      </c>
      <c r="J133" s="110">
        <v>3200.44</v>
      </c>
      <c r="K133" s="111">
        <f t="shared" ref="K133" si="65">J133/I133</f>
        <v>0.10364119170984457</v>
      </c>
      <c r="L133" s="110"/>
      <c r="M133" s="112"/>
      <c r="N133" s="110">
        <f t="shared" si="52"/>
        <v>1710871.01</v>
      </c>
      <c r="O133" s="33"/>
      <c r="P133" s="34"/>
    </row>
    <row r="134" spans="1:16" ht="91.5" thickTop="1" thickBot="1" x14ac:dyDescent="0.25">
      <c r="A134" s="58" t="s">
        <v>350</v>
      </c>
      <c r="B134" s="122" t="s">
        <v>260</v>
      </c>
      <c r="C134" s="122"/>
      <c r="D134" s="123" t="s">
        <v>261</v>
      </c>
      <c r="E134" s="124">
        <f>SUM(E135:E147)-E135-E143</f>
        <v>433429770.05999994</v>
      </c>
      <c r="F134" s="124">
        <f>SUM(F135:F147)-F135-F143</f>
        <v>475449415.05999994</v>
      </c>
      <c r="G134" s="124">
        <f>SUM(G135:G147)-G135-G143</f>
        <v>458997697.53000003</v>
      </c>
      <c r="H134" s="125">
        <f>G134/F134</f>
        <v>0.96539754386294963</v>
      </c>
      <c r="I134" s="124">
        <f>SUM(I135:I147)-I135-I143</f>
        <v>10699100</v>
      </c>
      <c r="J134" s="124">
        <f>SUM(J135:J147)-J135-J143</f>
        <v>3035273.8499999992</v>
      </c>
      <c r="K134" s="125">
        <f>J134/I134</f>
        <v>0.2836943154097073</v>
      </c>
      <c r="L134" s="124"/>
      <c r="M134" s="124"/>
      <c r="N134" s="126">
        <f>J134+G134</f>
        <v>462032971.38000005</v>
      </c>
      <c r="O134" s="53" t="b">
        <f>N134=N136+N137+N138+N139+N140+N141+N142+N144+N146+N145</f>
        <v>1</v>
      </c>
      <c r="P134" s="37"/>
    </row>
    <row r="135" spans="1:16" s="18" customFormat="1" ht="93" thickTop="1" thickBot="1" x14ac:dyDescent="0.25">
      <c r="A135" s="114" t="s">
        <v>351</v>
      </c>
      <c r="B135" s="114" t="s">
        <v>352</v>
      </c>
      <c r="C135" s="114"/>
      <c r="D135" s="114" t="s">
        <v>353</v>
      </c>
      <c r="E135" s="115">
        <f t="shared" ref="E135:J135" si="66">SUM(E136:E140)</f>
        <v>163163200</v>
      </c>
      <c r="F135" s="115">
        <f t="shared" ref="F135" si="67">SUM(F136:F140)</f>
        <v>183346985</v>
      </c>
      <c r="G135" s="115">
        <f t="shared" si="66"/>
        <v>182835982.42000002</v>
      </c>
      <c r="H135" s="116">
        <f t="shared" ref="H135:H138" si="68">G135/F135</f>
        <v>0.99721292073605694</v>
      </c>
      <c r="I135" s="115">
        <f t="shared" si="66"/>
        <v>4025600</v>
      </c>
      <c r="J135" s="115">
        <f t="shared" si="66"/>
        <v>3026778.98</v>
      </c>
      <c r="K135" s="116">
        <f t="shared" ref="K135:K136" si="69">J135/I135</f>
        <v>0.75188269574721778</v>
      </c>
      <c r="L135" s="115"/>
      <c r="M135" s="115"/>
      <c r="N135" s="115">
        <f t="shared" ref="N135:N184" si="70">G135+J135</f>
        <v>185862761.40000001</v>
      </c>
      <c r="O135" s="20"/>
      <c r="P135" s="37"/>
    </row>
    <row r="136" spans="1:16" ht="93" thickTop="1" thickBot="1" x14ac:dyDescent="0.25">
      <c r="A136" s="109" t="s">
        <v>354</v>
      </c>
      <c r="B136" s="109" t="s">
        <v>355</v>
      </c>
      <c r="C136" s="109" t="s">
        <v>264</v>
      </c>
      <c r="D136" s="109" t="s">
        <v>356</v>
      </c>
      <c r="E136" s="130">
        <v>513200</v>
      </c>
      <c r="F136" s="130">
        <v>1396985</v>
      </c>
      <c r="G136" s="130">
        <v>950674.4</v>
      </c>
      <c r="H136" s="111">
        <f t="shared" si="68"/>
        <v>0.68051868846122188</v>
      </c>
      <c r="I136" s="130">
        <v>708600</v>
      </c>
      <c r="J136" s="131">
        <v>13540.51</v>
      </c>
      <c r="K136" s="111">
        <f t="shared" si="69"/>
        <v>1.9108820208862547E-2</v>
      </c>
      <c r="L136" s="131"/>
      <c r="M136" s="112"/>
      <c r="N136" s="110">
        <f t="shared" si="70"/>
        <v>964214.91</v>
      </c>
      <c r="P136" s="37"/>
    </row>
    <row r="137" spans="1:16" ht="138.75" customHeight="1" thickTop="1" thickBot="1" x14ac:dyDescent="0.25">
      <c r="A137" s="78"/>
      <c r="B137" s="109" t="s">
        <v>376</v>
      </c>
      <c r="C137" s="109" t="s">
        <v>359</v>
      </c>
      <c r="D137" s="109" t="s">
        <v>377</v>
      </c>
      <c r="E137" s="130">
        <v>151600000</v>
      </c>
      <c r="F137" s="130">
        <v>171600000</v>
      </c>
      <c r="G137" s="130">
        <v>171599999.90000001</v>
      </c>
      <c r="H137" s="111">
        <f t="shared" si="68"/>
        <v>0.99999999941724949</v>
      </c>
      <c r="I137" s="130"/>
      <c r="J137" s="131"/>
      <c r="K137" s="131"/>
      <c r="L137" s="131"/>
      <c r="M137" s="112"/>
      <c r="N137" s="110">
        <f t="shared" si="70"/>
        <v>171599999.90000001</v>
      </c>
      <c r="P137" s="37"/>
    </row>
    <row r="138" spans="1:16" ht="93" thickTop="1" thickBot="1" x14ac:dyDescent="0.25">
      <c r="A138" s="78"/>
      <c r="B138" s="109" t="s">
        <v>378</v>
      </c>
      <c r="C138" s="109" t="s">
        <v>359</v>
      </c>
      <c r="D138" s="109" t="s">
        <v>379</v>
      </c>
      <c r="E138" s="130">
        <v>10350000</v>
      </c>
      <c r="F138" s="130">
        <v>10350000</v>
      </c>
      <c r="G138" s="130">
        <v>10285308.119999999</v>
      </c>
      <c r="H138" s="111">
        <f t="shared" si="68"/>
        <v>0.99374957681159415</v>
      </c>
      <c r="I138" s="130">
        <v>250000</v>
      </c>
      <c r="J138" s="131">
        <v>0</v>
      </c>
      <c r="K138" s="111">
        <f t="shared" ref="K138:K145" si="71">J138/I138</f>
        <v>0</v>
      </c>
      <c r="L138" s="131"/>
      <c r="M138" s="112"/>
      <c r="N138" s="110">
        <f t="shared" si="70"/>
        <v>10285308.119999999</v>
      </c>
      <c r="P138" s="37"/>
    </row>
    <row r="139" spans="1:16" ht="93" thickTop="1" thickBot="1" x14ac:dyDescent="0.25">
      <c r="A139" s="59" t="s">
        <v>357</v>
      </c>
      <c r="B139" s="109" t="s">
        <v>358</v>
      </c>
      <c r="C139" s="109" t="s">
        <v>359</v>
      </c>
      <c r="D139" s="109" t="s">
        <v>360</v>
      </c>
      <c r="E139" s="130"/>
      <c r="F139" s="130"/>
      <c r="G139" s="130"/>
      <c r="H139" s="130"/>
      <c r="I139" s="130">
        <v>3000000</v>
      </c>
      <c r="J139" s="131">
        <v>2946872.45</v>
      </c>
      <c r="K139" s="111">
        <f t="shared" si="71"/>
        <v>0.98229081666666673</v>
      </c>
      <c r="L139" s="131"/>
      <c r="M139" s="112"/>
      <c r="N139" s="110">
        <f t="shared" si="70"/>
        <v>2946872.45</v>
      </c>
      <c r="P139" s="37"/>
    </row>
    <row r="140" spans="1:16" ht="93" thickTop="1" thickBot="1" x14ac:dyDescent="0.25">
      <c r="A140" s="59" t="s">
        <v>361</v>
      </c>
      <c r="B140" s="109" t="s">
        <v>362</v>
      </c>
      <c r="C140" s="109" t="s">
        <v>359</v>
      </c>
      <c r="D140" s="109" t="s">
        <v>363</v>
      </c>
      <c r="E140" s="130">
        <v>700000</v>
      </c>
      <c r="F140" s="130"/>
      <c r="G140" s="130"/>
      <c r="H140" s="111"/>
      <c r="I140" s="130">
        <v>67000</v>
      </c>
      <c r="J140" s="131">
        <v>66366.02</v>
      </c>
      <c r="K140" s="111">
        <f t="shared" si="71"/>
        <v>0.99053761194029855</v>
      </c>
      <c r="L140" s="131"/>
      <c r="M140" s="112"/>
      <c r="N140" s="110">
        <f t="shared" si="70"/>
        <v>66366.02</v>
      </c>
      <c r="O140" s="50"/>
      <c r="P140" s="37"/>
    </row>
    <row r="141" spans="1:16" ht="184.5" thickTop="1" thickBot="1" x14ac:dyDescent="0.25">
      <c r="A141" s="78" t="s">
        <v>364</v>
      </c>
      <c r="B141" s="109" t="s">
        <v>365</v>
      </c>
      <c r="C141" s="109" t="s">
        <v>359</v>
      </c>
      <c r="D141" s="109" t="s">
        <v>366</v>
      </c>
      <c r="E141" s="130">
        <v>7697479.0599999996</v>
      </c>
      <c r="F141" s="130">
        <f>4993479.06+5092250</f>
        <v>10085729.059999999</v>
      </c>
      <c r="G141" s="130">
        <f>4993479.06+5092239.33</f>
        <v>10085718.390000001</v>
      </c>
      <c r="H141" s="111">
        <f>G141/F141</f>
        <v>0.99999894206953854</v>
      </c>
      <c r="I141" s="130"/>
      <c r="J141" s="131"/>
      <c r="K141" s="131"/>
      <c r="L141" s="131"/>
      <c r="M141" s="112"/>
      <c r="N141" s="110">
        <f t="shared" si="70"/>
        <v>10085718.390000001</v>
      </c>
      <c r="O141" s="50"/>
      <c r="P141" s="37"/>
    </row>
    <row r="142" spans="1:16" ht="62.25" thickTop="1" thickBot="1" x14ac:dyDescent="0.25">
      <c r="A142" s="59"/>
      <c r="B142" s="109" t="s">
        <v>368</v>
      </c>
      <c r="C142" s="109" t="s">
        <v>359</v>
      </c>
      <c r="D142" s="109" t="s">
        <v>369</v>
      </c>
      <c r="E142" s="130">
        <v>262290242</v>
      </c>
      <c r="F142" s="130">
        <v>281737852</v>
      </c>
      <c r="G142" s="130">
        <v>266036996.72</v>
      </c>
      <c r="H142" s="111">
        <f t="shared" ref="H142" si="72">G142/F142</f>
        <v>0.94427140276486521</v>
      </c>
      <c r="I142" s="110">
        <v>673500</v>
      </c>
      <c r="J142" s="130">
        <v>8494.8700000000008</v>
      </c>
      <c r="K142" s="111">
        <f t="shared" si="71"/>
        <v>1.2613021529324427E-2</v>
      </c>
      <c r="L142" s="130"/>
      <c r="M142" s="112"/>
      <c r="N142" s="110">
        <f t="shared" si="70"/>
        <v>266045491.59</v>
      </c>
      <c r="O142" s="52"/>
      <c r="P142" s="37"/>
    </row>
    <row r="143" spans="1:16" ht="183.75" thickTop="1" thickBot="1" x14ac:dyDescent="0.25">
      <c r="A143" s="59"/>
      <c r="B143" s="114" t="s">
        <v>262</v>
      </c>
      <c r="C143" s="114"/>
      <c r="D143" s="114" t="s">
        <v>434</v>
      </c>
      <c r="E143" s="132">
        <f>SUM(E144:E146)</f>
        <v>39000</v>
      </c>
      <c r="F143" s="132">
        <f>SUM(F144:F146)</f>
        <v>39000</v>
      </c>
      <c r="G143" s="132">
        <f>SUM(G144:G146)</f>
        <v>39000</v>
      </c>
      <c r="H143" s="116">
        <v>0</v>
      </c>
      <c r="I143" s="132">
        <f>SUM(I144:I146)</f>
        <v>6000000</v>
      </c>
      <c r="J143" s="132">
        <f>SUM(J144:J146)</f>
        <v>0</v>
      </c>
      <c r="K143" s="111">
        <f t="shared" si="71"/>
        <v>0</v>
      </c>
      <c r="L143" s="132"/>
      <c r="M143" s="117"/>
      <c r="N143" s="115">
        <f t="shared" si="70"/>
        <v>39000</v>
      </c>
      <c r="O143" s="50" t="s">
        <v>433</v>
      </c>
      <c r="P143" s="37"/>
    </row>
    <row r="144" spans="1:16" ht="93" thickTop="1" thickBot="1" x14ac:dyDescent="0.25">
      <c r="A144" s="59" t="s">
        <v>367</v>
      </c>
      <c r="B144" s="109" t="s">
        <v>263</v>
      </c>
      <c r="C144" s="109" t="s">
        <v>264</v>
      </c>
      <c r="D144" s="109" t="s">
        <v>435</v>
      </c>
      <c r="E144" s="130"/>
      <c r="F144" s="130"/>
      <c r="G144" s="130"/>
      <c r="H144" s="111"/>
      <c r="I144" s="110">
        <v>6000000</v>
      </c>
      <c r="J144" s="130">
        <v>0</v>
      </c>
      <c r="K144" s="111">
        <f t="shared" si="71"/>
        <v>0</v>
      </c>
      <c r="L144" s="130"/>
      <c r="M144" s="112"/>
      <c r="N144" s="110">
        <f t="shared" si="70"/>
        <v>0</v>
      </c>
      <c r="P144" s="30"/>
    </row>
    <row r="145" spans="1:16" ht="409.6" hidden="1" customHeight="1" thickTop="1" thickBot="1" x14ac:dyDescent="0.25">
      <c r="A145" s="59"/>
      <c r="B145" s="109" t="s">
        <v>495</v>
      </c>
      <c r="C145" s="109" t="s">
        <v>264</v>
      </c>
      <c r="D145" s="109" t="s">
        <v>496</v>
      </c>
      <c r="E145" s="130"/>
      <c r="F145" s="130"/>
      <c r="G145" s="130"/>
      <c r="H145" s="111"/>
      <c r="I145" s="143">
        <v>0</v>
      </c>
      <c r="J145" s="144">
        <v>0</v>
      </c>
      <c r="K145" s="136" t="e">
        <f t="shared" si="71"/>
        <v>#DIV/0!</v>
      </c>
      <c r="L145" s="144"/>
      <c r="M145" s="145"/>
      <c r="N145" s="143">
        <f t="shared" si="70"/>
        <v>0</v>
      </c>
      <c r="P145" s="30"/>
    </row>
    <row r="146" spans="1:16" ht="184.5" thickTop="1" thickBot="1" x14ac:dyDescent="0.25">
      <c r="A146" s="78"/>
      <c r="B146" s="142" t="s">
        <v>348</v>
      </c>
      <c r="C146" s="142" t="s">
        <v>264</v>
      </c>
      <c r="D146" s="109" t="s">
        <v>349</v>
      </c>
      <c r="E146" s="130">
        <v>39000</v>
      </c>
      <c r="F146" s="130">
        <v>39000</v>
      </c>
      <c r="G146" s="110">
        <v>39000</v>
      </c>
      <c r="H146" s="111">
        <f>G146/F146</f>
        <v>1</v>
      </c>
      <c r="I146" s="110"/>
      <c r="J146" s="110"/>
      <c r="K146" s="110"/>
      <c r="L146" s="110"/>
      <c r="M146" s="112"/>
      <c r="N146" s="110">
        <f t="shared" si="70"/>
        <v>39000</v>
      </c>
      <c r="O146" s="50"/>
      <c r="P146" s="30"/>
    </row>
    <row r="147" spans="1:16" ht="183.75" thickTop="1" thickBot="1" x14ac:dyDescent="0.25">
      <c r="A147" s="78"/>
      <c r="B147" s="109" t="s">
        <v>511</v>
      </c>
      <c r="C147" s="109" t="s">
        <v>512</v>
      </c>
      <c r="D147" s="109" t="s">
        <v>513</v>
      </c>
      <c r="E147" s="130">
        <v>239849</v>
      </c>
      <c r="F147" s="130">
        <v>239849</v>
      </c>
      <c r="G147" s="110">
        <v>0</v>
      </c>
      <c r="H147" s="111">
        <v>0</v>
      </c>
      <c r="I147" s="110"/>
      <c r="J147" s="110"/>
      <c r="K147" s="110"/>
      <c r="L147" s="110"/>
      <c r="M147" s="112"/>
      <c r="N147" s="110">
        <f t="shared" si="70"/>
        <v>0</v>
      </c>
      <c r="O147" s="50" t="s">
        <v>433</v>
      </c>
      <c r="P147" s="30"/>
    </row>
    <row r="148" spans="1:16" s="38" customFormat="1" ht="101.25" customHeight="1" thickTop="1" thickBot="1" x14ac:dyDescent="0.25">
      <c r="A148" s="61" t="s">
        <v>370</v>
      </c>
      <c r="B148" s="122" t="s">
        <v>31</v>
      </c>
      <c r="C148" s="122"/>
      <c r="D148" s="123" t="s">
        <v>371</v>
      </c>
      <c r="E148" s="124">
        <f>E149+E151+E164+E172+E175</f>
        <v>184313750</v>
      </c>
      <c r="F148" s="124">
        <f>F149+F151+F164+F172+F175</f>
        <v>184613382</v>
      </c>
      <c r="G148" s="124">
        <f>G149+G151+G164+G172+G175</f>
        <v>140979156.06</v>
      </c>
      <c r="H148" s="125">
        <f>G148/F148</f>
        <v>0.76364537896824836</v>
      </c>
      <c r="I148" s="124">
        <f>I149+I151+I164+I172+I175</f>
        <v>167514299.02000001</v>
      </c>
      <c r="J148" s="124">
        <f>J149+J151+J164+J172+J175</f>
        <v>54594875.510000005</v>
      </c>
      <c r="K148" s="125">
        <f>J148/I148</f>
        <v>0.32591173308424115</v>
      </c>
      <c r="L148" s="124"/>
      <c r="M148" s="124"/>
      <c r="N148" s="126">
        <f>J148+G148</f>
        <v>195574031.56999999</v>
      </c>
      <c r="O148" s="53" t="b">
        <f>N148=N150+N152+N154+N158+N159+N163+N168+N171+N173+N176+N179+N180+N181+N182+N183+N185+N187+N166+N178+N162+N156+N160+N174+N169+N155+N157</f>
        <v>1</v>
      </c>
      <c r="P148" s="51"/>
    </row>
    <row r="149" spans="1:16" s="38" customFormat="1" ht="91.5" thickTop="1" thickBot="1" x14ac:dyDescent="0.25">
      <c r="A149" s="146"/>
      <c r="B149" s="147" t="s">
        <v>414</v>
      </c>
      <c r="C149" s="147"/>
      <c r="D149" s="147" t="s">
        <v>415</v>
      </c>
      <c r="E149" s="148">
        <f>SUM(E150)</f>
        <v>300000</v>
      </c>
      <c r="F149" s="148">
        <f>SUM(F150)</f>
        <v>300000</v>
      </c>
      <c r="G149" s="148">
        <f>SUM(G150)</f>
        <v>13971.5</v>
      </c>
      <c r="H149" s="149">
        <f>G149/F149</f>
        <v>4.6571666666666664E-2</v>
      </c>
      <c r="I149" s="148">
        <f>SUM(I150)</f>
        <v>400000</v>
      </c>
      <c r="J149" s="148">
        <f t="shared" ref="J149" si="73">SUM(J150)</f>
        <v>27750</v>
      </c>
      <c r="K149" s="149">
        <f t="shared" ref="K149:K151" si="74">J149/I149</f>
        <v>6.9375000000000006E-2</v>
      </c>
      <c r="L149" s="148"/>
      <c r="M149" s="148"/>
      <c r="N149" s="148">
        <f t="shared" si="70"/>
        <v>41721.5</v>
      </c>
      <c r="O149" s="39"/>
      <c r="P149" s="51"/>
    </row>
    <row r="150" spans="1:16" s="38" customFormat="1" ht="48" thickTop="1" thickBot="1" x14ac:dyDescent="0.25">
      <c r="A150" s="146"/>
      <c r="B150" s="109" t="s">
        <v>416</v>
      </c>
      <c r="C150" s="109" t="s">
        <v>417</v>
      </c>
      <c r="D150" s="109" t="s">
        <v>418</v>
      </c>
      <c r="E150" s="110">
        <v>300000</v>
      </c>
      <c r="F150" s="110">
        <v>300000</v>
      </c>
      <c r="G150" s="110">
        <v>13971.5</v>
      </c>
      <c r="H150" s="111">
        <f>G150/F150</f>
        <v>4.6571666666666664E-2</v>
      </c>
      <c r="I150" s="110">
        <v>400000</v>
      </c>
      <c r="J150" s="110">
        <v>27750</v>
      </c>
      <c r="K150" s="111">
        <f>J150/I150</f>
        <v>6.9375000000000006E-2</v>
      </c>
      <c r="L150" s="110"/>
      <c r="M150" s="112"/>
      <c r="N150" s="110">
        <f t="shared" si="70"/>
        <v>41721.5</v>
      </c>
      <c r="O150" s="39"/>
      <c r="P150" s="51"/>
    </row>
    <row r="151" spans="1:16" s="38" customFormat="1" ht="62.25" thickTop="1" thickBot="1" x14ac:dyDescent="0.25">
      <c r="A151" s="146"/>
      <c r="B151" s="147" t="s">
        <v>265</v>
      </c>
      <c r="C151" s="147"/>
      <c r="D151" s="147" t="s">
        <v>266</v>
      </c>
      <c r="E151" s="150">
        <f>SUM(E152:E163)-E153-E161</f>
        <v>74340</v>
      </c>
      <c r="F151" s="150">
        <f>SUM(F152:F163)-F153-F161</f>
        <v>74340</v>
      </c>
      <c r="G151" s="150">
        <f>SUM(G152:G163)-G153-G161</f>
        <v>27675</v>
      </c>
      <c r="H151" s="149">
        <f>G151/F151</f>
        <v>0.37227602905569007</v>
      </c>
      <c r="I151" s="150">
        <f>SUM(I152:I163)-I153-I161</f>
        <v>14646300</v>
      </c>
      <c r="J151" s="150">
        <f>SUM(J152:J163)-J153-J161</f>
        <v>4870113.79</v>
      </c>
      <c r="K151" s="149">
        <f t="shared" si="74"/>
        <v>0.33251495531294595</v>
      </c>
      <c r="L151" s="150"/>
      <c r="M151" s="150"/>
      <c r="N151" s="148">
        <f>G151+J151</f>
        <v>4897788.79</v>
      </c>
      <c r="O151" s="50"/>
      <c r="P151" s="51"/>
    </row>
    <row r="152" spans="1:16" s="38" customFormat="1" ht="93" customHeight="1" thickTop="1" thickBot="1" x14ac:dyDescent="0.25">
      <c r="A152" s="146"/>
      <c r="B152" s="109" t="s">
        <v>380</v>
      </c>
      <c r="C152" s="109" t="s">
        <v>268</v>
      </c>
      <c r="D152" s="109" t="s">
        <v>528</v>
      </c>
      <c r="E152" s="130"/>
      <c r="F152" s="130"/>
      <c r="G152" s="130"/>
      <c r="H152" s="130"/>
      <c r="I152" s="110">
        <f>38726+2170000+706113</f>
        <v>2914839</v>
      </c>
      <c r="J152" s="130">
        <f>0+1000000+0</f>
        <v>1000000</v>
      </c>
      <c r="K152" s="111">
        <f>J152/I152</f>
        <v>0.34307212165062978</v>
      </c>
      <c r="L152" s="130"/>
      <c r="M152" s="112"/>
      <c r="N152" s="110">
        <f t="shared" si="70"/>
        <v>1000000</v>
      </c>
      <c r="O152" s="39"/>
      <c r="P152" s="51"/>
    </row>
    <row r="153" spans="1:16" s="38" customFormat="1" ht="93" thickTop="1" thickBot="1" x14ac:dyDescent="0.25">
      <c r="A153" s="61"/>
      <c r="B153" s="114" t="s">
        <v>267</v>
      </c>
      <c r="C153" s="114"/>
      <c r="D153" s="114" t="s">
        <v>529</v>
      </c>
      <c r="E153" s="115"/>
      <c r="F153" s="115"/>
      <c r="G153" s="115"/>
      <c r="H153" s="116"/>
      <c r="I153" s="115">
        <f>SUM(I154:I158)</f>
        <v>6583683</v>
      </c>
      <c r="J153" s="115">
        <f>SUM(J154:J158)</f>
        <v>3449208.74</v>
      </c>
      <c r="K153" s="116">
        <f t="shared" ref="K153:K154" si="75">J153/I153</f>
        <v>0.52390261499528457</v>
      </c>
      <c r="L153" s="115"/>
      <c r="M153" s="115"/>
      <c r="N153" s="115">
        <f t="shared" si="70"/>
        <v>3449208.74</v>
      </c>
      <c r="O153" s="39"/>
      <c r="P153" s="51"/>
    </row>
    <row r="154" spans="1:16" s="38" customFormat="1" ht="48" thickTop="1" thickBot="1" x14ac:dyDescent="0.25">
      <c r="A154" s="61"/>
      <c r="B154" s="109" t="s">
        <v>396</v>
      </c>
      <c r="C154" s="109" t="s">
        <v>268</v>
      </c>
      <c r="D154" s="109" t="s">
        <v>530</v>
      </c>
      <c r="E154" s="110"/>
      <c r="F154" s="110"/>
      <c r="G154" s="110"/>
      <c r="H154" s="110"/>
      <c r="I154" s="110">
        <f>3666473+1368719</f>
        <v>5035192</v>
      </c>
      <c r="J154" s="110">
        <f>3408837.41+7660.73</f>
        <v>3416498.14</v>
      </c>
      <c r="K154" s="111">
        <f t="shared" si="75"/>
        <v>0.67852390534462248</v>
      </c>
      <c r="L154" s="110"/>
      <c r="M154" s="112"/>
      <c r="N154" s="110">
        <f t="shared" si="70"/>
        <v>3416498.14</v>
      </c>
      <c r="O154" s="39"/>
      <c r="P154" s="51"/>
    </row>
    <row r="155" spans="1:16" s="38" customFormat="1" ht="48" hidden="1" thickTop="1" thickBot="1" x14ac:dyDescent="0.25">
      <c r="A155" s="61"/>
      <c r="B155" s="109" t="s">
        <v>522</v>
      </c>
      <c r="C155" s="109" t="s">
        <v>268</v>
      </c>
      <c r="D155" s="109" t="s">
        <v>531</v>
      </c>
      <c r="E155" s="110"/>
      <c r="F155" s="110"/>
      <c r="G155" s="110"/>
      <c r="H155" s="110"/>
      <c r="I155" s="110">
        <v>0</v>
      </c>
      <c r="J155" s="110">
        <v>0</v>
      </c>
      <c r="K155" s="111" t="e">
        <f t="shared" ref="K155" si="76">J155/I155</f>
        <v>#DIV/0!</v>
      </c>
      <c r="L155" s="110"/>
      <c r="M155" s="112"/>
      <c r="N155" s="110">
        <f t="shared" ref="N155" si="77">G155+J155</f>
        <v>0</v>
      </c>
      <c r="O155" s="39"/>
      <c r="P155" s="51"/>
    </row>
    <row r="156" spans="1:16" s="38" customFormat="1" ht="244.5" hidden="1" customHeight="1" thickTop="1" thickBot="1" x14ac:dyDescent="0.25">
      <c r="A156" s="61"/>
      <c r="B156" s="109" t="s">
        <v>448</v>
      </c>
      <c r="C156" s="109" t="s">
        <v>268</v>
      </c>
      <c r="D156" s="109" t="s">
        <v>526</v>
      </c>
      <c r="E156" s="110"/>
      <c r="F156" s="110"/>
      <c r="G156" s="110"/>
      <c r="H156" s="110"/>
      <c r="I156" s="143">
        <v>0</v>
      </c>
      <c r="J156" s="143">
        <v>0</v>
      </c>
      <c r="K156" s="136">
        <v>0</v>
      </c>
      <c r="L156" s="143"/>
      <c r="M156" s="145"/>
      <c r="N156" s="143">
        <f t="shared" si="70"/>
        <v>0</v>
      </c>
      <c r="O156" s="50" t="s">
        <v>433</v>
      </c>
      <c r="P156" s="51"/>
    </row>
    <row r="157" spans="1:16" s="38" customFormat="1" ht="48" thickTop="1" thickBot="1" x14ac:dyDescent="0.25">
      <c r="A157" s="61"/>
      <c r="B157" s="109" t="s">
        <v>397</v>
      </c>
      <c r="C157" s="109" t="s">
        <v>268</v>
      </c>
      <c r="D157" s="109" t="s">
        <v>532</v>
      </c>
      <c r="E157" s="110"/>
      <c r="F157" s="110"/>
      <c r="G157" s="110"/>
      <c r="H157" s="110"/>
      <c r="I157" s="110">
        <v>1248491</v>
      </c>
      <c r="J157" s="110">
        <v>1594.6</v>
      </c>
      <c r="K157" s="111">
        <f t="shared" ref="K157" si="78">J157/I157</f>
        <v>1.2772218622320866E-3</v>
      </c>
      <c r="L157" s="110"/>
      <c r="M157" s="112"/>
      <c r="N157" s="110">
        <f t="shared" ref="N157" si="79">G157+J157</f>
        <v>1594.6</v>
      </c>
      <c r="O157" s="39"/>
      <c r="P157" s="51"/>
    </row>
    <row r="158" spans="1:16" s="38" customFormat="1" ht="93" thickTop="1" thickBot="1" x14ac:dyDescent="0.25">
      <c r="A158" s="146"/>
      <c r="B158" s="109" t="s">
        <v>523</v>
      </c>
      <c r="C158" s="109" t="s">
        <v>268</v>
      </c>
      <c r="D158" s="109" t="s">
        <v>527</v>
      </c>
      <c r="E158" s="110"/>
      <c r="F158" s="110"/>
      <c r="G158" s="110"/>
      <c r="H158" s="110"/>
      <c r="I158" s="110">
        <v>300000</v>
      </c>
      <c r="J158" s="110">
        <v>31116</v>
      </c>
      <c r="K158" s="111">
        <f t="shared" ref="K158:K164" si="80">J158/I158</f>
        <v>0.10372000000000001</v>
      </c>
      <c r="L158" s="110"/>
      <c r="M158" s="112"/>
      <c r="N158" s="110">
        <f t="shared" si="70"/>
        <v>31116</v>
      </c>
      <c r="O158" s="39"/>
      <c r="P158" s="51"/>
    </row>
    <row r="159" spans="1:16" s="38" customFormat="1" ht="93" thickTop="1" thickBot="1" x14ac:dyDescent="0.25">
      <c r="A159" s="146"/>
      <c r="B159" s="109" t="s">
        <v>398</v>
      </c>
      <c r="C159" s="109" t="s">
        <v>268</v>
      </c>
      <c r="D159" s="109" t="s">
        <v>533</v>
      </c>
      <c r="E159" s="110"/>
      <c r="F159" s="110"/>
      <c r="G159" s="110"/>
      <c r="H159" s="110"/>
      <c r="I159" s="110">
        <v>5048778</v>
      </c>
      <c r="J159" s="110">
        <v>321905.05</v>
      </c>
      <c r="K159" s="111">
        <f t="shared" si="80"/>
        <v>6.3759002673518222E-2</v>
      </c>
      <c r="L159" s="110"/>
      <c r="M159" s="112"/>
      <c r="N159" s="110">
        <f t="shared" si="70"/>
        <v>321905.05</v>
      </c>
      <c r="O159" s="39"/>
      <c r="P159" s="51"/>
    </row>
    <row r="160" spans="1:16" s="38" customFormat="1" ht="93" thickTop="1" thickBot="1" x14ac:dyDescent="0.25">
      <c r="A160" s="146"/>
      <c r="B160" s="109" t="s">
        <v>449</v>
      </c>
      <c r="C160" s="109" t="s">
        <v>268</v>
      </c>
      <c r="D160" s="109" t="s">
        <v>450</v>
      </c>
      <c r="E160" s="110"/>
      <c r="F160" s="110"/>
      <c r="G160" s="110"/>
      <c r="H160" s="110"/>
      <c r="I160" s="110">
        <v>99000</v>
      </c>
      <c r="J160" s="110">
        <v>99000</v>
      </c>
      <c r="K160" s="111">
        <f t="shared" si="80"/>
        <v>1</v>
      </c>
      <c r="L160" s="110"/>
      <c r="M160" s="112"/>
      <c r="N160" s="110">
        <f t="shared" si="70"/>
        <v>99000</v>
      </c>
      <c r="O160" s="39"/>
      <c r="P160" s="51"/>
    </row>
    <row r="161" spans="1:16" s="38" customFormat="1" ht="244.5" hidden="1" customHeight="1" thickTop="1" thickBot="1" x14ac:dyDescent="0.25">
      <c r="A161" s="146"/>
      <c r="B161" s="114" t="s">
        <v>497</v>
      </c>
      <c r="C161" s="114"/>
      <c r="D161" s="114" t="s">
        <v>499</v>
      </c>
      <c r="E161" s="115">
        <f>E162</f>
        <v>0</v>
      </c>
      <c r="F161" s="115">
        <f>F162</f>
        <v>0</v>
      </c>
      <c r="G161" s="115">
        <f t="shared" ref="G161" si="81">G162</f>
        <v>0</v>
      </c>
      <c r="H161" s="116">
        <v>0</v>
      </c>
      <c r="I161" s="135">
        <f>I162</f>
        <v>0</v>
      </c>
      <c r="J161" s="135">
        <f>J162</f>
        <v>0</v>
      </c>
      <c r="K161" s="136" t="e">
        <f t="shared" si="80"/>
        <v>#DIV/0!</v>
      </c>
      <c r="L161" s="135"/>
      <c r="M161" s="135"/>
      <c r="N161" s="135">
        <f t="shared" si="70"/>
        <v>0</v>
      </c>
      <c r="O161" s="50" t="s">
        <v>433</v>
      </c>
      <c r="P161" s="51"/>
    </row>
    <row r="162" spans="1:16" s="38" customFormat="1" ht="230.25" hidden="1" customHeight="1" thickTop="1" thickBot="1" x14ac:dyDescent="0.25">
      <c r="A162" s="146"/>
      <c r="B162" s="109" t="s">
        <v>498</v>
      </c>
      <c r="C162" s="109" t="s">
        <v>39</v>
      </c>
      <c r="D162" s="109" t="s">
        <v>500</v>
      </c>
      <c r="E162" s="110"/>
      <c r="F162" s="110"/>
      <c r="G162" s="110"/>
      <c r="H162" s="110"/>
      <c r="I162" s="143"/>
      <c r="J162" s="143">
        <v>0</v>
      </c>
      <c r="K162" s="136" t="e">
        <f t="shared" si="80"/>
        <v>#DIV/0!</v>
      </c>
      <c r="L162" s="143"/>
      <c r="M162" s="145"/>
      <c r="N162" s="143">
        <f t="shared" si="70"/>
        <v>0</v>
      </c>
      <c r="O162" s="39"/>
      <c r="P162" s="51"/>
    </row>
    <row r="163" spans="1:16" s="38" customFormat="1" ht="93" thickTop="1" thickBot="1" x14ac:dyDescent="0.25">
      <c r="A163" s="146"/>
      <c r="B163" s="109" t="s">
        <v>399</v>
      </c>
      <c r="C163" s="109" t="s">
        <v>39</v>
      </c>
      <c r="D163" s="109" t="s">
        <v>400</v>
      </c>
      <c r="E163" s="110">
        <v>74340</v>
      </c>
      <c r="F163" s="110">
        <v>74340</v>
      </c>
      <c r="G163" s="110">
        <v>27675</v>
      </c>
      <c r="H163" s="111">
        <f>G163/F163</f>
        <v>0.37227602905569007</v>
      </c>
      <c r="I163" s="110"/>
      <c r="J163" s="110"/>
      <c r="K163" s="111"/>
      <c r="L163" s="110"/>
      <c r="M163" s="112"/>
      <c r="N163" s="110">
        <f>G163+J163</f>
        <v>27675</v>
      </c>
      <c r="O163" s="50"/>
      <c r="P163" s="51"/>
    </row>
    <row r="164" spans="1:16" s="38" customFormat="1" ht="91.5" thickTop="1" thickBot="1" x14ac:dyDescent="0.25">
      <c r="A164" s="83"/>
      <c r="B164" s="147" t="s">
        <v>381</v>
      </c>
      <c r="C164" s="147"/>
      <c r="D164" s="147" t="s">
        <v>382</v>
      </c>
      <c r="E164" s="148">
        <f>SUM(E165:E171)-E167-E170-E165</f>
        <v>162557300</v>
      </c>
      <c r="F164" s="148">
        <f>SUM(F165:F171)-F167-F170-F165</f>
        <v>162557300</v>
      </c>
      <c r="G164" s="148">
        <f>SUM(G165:G171)-G167-G170-G165</f>
        <v>129648398.66999999</v>
      </c>
      <c r="H164" s="149">
        <f t="shared" ref="H164:H180" si="82">G164/F164</f>
        <v>0.79755506932017195</v>
      </c>
      <c r="I164" s="148">
        <f>SUM(I165:I171)-I167-I170-I165</f>
        <v>25085270</v>
      </c>
      <c r="J164" s="148">
        <f>SUM(J165:J171)-J167-J170-J165</f>
        <v>5538459.8700000001</v>
      </c>
      <c r="K164" s="149">
        <f t="shared" si="80"/>
        <v>0.22078534016177623</v>
      </c>
      <c r="L164" s="148"/>
      <c r="M164" s="148"/>
      <c r="N164" s="148">
        <f>G164+J164</f>
        <v>135186858.53999999</v>
      </c>
      <c r="O164" s="39"/>
      <c r="P164" s="51"/>
    </row>
    <row r="165" spans="1:16" s="38" customFormat="1" ht="244.5" hidden="1" customHeight="1" thickTop="1" thickBot="1" x14ac:dyDescent="0.25">
      <c r="A165" s="83"/>
      <c r="B165" s="114" t="s">
        <v>465</v>
      </c>
      <c r="C165" s="114"/>
      <c r="D165" s="114" t="s">
        <v>466</v>
      </c>
      <c r="E165" s="115">
        <f>E166</f>
        <v>0</v>
      </c>
      <c r="F165" s="115">
        <f>F166</f>
        <v>0</v>
      </c>
      <c r="G165" s="115">
        <f>G166</f>
        <v>0</v>
      </c>
      <c r="H165" s="116" t="e">
        <f t="shared" si="82"/>
        <v>#DIV/0!</v>
      </c>
      <c r="I165" s="115">
        <f>I166</f>
        <v>0</v>
      </c>
      <c r="J165" s="115">
        <f>J166</f>
        <v>0</v>
      </c>
      <c r="K165" s="111">
        <v>0</v>
      </c>
      <c r="L165" s="115"/>
      <c r="M165" s="115"/>
      <c r="N165" s="115">
        <f t="shared" si="70"/>
        <v>0</v>
      </c>
      <c r="O165" s="50" t="s">
        <v>433</v>
      </c>
      <c r="P165" s="51"/>
    </row>
    <row r="166" spans="1:16" s="38" customFormat="1" ht="93" hidden="1" customHeight="1" thickTop="1" thickBot="1" x14ac:dyDescent="0.25">
      <c r="A166" s="83"/>
      <c r="B166" s="109" t="s">
        <v>467</v>
      </c>
      <c r="C166" s="109" t="s">
        <v>468</v>
      </c>
      <c r="D166" s="109" t="s">
        <v>469</v>
      </c>
      <c r="E166" s="110"/>
      <c r="F166" s="110"/>
      <c r="G166" s="110"/>
      <c r="H166" s="111" t="e">
        <f t="shared" ref="H166:H172" si="83">G166/F166</f>
        <v>#DIV/0!</v>
      </c>
      <c r="I166" s="110"/>
      <c r="J166" s="110"/>
      <c r="K166" s="110"/>
      <c r="L166" s="110"/>
      <c r="M166" s="112"/>
      <c r="N166" s="110">
        <f t="shared" si="70"/>
        <v>0</v>
      </c>
      <c r="O166" s="39"/>
      <c r="P166" s="51"/>
    </row>
    <row r="167" spans="1:16" s="38" customFormat="1" ht="93" thickTop="1" thickBot="1" x14ac:dyDescent="0.25">
      <c r="A167" s="83"/>
      <c r="B167" s="114" t="s">
        <v>401</v>
      </c>
      <c r="C167" s="114"/>
      <c r="D167" s="114" t="s">
        <v>402</v>
      </c>
      <c r="E167" s="115">
        <f t="shared" ref="E167:G167" si="84">E168</f>
        <v>117516800</v>
      </c>
      <c r="F167" s="115">
        <f t="shared" si="84"/>
        <v>117516800</v>
      </c>
      <c r="G167" s="115">
        <f t="shared" si="84"/>
        <v>117516705.77</v>
      </c>
      <c r="H167" s="116">
        <f t="shared" si="83"/>
        <v>0.99999919815719962</v>
      </c>
      <c r="I167" s="115"/>
      <c r="J167" s="115"/>
      <c r="K167" s="116"/>
      <c r="L167" s="115"/>
      <c r="M167" s="115"/>
      <c r="N167" s="115">
        <f t="shared" si="70"/>
        <v>117516705.77</v>
      </c>
      <c r="O167" s="50"/>
      <c r="P167" s="51"/>
    </row>
    <row r="168" spans="1:16" s="38" customFormat="1" ht="48" thickTop="1" thickBot="1" x14ac:dyDescent="0.25">
      <c r="A168" s="83"/>
      <c r="B168" s="109" t="s">
        <v>403</v>
      </c>
      <c r="C168" s="109" t="s">
        <v>404</v>
      </c>
      <c r="D168" s="109" t="s">
        <v>405</v>
      </c>
      <c r="E168" s="110">
        <v>117516800</v>
      </c>
      <c r="F168" s="110">
        <v>117516800</v>
      </c>
      <c r="G168" s="110">
        <v>117516705.77</v>
      </c>
      <c r="H168" s="111">
        <f t="shared" si="83"/>
        <v>0.99999919815719962</v>
      </c>
      <c r="I168" s="110"/>
      <c r="J168" s="110"/>
      <c r="K168" s="110"/>
      <c r="L168" s="110"/>
      <c r="M168" s="112"/>
      <c r="N168" s="110">
        <f t="shared" si="70"/>
        <v>117516705.77</v>
      </c>
      <c r="O168" s="39"/>
      <c r="P168" s="51"/>
    </row>
    <row r="169" spans="1:16" s="38" customFormat="1" ht="62.25" thickTop="1" thickBot="1" x14ac:dyDescent="0.25">
      <c r="A169" s="83"/>
      <c r="B169" s="109" t="s">
        <v>514</v>
      </c>
      <c r="C169" s="109" t="s">
        <v>384</v>
      </c>
      <c r="D169" s="109" t="s">
        <v>515</v>
      </c>
      <c r="E169" s="110">
        <v>150000</v>
      </c>
      <c r="F169" s="110">
        <v>150000</v>
      </c>
      <c r="G169" s="110">
        <v>150000</v>
      </c>
      <c r="H169" s="111">
        <f t="shared" si="83"/>
        <v>1</v>
      </c>
      <c r="I169" s="110"/>
      <c r="J169" s="110"/>
      <c r="K169" s="110"/>
      <c r="L169" s="110"/>
      <c r="M169" s="112"/>
      <c r="N169" s="110">
        <f t="shared" si="70"/>
        <v>150000</v>
      </c>
      <c r="O169" s="50"/>
      <c r="P169" s="51"/>
    </row>
    <row r="170" spans="1:16" s="38" customFormat="1" ht="93" thickTop="1" thickBot="1" x14ac:dyDescent="0.25">
      <c r="A170" s="83"/>
      <c r="B170" s="114" t="s">
        <v>446</v>
      </c>
      <c r="C170" s="114"/>
      <c r="D170" s="114" t="s">
        <v>447</v>
      </c>
      <c r="E170" s="115">
        <f>E171</f>
        <v>44890500</v>
      </c>
      <c r="F170" s="115">
        <f>F171</f>
        <v>44890500</v>
      </c>
      <c r="G170" s="115">
        <f>G171</f>
        <v>11981692.9</v>
      </c>
      <c r="H170" s="111">
        <f t="shared" si="83"/>
        <v>0.26690932157137925</v>
      </c>
      <c r="I170" s="115">
        <f>I171</f>
        <v>25085270</v>
      </c>
      <c r="J170" s="115">
        <f>J171</f>
        <v>5538459.8700000001</v>
      </c>
      <c r="K170" s="116">
        <f t="shared" ref="K170:K171" si="85">J170/I170</f>
        <v>0.22078534016177623</v>
      </c>
      <c r="L170" s="115"/>
      <c r="M170" s="117"/>
      <c r="N170" s="115">
        <f t="shared" si="70"/>
        <v>17520152.77</v>
      </c>
      <c r="O170" s="39"/>
      <c r="P170" s="51"/>
    </row>
    <row r="171" spans="1:16" s="38" customFormat="1" ht="138.75" thickTop="1" thickBot="1" x14ac:dyDescent="0.25">
      <c r="A171" s="151"/>
      <c r="B171" s="109" t="s">
        <v>383</v>
      </c>
      <c r="C171" s="109" t="s">
        <v>384</v>
      </c>
      <c r="D171" s="109" t="s">
        <v>385</v>
      </c>
      <c r="E171" s="130">
        <v>44890500</v>
      </c>
      <c r="F171" s="130">
        <v>44890500</v>
      </c>
      <c r="G171" s="130">
        <v>11981692.9</v>
      </c>
      <c r="H171" s="111">
        <f t="shared" si="83"/>
        <v>0.26690932157137925</v>
      </c>
      <c r="I171" s="130">
        <v>25085270</v>
      </c>
      <c r="J171" s="131">
        <v>5538459.8700000001</v>
      </c>
      <c r="K171" s="111">
        <f t="shared" si="85"/>
        <v>0.22078534016177623</v>
      </c>
      <c r="L171" s="131"/>
      <c r="M171" s="112"/>
      <c r="N171" s="110">
        <f t="shared" si="70"/>
        <v>17520152.77</v>
      </c>
      <c r="O171" s="50"/>
      <c r="P171" s="51"/>
    </row>
    <row r="172" spans="1:16" s="38" customFormat="1" ht="47.25" thickTop="1" thickBot="1" x14ac:dyDescent="0.25">
      <c r="A172" s="151"/>
      <c r="B172" s="147" t="s">
        <v>32</v>
      </c>
      <c r="C172" s="151"/>
      <c r="D172" s="147" t="s">
        <v>33</v>
      </c>
      <c r="E172" s="150">
        <f>E173+E174</f>
        <v>4612300</v>
      </c>
      <c r="F172" s="150">
        <f>F173+F174</f>
        <v>4661932</v>
      </c>
      <c r="G172" s="150">
        <f>G173+G174</f>
        <v>4230195.93</v>
      </c>
      <c r="H172" s="149">
        <f t="shared" si="83"/>
        <v>0.90739116958376909</v>
      </c>
      <c r="I172" s="150">
        <f>I173+I174</f>
        <v>1000000</v>
      </c>
      <c r="J172" s="150">
        <f>J173+J174</f>
        <v>999878</v>
      </c>
      <c r="K172" s="149">
        <f>J172/I172</f>
        <v>0.99987800000000004</v>
      </c>
      <c r="L172" s="152"/>
      <c r="M172" s="152"/>
      <c r="N172" s="148">
        <f>G172+J172</f>
        <v>5230073.93</v>
      </c>
      <c r="O172" s="39"/>
      <c r="P172" s="51"/>
    </row>
    <row r="173" spans="1:16" s="38" customFormat="1" ht="48" thickTop="1" thickBot="1" x14ac:dyDescent="0.25">
      <c r="A173" s="151"/>
      <c r="B173" s="109" t="s">
        <v>34</v>
      </c>
      <c r="C173" s="109" t="s">
        <v>501</v>
      </c>
      <c r="D173" s="109" t="s">
        <v>35</v>
      </c>
      <c r="E173" s="130">
        <v>4612300</v>
      </c>
      <c r="F173" s="130">
        <v>4661932</v>
      </c>
      <c r="G173" s="130">
        <v>4230195.93</v>
      </c>
      <c r="H173" s="111">
        <f t="shared" si="82"/>
        <v>0.90739116958376909</v>
      </c>
      <c r="I173" s="130">
        <v>1000000</v>
      </c>
      <c r="J173" s="130">
        <v>999878</v>
      </c>
      <c r="K173" s="111">
        <f>J173/I173</f>
        <v>0.99987800000000004</v>
      </c>
      <c r="L173" s="152"/>
      <c r="M173" s="152"/>
      <c r="N173" s="110">
        <f t="shared" si="70"/>
        <v>5230073.93</v>
      </c>
      <c r="O173" s="39"/>
      <c r="P173" s="51"/>
    </row>
    <row r="174" spans="1:16" s="38" customFormat="1" ht="244.5" hidden="1" customHeight="1" thickTop="1" thickBot="1" x14ac:dyDescent="0.25">
      <c r="A174" s="83"/>
      <c r="B174" s="78" t="s">
        <v>451</v>
      </c>
      <c r="C174" s="78" t="s">
        <v>501</v>
      </c>
      <c r="D174" s="78" t="s">
        <v>452</v>
      </c>
      <c r="E174" s="86"/>
      <c r="F174" s="86"/>
      <c r="G174" s="86"/>
      <c r="H174" s="87" t="e">
        <f>G174/F174</f>
        <v>#DIV/0!</v>
      </c>
      <c r="I174" s="92">
        <v>0</v>
      </c>
      <c r="J174" s="92">
        <v>0</v>
      </c>
      <c r="K174" s="71">
        <v>0</v>
      </c>
      <c r="L174" s="95"/>
      <c r="M174" s="95"/>
      <c r="N174" s="70">
        <f t="shared" si="70"/>
        <v>0</v>
      </c>
      <c r="O174" s="50" t="s">
        <v>433</v>
      </c>
      <c r="P174" s="51"/>
    </row>
    <row r="175" spans="1:16" s="38" customFormat="1" ht="91.5" thickTop="1" thickBot="1" x14ac:dyDescent="0.25">
      <c r="A175" s="83"/>
      <c r="B175" s="147" t="s">
        <v>36</v>
      </c>
      <c r="C175" s="151"/>
      <c r="D175" s="147" t="s">
        <v>37</v>
      </c>
      <c r="E175" s="150">
        <f>SUM(E176:E187)-E184-E177</f>
        <v>16769810</v>
      </c>
      <c r="F175" s="150">
        <f>SUM(F176:F187)-F184-F177</f>
        <v>17019810</v>
      </c>
      <c r="G175" s="150">
        <f>SUM(G176:G187)-G184-G177</f>
        <v>7058914.9600000009</v>
      </c>
      <c r="H175" s="149">
        <f t="shared" si="82"/>
        <v>0.41474698953748607</v>
      </c>
      <c r="I175" s="150">
        <f>SUM(I176:I187)-I184-I177</f>
        <v>126382729.02000001</v>
      </c>
      <c r="J175" s="150">
        <f>SUM(J176:J187)-J184-J177</f>
        <v>43158673.850000001</v>
      </c>
      <c r="K175" s="149">
        <f>J175/I175</f>
        <v>0.34149186510421181</v>
      </c>
      <c r="L175" s="152"/>
      <c r="M175" s="152"/>
      <c r="N175" s="148">
        <f t="shared" si="70"/>
        <v>50217588.810000002</v>
      </c>
      <c r="O175" s="39"/>
      <c r="P175" s="51"/>
    </row>
    <row r="176" spans="1:16" s="38" customFormat="1" ht="93" thickTop="1" thickBot="1" x14ac:dyDescent="0.25">
      <c r="A176" s="83"/>
      <c r="B176" s="109" t="s">
        <v>406</v>
      </c>
      <c r="C176" s="109" t="s">
        <v>407</v>
      </c>
      <c r="D176" s="109" t="s">
        <v>408</v>
      </c>
      <c r="E176" s="110">
        <v>5260060</v>
      </c>
      <c r="F176" s="110">
        <v>5510060</v>
      </c>
      <c r="G176" s="110">
        <v>1816867.09</v>
      </c>
      <c r="H176" s="111">
        <f t="shared" si="82"/>
        <v>0.32973635314315997</v>
      </c>
      <c r="I176" s="110"/>
      <c r="J176" s="110"/>
      <c r="K176" s="111"/>
      <c r="L176" s="110"/>
      <c r="M176" s="112"/>
      <c r="N176" s="110">
        <f t="shared" si="70"/>
        <v>1816867.09</v>
      </c>
      <c r="O176" s="39"/>
      <c r="P176" s="51"/>
    </row>
    <row r="177" spans="1:16" s="38" customFormat="1" ht="62.25" thickTop="1" thickBot="1" x14ac:dyDescent="0.25">
      <c r="A177" s="61"/>
      <c r="B177" s="114" t="s">
        <v>470</v>
      </c>
      <c r="C177" s="114"/>
      <c r="D177" s="114" t="s">
        <v>472</v>
      </c>
      <c r="E177" s="115">
        <f>E178</f>
        <v>1019860</v>
      </c>
      <c r="F177" s="115">
        <f>F178</f>
        <v>1019860</v>
      </c>
      <c r="G177" s="115">
        <f>G178</f>
        <v>983860</v>
      </c>
      <c r="H177" s="116">
        <f t="shared" si="82"/>
        <v>0.96470103739728985</v>
      </c>
      <c r="I177" s="115">
        <f>I178</f>
        <v>0</v>
      </c>
      <c r="J177" s="115">
        <f>J178</f>
        <v>0</v>
      </c>
      <c r="K177" s="116">
        <v>0</v>
      </c>
      <c r="L177" s="115"/>
      <c r="M177" s="117"/>
      <c r="N177" s="115">
        <f t="shared" si="70"/>
        <v>983860</v>
      </c>
      <c r="O177" s="181" t="s">
        <v>433</v>
      </c>
      <c r="P177" s="182"/>
    </row>
    <row r="178" spans="1:16" s="38" customFormat="1" ht="93" thickTop="1" thickBot="1" x14ac:dyDescent="0.25">
      <c r="A178" s="83"/>
      <c r="B178" s="109" t="s">
        <v>471</v>
      </c>
      <c r="C178" s="109" t="s">
        <v>373</v>
      </c>
      <c r="D178" s="109" t="s">
        <v>473</v>
      </c>
      <c r="E178" s="110">
        <v>1019860</v>
      </c>
      <c r="F178" s="110">
        <v>1019860</v>
      </c>
      <c r="G178" s="110">
        <v>983860</v>
      </c>
      <c r="H178" s="111">
        <f t="shared" si="82"/>
        <v>0.96470103739728985</v>
      </c>
      <c r="I178" s="110"/>
      <c r="J178" s="110"/>
      <c r="K178" s="111"/>
      <c r="L178" s="110"/>
      <c r="M178" s="112"/>
      <c r="N178" s="110">
        <f t="shared" si="70"/>
        <v>983860</v>
      </c>
      <c r="O178" s="39"/>
      <c r="P178" s="51"/>
    </row>
    <row r="179" spans="1:16" s="38" customFormat="1" ht="93" thickTop="1" thickBot="1" x14ac:dyDescent="0.25">
      <c r="A179" s="83"/>
      <c r="B179" s="109" t="s">
        <v>409</v>
      </c>
      <c r="C179" s="109" t="s">
        <v>373</v>
      </c>
      <c r="D179" s="109" t="s">
        <v>410</v>
      </c>
      <c r="E179" s="110">
        <v>1085000</v>
      </c>
      <c r="F179" s="110">
        <v>1085000</v>
      </c>
      <c r="G179" s="110">
        <v>176968.24</v>
      </c>
      <c r="H179" s="111">
        <f t="shared" si="82"/>
        <v>0.16310436866359446</v>
      </c>
      <c r="I179" s="110"/>
      <c r="J179" s="110"/>
      <c r="K179" s="110"/>
      <c r="L179" s="110"/>
      <c r="M179" s="112"/>
      <c r="N179" s="110">
        <f t="shared" si="70"/>
        <v>176968.24</v>
      </c>
      <c r="O179" s="39"/>
      <c r="P179" s="51"/>
    </row>
    <row r="180" spans="1:16" s="38" customFormat="1" ht="62.25" thickTop="1" thickBot="1" x14ac:dyDescent="0.25">
      <c r="A180" s="83"/>
      <c r="B180" s="109" t="s">
        <v>372</v>
      </c>
      <c r="C180" s="109" t="s">
        <v>373</v>
      </c>
      <c r="D180" s="109" t="s">
        <v>374</v>
      </c>
      <c r="E180" s="130">
        <v>2000000</v>
      </c>
      <c r="F180" s="130">
        <f>2000000</f>
        <v>2000000</v>
      </c>
      <c r="G180" s="130">
        <f>1548800.29</f>
        <v>1548800.29</v>
      </c>
      <c r="H180" s="111">
        <f t="shared" si="82"/>
        <v>0.77440014499999998</v>
      </c>
      <c r="I180" s="110">
        <f>50830000+4249821.06+13296993.59</f>
        <v>68376814.650000006</v>
      </c>
      <c r="J180" s="130">
        <f>0+1083348.86</f>
        <v>1083348.8600000001</v>
      </c>
      <c r="K180" s="111">
        <f>J180/I180</f>
        <v>1.5843804154161485E-2</v>
      </c>
      <c r="L180" s="130"/>
      <c r="M180" s="112"/>
      <c r="N180" s="110">
        <f t="shared" si="70"/>
        <v>2632149.1500000004</v>
      </c>
      <c r="O180" s="181" t="s">
        <v>433</v>
      </c>
      <c r="P180" s="182"/>
    </row>
    <row r="181" spans="1:16" s="38" customFormat="1" ht="93" thickTop="1" thickBot="1" x14ac:dyDescent="0.25">
      <c r="A181" s="83"/>
      <c r="B181" s="109" t="s">
        <v>419</v>
      </c>
      <c r="C181" s="109" t="s">
        <v>39</v>
      </c>
      <c r="D181" s="109" t="s">
        <v>420</v>
      </c>
      <c r="E181" s="110"/>
      <c r="F181" s="110"/>
      <c r="G181" s="110"/>
      <c r="H181" s="110"/>
      <c r="I181" s="110">
        <v>50000</v>
      </c>
      <c r="J181" s="110">
        <v>17500</v>
      </c>
      <c r="K181" s="111">
        <f>J181/I181</f>
        <v>0.35</v>
      </c>
      <c r="L181" s="110"/>
      <c r="M181" s="112"/>
      <c r="N181" s="110">
        <f t="shared" si="70"/>
        <v>17500</v>
      </c>
      <c r="O181" s="39"/>
      <c r="P181" s="51"/>
    </row>
    <row r="182" spans="1:16" s="38" customFormat="1" ht="93" thickTop="1" thickBot="1" x14ac:dyDescent="0.25">
      <c r="A182" s="83"/>
      <c r="B182" s="109" t="s">
        <v>188</v>
      </c>
      <c r="C182" s="109" t="s">
        <v>39</v>
      </c>
      <c r="D182" s="109" t="s">
        <v>189</v>
      </c>
      <c r="E182" s="130"/>
      <c r="F182" s="130"/>
      <c r="G182" s="130"/>
      <c r="H182" s="130"/>
      <c r="I182" s="110">
        <f>64000+300000+26847422+24281150-3000000</f>
        <v>48492572</v>
      </c>
      <c r="J182" s="130">
        <f>58936.04+0+15308834.93+23631150-2885000</f>
        <v>36113920.969999999</v>
      </c>
      <c r="K182" s="111">
        <f>J182/I182</f>
        <v>0.74473098622197231</v>
      </c>
      <c r="L182" s="130"/>
      <c r="M182" s="112"/>
      <c r="N182" s="110">
        <f t="shared" si="70"/>
        <v>36113920.969999999</v>
      </c>
      <c r="O182" s="39"/>
      <c r="P182" s="51"/>
    </row>
    <row r="183" spans="1:16" s="38" customFormat="1" ht="93" thickTop="1" thickBot="1" x14ac:dyDescent="0.25">
      <c r="A183" s="83"/>
      <c r="B183" s="109" t="s">
        <v>38</v>
      </c>
      <c r="C183" s="109" t="s">
        <v>39</v>
      </c>
      <c r="D183" s="109" t="s">
        <v>40</v>
      </c>
      <c r="E183" s="110">
        <v>380000</v>
      </c>
      <c r="F183" s="110">
        <v>380000</v>
      </c>
      <c r="G183" s="110">
        <v>244352.5</v>
      </c>
      <c r="H183" s="111">
        <f t="shared" ref="H183:H184" si="86">G183/F183</f>
        <v>0.64303289473684211</v>
      </c>
      <c r="I183" s="152"/>
      <c r="J183" s="152"/>
      <c r="K183" s="152"/>
      <c r="L183" s="152"/>
      <c r="M183" s="152"/>
      <c r="N183" s="110">
        <f t="shared" si="70"/>
        <v>244352.5</v>
      </c>
      <c r="O183" s="39"/>
      <c r="P183" s="51"/>
    </row>
    <row r="184" spans="1:16" s="38" customFormat="1" ht="48" thickTop="1" thickBot="1" x14ac:dyDescent="0.25">
      <c r="A184" s="83"/>
      <c r="B184" s="114" t="s">
        <v>41</v>
      </c>
      <c r="C184" s="114"/>
      <c r="D184" s="114" t="s">
        <v>375</v>
      </c>
      <c r="E184" s="132">
        <f>SUM(E185:E187)</f>
        <v>7024890</v>
      </c>
      <c r="F184" s="132">
        <f>SUM(F185:F187)</f>
        <v>7024890</v>
      </c>
      <c r="G184" s="132">
        <f>SUM(G185:G187)</f>
        <v>2288066.84</v>
      </c>
      <c r="H184" s="116">
        <f t="shared" si="86"/>
        <v>0.32570856483162014</v>
      </c>
      <c r="I184" s="132">
        <f>SUM(I185:I187)</f>
        <v>9463342.370000001</v>
      </c>
      <c r="J184" s="132">
        <f>SUM(J185:J187)</f>
        <v>5943904.0200000005</v>
      </c>
      <c r="K184" s="116">
        <f>J184/I184</f>
        <v>0.62809774682177111</v>
      </c>
      <c r="L184" s="132"/>
      <c r="M184" s="132"/>
      <c r="N184" s="115">
        <f t="shared" si="70"/>
        <v>8231970.8600000003</v>
      </c>
      <c r="O184" s="39"/>
      <c r="P184" s="51"/>
    </row>
    <row r="185" spans="1:16" s="38" customFormat="1" ht="276" thickTop="1" thickBot="1" x14ac:dyDescent="0.7">
      <c r="A185" s="83"/>
      <c r="B185" s="199" t="s">
        <v>42</v>
      </c>
      <c r="C185" s="199" t="s">
        <v>39</v>
      </c>
      <c r="D185" s="153" t="s">
        <v>43</v>
      </c>
      <c r="E185" s="202"/>
      <c r="F185" s="202"/>
      <c r="G185" s="202"/>
      <c r="H185" s="202"/>
      <c r="I185" s="202">
        <f>6014342.37+465000+884000+1300000</f>
        <v>8663342.370000001</v>
      </c>
      <c r="J185" s="202">
        <f>5416701.69+454730+68192.75+4279.58</f>
        <v>5943904.0200000005</v>
      </c>
      <c r="K185" s="210">
        <f>J185/I185</f>
        <v>0.68609824778285888</v>
      </c>
      <c r="L185" s="202"/>
      <c r="M185" s="204"/>
      <c r="N185" s="202">
        <f>J185+G185</f>
        <v>5943904.0200000005</v>
      </c>
      <c r="O185" s="39"/>
      <c r="P185" s="51"/>
    </row>
    <row r="186" spans="1:16" s="38" customFormat="1" ht="138.75" thickTop="1" thickBot="1" x14ac:dyDescent="0.25">
      <c r="A186" s="83"/>
      <c r="B186" s="200"/>
      <c r="C186" s="200"/>
      <c r="D186" s="154" t="s">
        <v>44</v>
      </c>
      <c r="E186" s="203"/>
      <c r="F186" s="203"/>
      <c r="G186" s="203"/>
      <c r="H186" s="203"/>
      <c r="I186" s="203"/>
      <c r="J186" s="203"/>
      <c r="K186" s="211"/>
      <c r="L186" s="203"/>
      <c r="M186" s="205"/>
      <c r="N186" s="203"/>
      <c r="O186" s="39"/>
      <c r="P186" s="51"/>
    </row>
    <row r="187" spans="1:16" s="38" customFormat="1" ht="48" thickTop="1" thickBot="1" x14ac:dyDescent="0.25">
      <c r="A187" s="83"/>
      <c r="B187" s="109" t="s">
        <v>45</v>
      </c>
      <c r="C187" s="109" t="s">
        <v>39</v>
      </c>
      <c r="D187" s="109" t="s">
        <v>46</v>
      </c>
      <c r="E187" s="110">
        <v>7024890</v>
      </c>
      <c r="F187" s="110">
        <f>2178890+146000+300000+1900000+2500000</f>
        <v>7024890</v>
      </c>
      <c r="G187" s="110">
        <f>1288066.84+300000+700000</f>
        <v>2288066.84</v>
      </c>
      <c r="H187" s="111">
        <f t="shared" ref="H187:H191" si="87">G187/F187</f>
        <v>0.32570856483162014</v>
      </c>
      <c r="I187" s="110">
        <v>800000</v>
      </c>
      <c r="J187" s="110">
        <v>0</v>
      </c>
      <c r="K187" s="111">
        <f t="shared" ref="K187:K192" si="88">J187/I187</f>
        <v>0</v>
      </c>
      <c r="L187" s="110"/>
      <c r="M187" s="112"/>
      <c r="N187" s="110">
        <f t="shared" ref="N187:N208" si="89">G187+J187</f>
        <v>2288066.84</v>
      </c>
      <c r="O187" s="39"/>
      <c r="P187" s="51"/>
    </row>
    <row r="188" spans="1:16" s="38" customFormat="1" ht="107.45" customHeight="1" thickTop="1" thickBot="1" x14ac:dyDescent="0.25">
      <c r="A188" s="61"/>
      <c r="B188" s="122" t="s">
        <v>47</v>
      </c>
      <c r="C188" s="122"/>
      <c r="D188" s="123" t="s">
        <v>48</v>
      </c>
      <c r="E188" s="124">
        <f>SUM(E189:E202)-E189-E196-E198-E201-E192</f>
        <v>40661010.329999998</v>
      </c>
      <c r="F188" s="124">
        <f>SUM(F189:F202)-F189-F196-F198-F201-F192</f>
        <v>97866058.879999995</v>
      </c>
      <c r="G188" s="124">
        <f>SUM(G189:G202)-G189-G196-G198-G201-G192</f>
        <v>33734742.719999999</v>
      </c>
      <c r="H188" s="125">
        <f>G188/F188</f>
        <v>0.34470319032019447</v>
      </c>
      <c r="I188" s="124">
        <f>SUM(I189:I202)-I189-I196-I198-I201-I192</f>
        <v>7989670.459999999</v>
      </c>
      <c r="J188" s="124">
        <f>SUM(J189:J202)-J189-J196-J198-J201-J192</f>
        <v>6577105.3600000013</v>
      </c>
      <c r="K188" s="125">
        <f t="shared" si="88"/>
        <v>0.82320108106185919</v>
      </c>
      <c r="L188" s="124"/>
      <c r="M188" s="124"/>
      <c r="N188" s="126">
        <f>J188+G188</f>
        <v>40311848.079999998</v>
      </c>
      <c r="O188" s="53" t="b">
        <f>N188=N190+N191+N197+N199+N200+N202+N195+N193+N194</f>
        <v>1</v>
      </c>
      <c r="P188" s="51"/>
    </row>
    <row r="189" spans="1:16" s="38" customFormat="1" ht="107.45" customHeight="1" thickTop="1" thickBot="1" x14ac:dyDescent="0.25">
      <c r="A189" s="61"/>
      <c r="B189" s="147" t="s">
        <v>386</v>
      </c>
      <c r="C189" s="147"/>
      <c r="D189" s="155" t="s">
        <v>387</v>
      </c>
      <c r="E189" s="148">
        <f>SUM(E190:E191)</f>
        <v>7555300</v>
      </c>
      <c r="F189" s="148">
        <f>SUM(F190:F191)</f>
        <v>7920250</v>
      </c>
      <c r="G189" s="148">
        <f>SUM(G190:G191)</f>
        <v>6949326.1800000006</v>
      </c>
      <c r="H189" s="149">
        <f t="shared" si="87"/>
        <v>0.87741247814147294</v>
      </c>
      <c r="I189" s="148">
        <f>SUM(I190:I191)</f>
        <v>8918.4599999999991</v>
      </c>
      <c r="J189" s="148">
        <f>SUM(J190:J191)</f>
        <v>3184</v>
      </c>
      <c r="K189" s="149">
        <f t="shared" si="88"/>
        <v>0.35701230930003613</v>
      </c>
      <c r="L189" s="148"/>
      <c r="M189" s="148"/>
      <c r="N189" s="148">
        <f t="shared" si="89"/>
        <v>6952510.1800000006</v>
      </c>
      <c r="O189" s="181"/>
      <c r="P189" s="182"/>
    </row>
    <row r="190" spans="1:16" s="38" customFormat="1" ht="93" thickTop="1" thickBot="1" x14ac:dyDescent="0.25">
      <c r="A190" s="61"/>
      <c r="B190" s="109" t="s">
        <v>388</v>
      </c>
      <c r="C190" s="109" t="s">
        <v>389</v>
      </c>
      <c r="D190" s="109" t="s">
        <v>390</v>
      </c>
      <c r="E190" s="130">
        <v>5026230</v>
      </c>
      <c r="F190" s="130">
        <v>5391180</v>
      </c>
      <c r="G190" s="130">
        <v>4746507.2300000004</v>
      </c>
      <c r="H190" s="111">
        <f>G190/F190</f>
        <v>0.88042084107746366</v>
      </c>
      <c r="I190" s="110">
        <v>0</v>
      </c>
      <c r="J190" s="110">
        <v>0</v>
      </c>
      <c r="K190" s="111">
        <v>0</v>
      </c>
      <c r="L190" s="130"/>
      <c r="M190" s="112"/>
      <c r="N190" s="110">
        <f t="shared" si="89"/>
        <v>4746507.2300000004</v>
      </c>
      <c r="O190" s="181" t="s">
        <v>433</v>
      </c>
      <c r="P190" s="182"/>
    </row>
    <row r="191" spans="1:16" s="38" customFormat="1" ht="48" thickTop="1" thickBot="1" x14ac:dyDescent="0.25">
      <c r="A191" s="61"/>
      <c r="B191" s="109" t="s">
        <v>391</v>
      </c>
      <c r="C191" s="109" t="s">
        <v>389</v>
      </c>
      <c r="D191" s="109" t="s">
        <v>392</v>
      </c>
      <c r="E191" s="130">
        <v>2529070</v>
      </c>
      <c r="F191" s="130">
        <v>2529070</v>
      </c>
      <c r="G191" s="130">
        <v>2202818.9500000002</v>
      </c>
      <c r="H191" s="111">
        <f t="shared" si="87"/>
        <v>0.87099959668969229</v>
      </c>
      <c r="I191" s="110">
        <v>8918.4599999999991</v>
      </c>
      <c r="J191" s="110">
        <v>3184</v>
      </c>
      <c r="K191" s="111">
        <f t="shared" si="88"/>
        <v>0.35701230930003613</v>
      </c>
      <c r="L191" s="130"/>
      <c r="M191" s="112"/>
      <c r="N191" s="110">
        <f t="shared" si="89"/>
        <v>2206002.9500000002</v>
      </c>
      <c r="O191" s="12"/>
      <c r="P191" s="51"/>
    </row>
    <row r="192" spans="1:16" s="38" customFormat="1" ht="62.25" thickTop="1" thickBot="1" x14ac:dyDescent="0.25">
      <c r="A192" s="61"/>
      <c r="B192" s="147" t="s">
        <v>516</v>
      </c>
      <c r="C192" s="147"/>
      <c r="D192" s="147" t="s">
        <v>517</v>
      </c>
      <c r="E192" s="150">
        <f>SUM(E193:E195)</f>
        <v>13773315</v>
      </c>
      <c r="F192" s="150">
        <f>SUM(F193:F195)</f>
        <v>19322865</v>
      </c>
      <c r="G192" s="150">
        <f>SUM(G193:G195)</f>
        <v>16324299.790000001</v>
      </c>
      <c r="H192" s="149">
        <f>G192/F192</f>
        <v>0.8448177736583059</v>
      </c>
      <c r="I192" s="150">
        <f t="shared" ref="I192:J192" si="90">SUM(I193:I195)</f>
        <v>3885752</v>
      </c>
      <c r="J192" s="150">
        <f t="shared" si="90"/>
        <v>3490252</v>
      </c>
      <c r="K192" s="149">
        <f t="shared" si="88"/>
        <v>0.89821789964979748</v>
      </c>
      <c r="L192" s="150"/>
      <c r="M192" s="150"/>
      <c r="N192" s="148">
        <f t="shared" ref="N192:N195" si="91">G192+J192</f>
        <v>19814551.789999999</v>
      </c>
      <c r="O192" s="181"/>
      <c r="P192" s="182"/>
    </row>
    <row r="193" spans="1:17" s="38" customFormat="1" ht="93" thickTop="1" thickBot="1" x14ac:dyDescent="0.25">
      <c r="A193" s="61"/>
      <c r="B193" s="109" t="s">
        <v>541</v>
      </c>
      <c r="C193" s="109" t="s">
        <v>519</v>
      </c>
      <c r="D193" s="109" t="s">
        <v>542</v>
      </c>
      <c r="E193" s="130">
        <v>650000</v>
      </c>
      <c r="F193" s="130">
        <v>1071750</v>
      </c>
      <c r="G193" s="130">
        <v>894678.21</v>
      </c>
      <c r="H193" s="111">
        <f>G193/F193</f>
        <v>0.83478256123163053</v>
      </c>
      <c r="I193" s="110"/>
      <c r="J193" s="130"/>
      <c r="K193" s="116"/>
      <c r="L193" s="130"/>
      <c r="M193" s="112"/>
      <c r="N193" s="110">
        <f t="shared" si="91"/>
        <v>894678.21</v>
      </c>
      <c r="O193" s="69"/>
      <c r="P193" s="69"/>
    </row>
    <row r="194" spans="1:17" s="38" customFormat="1" ht="62.25" thickTop="1" thickBot="1" x14ac:dyDescent="0.25">
      <c r="A194" s="61"/>
      <c r="B194" s="109" t="s">
        <v>543</v>
      </c>
      <c r="C194" s="109" t="s">
        <v>519</v>
      </c>
      <c r="D194" s="109" t="s">
        <v>544</v>
      </c>
      <c r="E194" s="130">
        <v>600000</v>
      </c>
      <c r="F194" s="130">
        <f>600000+1171300</f>
        <v>1771300</v>
      </c>
      <c r="G194" s="130">
        <f>599040+792431.2</f>
        <v>1391471.2</v>
      </c>
      <c r="H194" s="111">
        <f>G194/F194</f>
        <v>0.78556495229492462</v>
      </c>
      <c r="I194" s="110"/>
      <c r="J194" s="130"/>
      <c r="K194" s="116"/>
      <c r="L194" s="130"/>
      <c r="M194" s="112"/>
      <c r="N194" s="110">
        <f>G194+J194</f>
        <v>1391471.2</v>
      </c>
      <c r="O194" s="69"/>
      <c r="P194" s="69"/>
    </row>
    <row r="195" spans="1:17" s="38" customFormat="1" ht="48" thickTop="1" thickBot="1" x14ac:dyDescent="0.25">
      <c r="A195" s="83"/>
      <c r="B195" s="109" t="s">
        <v>518</v>
      </c>
      <c r="C195" s="109" t="s">
        <v>519</v>
      </c>
      <c r="D195" s="109" t="s">
        <v>520</v>
      </c>
      <c r="E195" s="130">
        <v>12523315</v>
      </c>
      <c r="F195" s="130">
        <f>16479815</f>
        <v>16479815</v>
      </c>
      <c r="G195" s="130">
        <f>14038150.38</f>
        <v>14038150.380000001</v>
      </c>
      <c r="H195" s="111">
        <f>G195/F195</f>
        <v>0.85183907586341234</v>
      </c>
      <c r="I195" s="110">
        <f>885752+3000000</f>
        <v>3885752</v>
      </c>
      <c r="J195" s="130">
        <f>695600+2794652</f>
        <v>3490252</v>
      </c>
      <c r="K195" s="116">
        <f>J195/I195</f>
        <v>0.89821789964979748</v>
      </c>
      <c r="L195" s="130"/>
      <c r="M195" s="112"/>
      <c r="N195" s="110">
        <f t="shared" si="91"/>
        <v>17528402.380000003</v>
      </c>
      <c r="O195" s="12"/>
      <c r="P195" s="51"/>
    </row>
    <row r="196" spans="1:17" s="38" customFormat="1" ht="91.5" thickTop="1" thickBot="1" x14ac:dyDescent="0.25">
      <c r="A196" s="83"/>
      <c r="B196" s="147" t="s">
        <v>411</v>
      </c>
      <c r="C196" s="147"/>
      <c r="D196" s="147" t="s">
        <v>412</v>
      </c>
      <c r="E196" s="150">
        <f>SUM(E197:E197)</f>
        <v>0</v>
      </c>
      <c r="F196" s="150">
        <f>SUM(F197:F197)</f>
        <v>0</v>
      </c>
      <c r="G196" s="150">
        <f>SUM(G197:G197)</f>
        <v>0</v>
      </c>
      <c r="H196" s="149">
        <v>0</v>
      </c>
      <c r="I196" s="150">
        <f>SUM(I197:I197)</f>
        <v>700000</v>
      </c>
      <c r="J196" s="150">
        <f>SUM(J197:J197)</f>
        <v>69669.36</v>
      </c>
      <c r="K196" s="149">
        <f t="shared" ref="K196:K199" si="92">J196/I196</f>
        <v>9.9527657142857148E-2</v>
      </c>
      <c r="L196" s="150"/>
      <c r="M196" s="150"/>
      <c r="N196" s="148">
        <f t="shared" si="89"/>
        <v>69669.36</v>
      </c>
      <c r="O196" s="181" t="s">
        <v>433</v>
      </c>
      <c r="P196" s="182"/>
    </row>
    <row r="197" spans="1:17" s="38" customFormat="1" ht="93" thickTop="1" thickBot="1" x14ac:dyDescent="0.25">
      <c r="A197" s="83"/>
      <c r="B197" s="109" t="s">
        <v>524</v>
      </c>
      <c r="C197" s="109" t="s">
        <v>413</v>
      </c>
      <c r="D197" s="109" t="s">
        <v>525</v>
      </c>
      <c r="E197" s="110"/>
      <c r="F197" s="110"/>
      <c r="G197" s="110"/>
      <c r="H197" s="110"/>
      <c r="I197" s="110">
        <v>700000</v>
      </c>
      <c r="J197" s="110">
        <v>69669.36</v>
      </c>
      <c r="K197" s="111">
        <f t="shared" si="92"/>
        <v>9.9527657142857148E-2</v>
      </c>
      <c r="L197" s="110"/>
      <c r="M197" s="112"/>
      <c r="N197" s="110">
        <f t="shared" si="89"/>
        <v>69669.36</v>
      </c>
      <c r="O197" s="39"/>
      <c r="P197" s="51"/>
    </row>
    <row r="198" spans="1:17" s="38" customFormat="1" ht="62.25" thickTop="1" thickBot="1" x14ac:dyDescent="0.25">
      <c r="A198" s="83"/>
      <c r="B198" s="147" t="s">
        <v>49</v>
      </c>
      <c r="C198" s="147"/>
      <c r="D198" s="147" t="s">
        <v>50</v>
      </c>
      <c r="E198" s="148">
        <f>SUM(E199)</f>
        <v>7313195</v>
      </c>
      <c r="F198" s="148">
        <f>SUM(F199)</f>
        <v>6918195</v>
      </c>
      <c r="G198" s="148">
        <f t="shared" ref="G198:J198" si="93">SUM(G199)</f>
        <v>6822155.9199999999</v>
      </c>
      <c r="H198" s="149">
        <f t="shared" ref="H198:H200" si="94">G198/F198</f>
        <v>0.98611789924973203</v>
      </c>
      <c r="I198" s="148">
        <f t="shared" si="93"/>
        <v>395000</v>
      </c>
      <c r="J198" s="148">
        <f t="shared" si="93"/>
        <v>129000</v>
      </c>
      <c r="K198" s="149">
        <v>0</v>
      </c>
      <c r="L198" s="148"/>
      <c r="M198" s="148"/>
      <c r="N198" s="148">
        <f t="shared" si="89"/>
        <v>6951155.9199999999</v>
      </c>
      <c r="O198" s="181" t="s">
        <v>433</v>
      </c>
      <c r="P198" s="182"/>
    </row>
    <row r="199" spans="1:17" s="38" customFormat="1" ht="48" thickTop="1" thickBot="1" x14ac:dyDescent="0.25">
      <c r="A199" s="83"/>
      <c r="B199" s="109" t="s">
        <v>51</v>
      </c>
      <c r="C199" s="109" t="s">
        <v>52</v>
      </c>
      <c r="D199" s="109" t="s">
        <v>53</v>
      </c>
      <c r="E199" s="110">
        <v>7313195</v>
      </c>
      <c r="F199" s="110">
        <v>6918195</v>
      </c>
      <c r="G199" s="110">
        <v>6822155.9199999999</v>
      </c>
      <c r="H199" s="111">
        <f t="shared" si="94"/>
        <v>0.98611789924973203</v>
      </c>
      <c r="I199" s="110">
        <v>395000</v>
      </c>
      <c r="J199" s="110">
        <v>129000</v>
      </c>
      <c r="K199" s="111">
        <f t="shared" si="92"/>
        <v>0.32658227848101268</v>
      </c>
      <c r="L199" s="110"/>
      <c r="M199" s="112"/>
      <c r="N199" s="110">
        <f t="shared" si="89"/>
        <v>6951155.9199999999</v>
      </c>
      <c r="O199" s="39"/>
      <c r="P199" s="51"/>
    </row>
    <row r="200" spans="1:17" s="38" customFormat="1" ht="47.25" thickTop="1" thickBot="1" x14ac:dyDescent="0.25">
      <c r="A200" s="83"/>
      <c r="B200" s="156">
        <v>8600</v>
      </c>
      <c r="C200" s="147" t="s">
        <v>24</v>
      </c>
      <c r="D200" s="156" t="s">
        <v>421</v>
      </c>
      <c r="E200" s="148">
        <v>9112018</v>
      </c>
      <c r="F200" s="148">
        <v>9112018</v>
      </c>
      <c r="G200" s="148">
        <v>3638960.83</v>
      </c>
      <c r="H200" s="149">
        <f t="shared" si="94"/>
        <v>0.39935838910765981</v>
      </c>
      <c r="I200" s="148"/>
      <c r="J200" s="148"/>
      <c r="K200" s="148"/>
      <c r="L200" s="148"/>
      <c r="M200" s="157"/>
      <c r="N200" s="148">
        <f t="shared" si="89"/>
        <v>3638960.83</v>
      </c>
      <c r="O200" s="39"/>
      <c r="P200" s="51"/>
    </row>
    <row r="201" spans="1:17" s="38" customFormat="1" ht="62.25" thickTop="1" thickBot="1" x14ac:dyDescent="0.25">
      <c r="A201" s="83"/>
      <c r="B201" s="156">
        <v>8700</v>
      </c>
      <c r="C201" s="147"/>
      <c r="D201" s="156" t="s">
        <v>422</v>
      </c>
      <c r="E201" s="148">
        <f t="shared" ref="E201:J201" si="95">E202</f>
        <v>2907182.33</v>
      </c>
      <c r="F201" s="148">
        <f t="shared" si="95"/>
        <v>54592730.880000003</v>
      </c>
      <c r="G201" s="148">
        <f t="shared" si="95"/>
        <v>0</v>
      </c>
      <c r="H201" s="149">
        <v>0</v>
      </c>
      <c r="I201" s="148">
        <f t="shared" si="95"/>
        <v>3000000</v>
      </c>
      <c r="J201" s="148">
        <f t="shared" si="95"/>
        <v>2885000</v>
      </c>
      <c r="K201" s="149">
        <v>0</v>
      </c>
      <c r="L201" s="148"/>
      <c r="M201" s="148"/>
      <c r="N201" s="148">
        <f t="shared" si="89"/>
        <v>2885000</v>
      </c>
      <c r="O201" s="181" t="s">
        <v>433</v>
      </c>
      <c r="P201" s="182"/>
    </row>
    <row r="202" spans="1:17" s="38" customFormat="1" ht="62.25" thickTop="1" thickBot="1" x14ac:dyDescent="0.25">
      <c r="A202" s="83"/>
      <c r="B202" s="128">
        <v>8710</v>
      </c>
      <c r="C202" s="109" t="s">
        <v>29</v>
      </c>
      <c r="D202" s="127" t="s">
        <v>423</v>
      </c>
      <c r="E202" s="110">
        <v>2907182.33</v>
      </c>
      <c r="F202" s="110">
        <v>54592730.880000003</v>
      </c>
      <c r="G202" s="110">
        <v>0</v>
      </c>
      <c r="H202" s="111">
        <v>0</v>
      </c>
      <c r="I202" s="110">
        <v>3000000</v>
      </c>
      <c r="J202" s="110">
        <v>2885000</v>
      </c>
      <c r="K202" s="111">
        <f t="shared" ref="K202" si="96">J202/I202</f>
        <v>0.96166666666666667</v>
      </c>
      <c r="L202" s="110"/>
      <c r="M202" s="112"/>
      <c r="N202" s="110">
        <f t="shared" si="89"/>
        <v>2885000</v>
      </c>
      <c r="O202" s="181" t="s">
        <v>433</v>
      </c>
      <c r="P202" s="182"/>
    </row>
    <row r="203" spans="1:17" s="38" customFormat="1" ht="103.7" customHeight="1" thickTop="1" thickBot="1" x14ac:dyDescent="0.25">
      <c r="A203" s="61"/>
      <c r="B203" s="122" t="s">
        <v>54</v>
      </c>
      <c r="C203" s="122"/>
      <c r="D203" s="123" t="s">
        <v>55</v>
      </c>
      <c r="E203" s="124">
        <f>SUM(E204:E209)-E204-E206</f>
        <v>112912434</v>
      </c>
      <c r="F203" s="124">
        <f>SUM(F204:F209)-F204-F206</f>
        <v>116682661</v>
      </c>
      <c r="G203" s="124">
        <f>SUM(G204:G209)-G204-G206</f>
        <v>37441512.93</v>
      </c>
      <c r="H203" s="125">
        <f>G203/F203</f>
        <v>0.32088326242405457</v>
      </c>
      <c r="I203" s="124">
        <f>SUM(I204:I209)-I204-I206</f>
        <v>25157392</v>
      </c>
      <c r="J203" s="124">
        <f>SUM(J204:J209)-J204-J206</f>
        <v>22645423.43</v>
      </c>
      <c r="K203" s="125">
        <f>J203/I203</f>
        <v>0.90014988159344977</v>
      </c>
      <c r="L203" s="124"/>
      <c r="M203" s="124"/>
      <c r="N203" s="126">
        <f>J203+G203</f>
        <v>60086936.359999999</v>
      </c>
      <c r="O203" s="53" t="b">
        <f>N203=N205+N207+N208+N209</f>
        <v>1</v>
      </c>
      <c r="P203" s="181"/>
      <c r="Q203" s="182"/>
    </row>
    <row r="204" spans="1:17" s="38" customFormat="1" ht="103.7" customHeight="1" thickTop="1" thickBot="1" x14ac:dyDescent="0.25">
      <c r="A204" s="61"/>
      <c r="B204" s="147" t="s">
        <v>424</v>
      </c>
      <c r="C204" s="147"/>
      <c r="D204" s="147" t="s">
        <v>425</v>
      </c>
      <c r="E204" s="148">
        <f t="shared" ref="E204:J204" si="97">E205</f>
        <v>91712900</v>
      </c>
      <c r="F204" s="148">
        <f t="shared" si="97"/>
        <v>91712900</v>
      </c>
      <c r="G204" s="148">
        <f t="shared" si="97"/>
        <v>12737833.32</v>
      </c>
      <c r="H204" s="149">
        <f t="shared" ref="H204:H207" si="98">G204/F204</f>
        <v>0.13888813154965116</v>
      </c>
      <c r="I204" s="148">
        <f t="shared" si="97"/>
        <v>0</v>
      </c>
      <c r="J204" s="148">
        <f t="shared" si="97"/>
        <v>0</v>
      </c>
      <c r="K204" s="149">
        <v>0</v>
      </c>
      <c r="L204" s="148"/>
      <c r="M204" s="148"/>
      <c r="N204" s="148">
        <f t="shared" si="89"/>
        <v>12737833.32</v>
      </c>
      <c r="O204" s="181" t="s">
        <v>433</v>
      </c>
      <c r="P204" s="182"/>
    </row>
    <row r="205" spans="1:17" s="38" customFormat="1" ht="103.7" customHeight="1" thickTop="1" thickBot="1" x14ac:dyDescent="0.25">
      <c r="A205" s="61"/>
      <c r="B205" s="128">
        <v>9110</v>
      </c>
      <c r="C205" s="109" t="s">
        <v>28</v>
      </c>
      <c r="D205" s="127" t="s">
        <v>426</v>
      </c>
      <c r="E205" s="110">
        <v>91712900</v>
      </c>
      <c r="F205" s="110">
        <v>91712900</v>
      </c>
      <c r="G205" s="110">
        <v>12737833.32</v>
      </c>
      <c r="H205" s="111">
        <f t="shared" si="98"/>
        <v>0.13888813154965116</v>
      </c>
      <c r="I205" s="110"/>
      <c r="J205" s="110"/>
      <c r="K205" s="110"/>
      <c r="L205" s="110"/>
      <c r="M205" s="112"/>
      <c r="N205" s="110">
        <f t="shared" si="89"/>
        <v>12737833.32</v>
      </c>
      <c r="O205" s="12"/>
    </row>
    <row r="206" spans="1:17" s="38" customFormat="1" ht="136.5" thickTop="1" thickBot="1" x14ac:dyDescent="0.25">
      <c r="A206" s="61"/>
      <c r="B206" s="147" t="s">
        <v>56</v>
      </c>
      <c r="C206" s="147"/>
      <c r="D206" s="147" t="s">
        <v>57</v>
      </c>
      <c r="E206" s="148">
        <f>SUM(E207:E208)</f>
        <v>732700</v>
      </c>
      <c r="F206" s="148">
        <f>SUM(F207:F208)</f>
        <v>897700</v>
      </c>
      <c r="G206" s="148">
        <f t="shared" ref="G206" si="99">SUM(G207:G208)</f>
        <v>763373.06</v>
      </c>
      <c r="H206" s="149">
        <f t="shared" si="98"/>
        <v>0.85036544502617806</v>
      </c>
      <c r="I206" s="148">
        <f t="shared" ref="I206:J206" si="100">SUM(I207:I208)</f>
        <v>0</v>
      </c>
      <c r="J206" s="148">
        <f t="shared" si="100"/>
        <v>0</v>
      </c>
      <c r="K206" s="149">
        <v>0</v>
      </c>
      <c r="L206" s="148"/>
      <c r="M206" s="148"/>
      <c r="N206" s="148">
        <f t="shared" si="89"/>
        <v>763373.06</v>
      </c>
      <c r="O206" s="181" t="s">
        <v>433</v>
      </c>
      <c r="P206" s="182"/>
    </row>
    <row r="207" spans="1:17" s="38" customFormat="1" ht="184.5" thickTop="1" thickBot="1" x14ac:dyDescent="0.25">
      <c r="A207" s="83"/>
      <c r="B207" s="109" t="s">
        <v>58</v>
      </c>
      <c r="C207" s="109" t="s">
        <v>28</v>
      </c>
      <c r="D207" s="109" t="s">
        <v>59</v>
      </c>
      <c r="E207" s="110">
        <v>600600</v>
      </c>
      <c r="F207" s="110">
        <v>765600</v>
      </c>
      <c r="G207" s="110">
        <v>682073.06</v>
      </c>
      <c r="H207" s="111">
        <f t="shared" si="98"/>
        <v>0.8909000261233021</v>
      </c>
      <c r="I207" s="110"/>
      <c r="J207" s="110"/>
      <c r="K207" s="110"/>
      <c r="L207" s="110"/>
      <c r="M207" s="112"/>
      <c r="N207" s="110">
        <f t="shared" si="89"/>
        <v>682073.06</v>
      </c>
      <c r="O207" s="39"/>
      <c r="P207" s="51"/>
    </row>
    <row r="208" spans="1:17" s="38" customFormat="1" ht="60.75" thickTop="1" thickBot="1" x14ac:dyDescent="0.8">
      <c r="A208" s="83"/>
      <c r="B208" s="109" t="s">
        <v>60</v>
      </c>
      <c r="C208" s="109" t="s">
        <v>28</v>
      </c>
      <c r="D208" s="109" t="s">
        <v>61</v>
      </c>
      <c r="E208" s="110">
        <v>132100</v>
      </c>
      <c r="F208" s="110">
        <v>132100</v>
      </c>
      <c r="G208" s="110">
        <v>81300</v>
      </c>
      <c r="H208" s="111">
        <f>G208/F208</f>
        <v>0.61544284632853896</v>
      </c>
      <c r="I208" s="110"/>
      <c r="J208" s="110"/>
      <c r="K208" s="111"/>
      <c r="L208" s="110"/>
      <c r="M208" s="112"/>
      <c r="N208" s="110">
        <f t="shared" si="89"/>
        <v>81300</v>
      </c>
      <c r="O208" s="55"/>
      <c r="P208" s="51"/>
    </row>
    <row r="209" spans="1:27" s="38" customFormat="1" ht="136.5" thickTop="1" thickBot="1" x14ac:dyDescent="0.25">
      <c r="A209" s="83"/>
      <c r="B209" s="147" t="s">
        <v>62</v>
      </c>
      <c r="C209" s="147" t="s">
        <v>28</v>
      </c>
      <c r="D209" s="147" t="s">
        <v>63</v>
      </c>
      <c r="E209" s="133">
        <v>20466834</v>
      </c>
      <c r="F209" s="133">
        <v>24072061</v>
      </c>
      <c r="G209" s="133">
        <v>23940306.550000001</v>
      </c>
      <c r="H209" s="158">
        <f t="shared" ref="H209" si="101">G209/F209</f>
        <v>0.99452666516589505</v>
      </c>
      <c r="I209" s="133">
        <v>25157392</v>
      </c>
      <c r="J209" s="133">
        <v>22645423.43</v>
      </c>
      <c r="K209" s="158">
        <f t="shared" ref="K209" si="102">J209/I209</f>
        <v>0.90014988159344977</v>
      </c>
      <c r="L209" s="148"/>
      <c r="M209" s="148"/>
      <c r="N209" s="133">
        <f t="shared" ref="N209" si="103">G209+J209</f>
        <v>46585729.980000004</v>
      </c>
      <c r="O209" s="39"/>
      <c r="P209" s="51"/>
    </row>
    <row r="210" spans="1:27" s="38" customFormat="1" ht="71.45" customHeight="1" thickTop="1" thickBot="1" x14ac:dyDescent="0.25">
      <c r="A210" s="61"/>
      <c r="B210" s="64" t="s">
        <v>427</v>
      </c>
      <c r="C210" s="64" t="s">
        <v>427</v>
      </c>
      <c r="D210" s="65" t="s">
        <v>436</v>
      </c>
      <c r="E210" s="66">
        <f>E14+E19+E51+E64+E110+E119+E134+E148+E188+E203</f>
        <v>3371174062.4200006</v>
      </c>
      <c r="F210" s="66">
        <f>F14+F19+F51+F64+F110+F119+F134+F148+F188+F203</f>
        <v>3515829042.2900004</v>
      </c>
      <c r="G210" s="66">
        <f>G14+G19+G51+G64+G110+G119+G134+G148+G188+G203</f>
        <v>3094818317.2099996</v>
      </c>
      <c r="H210" s="67">
        <f>G210/F210</f>
        <v>0.88025278817146935</v>
      </c>
      <c r="I210" s="66">
        <f>I14+I19+I51+I64+I110+I119+I134+I148+I188+I203</f>
        <v>424501903.06999999</v>
      </c>
      <c r="J210" s="66">
        <f>J14+J19+J51+J64+J110+J119+J134+J148+J188+J203</f>
        <v>248950809.06999999</v>
      </c>
      <c r="K210" s="67">
        <f>J210/I210</f>
        <v>0.5864539293453962</v>
      </c>
      <c r="L210" s="66" t="e">
        <f>#REF!+#REF!+#REF!+#REF!+#REF!+#REF!++L127+L135+L199+L158+L179+L191+L143+#REF!+#REF!</f>
        <v>#REF!</v>
      </c>
      <c r="M210" s="66" t="e">
        <f>#REF!+#REF!+#REF!+#REF!+#REF!+#REF!++M127+M135+M199+M158+M179+M191+M143+#REF!+#REF!</f>
        <v>#REF!</v>
      </c>
      <c r="N210" s="66">
        <f>N14+N19+N51+N64+N110+N119+N134+N148+N188+N203</f>
        <v>3343769126.2799997</v>
      </c>
      <c r="O210" s="53" t="b">
        <f>N210=J210+G210</f>
        <v>1</v>
      </c>
      <c r="P210" s="51"/>
    </row>
    <row r="211" spans="1:27" s="38" customFormat="1" ht="62.25" thickTop="1" thickBot="1" x14ac:dyDescent="0.25">
      <c r="A211" s="83"/>
      <c r="B211" s="151" t="s">
        <v>47</v>
      </c>
      <c r="C211" s="159"/>
      <c r="D211" s="165" t="s">
        <v>441</v>
      </c>
      <c r="E211" s="163">
        <f t="shared" ref="E211:G212" si="104">E212</f>
        <v>500000</v>
      </c>
      <c r="F211" s="163">
        <f t="shared" si="104"/>
        <v>500000</v>
      </c>
      <c r="G211" s="163">
        <f t="shared" si="104"/>
        <v>500000</v>
      </c>
      <c r="H211" s="166">
        <v>0</v>
      </c>
      <c r="I211" s="163">
        <f>I212</f>
        <v>0</v>
      </c>
      <c r="J211" s="163">
        <f>J212</f>
        <v>31133.309999999998</v>
      </c>
      <c r="K211" s="158"/>
      <c r="L211" s="163"/>
      <c r="M211" s="163"/>
      <c r="N211" s="133">
        <f t="shared" ref="N211:N215" si="105">G211+J211</f>
        <v>531133.31000000006</v>
      </c>
      <c r="O211" s="181" t="s">
        <v>433</v>
      </c>
      <c r="P211" s="182"/>
    </row>
    <row r="212" spans="1:27" s="38" customFormat="1" ht="62.25" thickTop="1" thickBot="1" x14ac:dyDescent="0.25">
      <c r="A212" s="83"/>
      <c r="B212" s="147" t="s">
        <v>439</v>
      </c>
      <c r="C212" s="159"/>
      <c r="D212" s="167" t="s">
        <v>442</v>
      </c>
      <c r="E212" s="157">
        <f t="shared" si="104"/>
        <v>500000</v>
      </c>
      <c r="F212" s="157">
        <f t="shared" si="104"/>
        <v>500000</v>
      </c>
      <c r="G212" s="157">
        <f t="shared" si="104"/>
        <v>500000</v>
      </c>
      <c r="H212" s="168">
        <v>0</v>
      </c>
      <c r="I212" s="157">
        <f>I213</f>
        <v>0</v>
      </c>
      <c r="J212" s="157">
        <f>J213</f>
        <v>31133.309999999998</v>
      </c>
      <c r="K212" s="149"/>
      <c r="L212" s="157"/>
      <c r="M212" s="157"/>
      <c r="N212" s="148">
        <f t="shared" si="105"/>
        <v>531133.31000000006</v>
      </c>
      <c r="O212" s="181" t="s">
        <v>433</v>
      </c>
      <c r="P212" s="182"/>
    </row>
    <row r="213" spans="1:27" s="38" customFormat="1" ht="184.5" thickTop="1" thickBot="1" x14ac:dyDescent="0.25">
      <c r="A213" s="61"/>
      <c r="B213" s="114" t="s">
        <v>440</v>
      </c>
      <c r="C213" s="159"/>
      <c r="D213" s="160" t="s">
        <v>443</v>
      </c>
      <c r="E213" s="117">
        <f>E214+E215</f>
        <v>500000</v>
      </c>
      <c r="F213" s="117">
        <f>F214+F215</f>
        <v>500000</v>
      </c>
      <c r="G213" s="117">
        <f>G214+G215</f>
        <v>500000</v>
      </c>
      <c r="H213" s="116">
        <f>G213/F213</f>
        <v>1</v>
      </c>
      <c r="I213" s="117">
        <f>I214+I215</f>
        <v>0</v>
      </c>
      <c r="J213" s="117">
        <f>J214+J215</f>
        <v>31133.309999999998</v>
      </c>
      <c r="K213" s="111"/>
      <c r="L213" s="117"/>
      <c r="M213" s="117"/>
      <c r="N213" s="115">
        <f t="shared" si="105"/>
        <v>531133.31000000006</v>
      </c>
      <c r="O213" s="181"/>
      <c r="P213" s="182"/>
    </row>
    <row r="214" spans="1:27" s="38" customFormat="1" ht="138.75" thickTop="1" thickBot="1" x14ac:dyDescent="0.25">
      <c r="A214" s="61"/>
      <c r="B214" s="161" t="s">
        <v>437</v>
      </c>
      <c r="C214" s="159"/>
      <c r="D214" s="162" t="s">
        <v>444</v>
      </c>
      <c r="E214" s="112">
        <v>500000</v>
      </c>
      <c r="F214" s="112">
        <v>500000</v>
      </c>
      <c r="G214" s="112">
        <v>500000</v>
      </c>
      <c r="H214" s="111">
        <f>G214/F214</f>
        <v>1</v>
      </c>
      <c r="I214" s="112">
        <v>150000</v>
      </c>
      <c r="J214" s="112">
        <v>150000</v>
      </c>
      <c r="K214" s="111">
        <f>J214/I214</f>
        <v>1</v>
      </c>
      <c r="L214" s="163"/>
      <c r="M214" s="163"/>
      <c r="N214" s="110">
        <f>G214+J214</f>
        <v>650000</v>
      </c>
      <c r="O214" s="181"/>
      <c r="P214" s="182"/>
    </row>
    <row r="215" spans="1:27" s="38" customFormat="1" ht="184.5" thickTop="1" thickBot="1" x14ac:dyDescent="1.2">
      <c r="A215" s="61"/>
      <c r="B215" s="161" t="s">
        <v>438</v>
      </c>
      <c r="C215" s="159"/>
      <c r="D215" s="162" t="s">
        <v>445</v>
      </c>
      <c r="E215" s="163"/>
      <c r="F215" s="163"/>
      <c r="G215" s="163"/>
      <c r="H215" s="166"/>
      <c r="I215" s="112">
        <v>-150000</v>
      </c>
      <c r="J215" s="112">
        <v>-118866.69</v>
      </c>
      <c r="K215" s="111">
        <f t="shared" ref="K215" si="106">J215/I215</f>
        <v>0.79244460000000005</v>
      </c>
      <c r="L215" s="163"/>
      <c r="M215" s="163"/>
      <c r="N215" s="110">
        <f t="shared" si="105"/>
        <v>-118866.69</v>
      </c>
      <c r="O215" s="164"/>
      <c r="P215" s="51"/>
      <c r="AA215" s="57"/>
    </row>
    <row r="216" spans="1:27" s="38" customFormat="1" ht="119.25" customHeight="1" thickTop="1" thickBot="1" x14ac:dyDescent="0.25">
      <c r="A216" s="61"/>
      <c r="B216" s="64" t="s">
        <v>427</v>
      </c>
      <c r="C216" s="64" t="s">
        <v>427</v>
      </c>
      <c r="D216" s="65" t="s">
        <v>428</v>
      </c>
      <c r="E216" s="66">
        <f>E210+E211</f>
        <v>3371674062.4200006</v>
      </c>
      <c r="F216" s="66">
        <f>F210+F211</f>
        <v>3516329042.2900004</v>
      </c>
      <c r="G216" s="66">
        <f>G210+G211</f>
        <v>3095318317.2099996</v>
      </c>
      <c r="H216" s="67">
        <f>G216/F216</f>
        <v>0.88026981547613681</v>
      </c>
      <c r="I216" s="66">
        <f>I210+I211</f>
        <v>424501903.06999999</v>
      </c>
      <c r="J216" s="66">
        <f>J210+J211</f>
        <v>248981942.38</v>
      </c>
      <c r="K216" s="67">
        <f>J216/I216</f>
        <v>0.58652727014734507</v>
      </c>
      <c r="L216" s="66" t="e">
        <f>#REF!+#REF!+#REF!+#REF!+#REF!+#REF!++L133+L141+L205+L171+L185+#REF!+L151+#REF!+#REF!</f>
        <v>#REF!</v>
      </c>
      <c r="M216" s="66" t="e">
        <f>#REF!+#REF!+#REF!+#REF!+#REF!+#REF!++M133+M141+M205+M171+M185+#REF!+M151+#REF!+#REF!</f>
        <v>#REF!</v>
      </c>
      <c r="N216" s="66">
        <f>N210+N211</f>
        <v>3344300259.5899997</v>
      </c>
      <c r="O216" s="53" t="b">
        <f>N216=J216+G216</f>
        <v>1</v>
      </c>
      <c r="P216" s="51"/>
      <c r="S216" s="66">
        <f>N216/(I216+F216)*100</f>
        <v>84.862819693588591</v>
      </c>
      <c r="T216" s="66">
        <f>G216/E216*100</f>
        <v>91.803604378898712</v>
      </c>
    </row>
    <row r="217" spans="1:27" ht="46.5" thickTop="1" x14ac:dyDescent="0.2">
      <c r="A217" s="208" t="s">
        <v>540</v>
      </c>
      <c r="B217" s="208"/>
      <c r="C217" s="208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40"/>
    </row>
    <row r="218" spans="1:27" ht="105.75" customHeight="1" x14ac:dyDescent="0.65">
      <c r="A218" s="41"/>
      <c r="B218" s="42"/>
      <c r="C218" s="42"/>
      <c r="D218" s="43" t="s">
        <v>502</v>
      </c>
      <c r="E218" s="68"/>
      <c r="F218" s="68"/>
      <c r="G218" s="43"/>
      <c r="H218" s="45"/>
      <c r="I218" s="43" t="s">
        <v>503</v>
      </c>
      <c r="J218" s="45"/>
      <c r="K218" s="45"/>
      <c r="L218" s="45"/>
      <c r="M218" s="45"/>
      <c r="N218" s="45"/>
      <c r="O218" s="40"/>
    </row>
    <row r="219" spans="1:27" ht="45.75" x14ac:dyDescent="0.65">
      <c r="A219" s="62"/>
      <c r="B219" s="63"/>
      <c r="C219" s="63"/>
      <c r="D219" s="209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40"/>
    </row>
    <row r="220" spans="1:27" ht="45.75" x14ac:dyDescent="0.65">
      <c r="A220" s="41"/>
      <c r="B220" s="42"/>
      <c r="C220" s="42"/>
      <c r="D220" s="43" t="s">
        <v>534</v>
      </c>
      <c r="E220" s="44"/>
      <c r="F220" s="44"/>
      <c r="G220" s="43"/>
      <c r="H220" s="45"/>
      <c r="I220" s="43" t="s">
        <v>535</v>
      </c>
      <c r="J220" s="45"/>
      <c r="K220" s="45"/>
      <c r="L220" s="45"/>
      <c r="M220" s="45"/>
      <c r="N220" s="45"/>
      <c r="O220" s="40"/>
    </row>
    <row r="221" spans="1:27" ht="45.75" x14ac:dyDescent="0.65">
      <c r="A221" s="2"/>
      <c r="B221" s="2"/>
      <c r="C221" s="2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46"/>
    </row>
    <row r="238" spans="5:9" ht="47.25" hidden="1" thickTop="1" thickBot="1" x14ac:dyDescent="0.25">
      <c r="E238" s="56">
        <f>E210-E203-E201</f>
        <v>3255354446.0900006</v>
      </c>
      <c r="F238" s="56">
        <f>F210-F203-F201</f>
        <v>3344553650.4100003</v>
      </c>
      <c r="I238" s="56">
        <f>I210-I203-I201</f>
        <v>396344511.06999999</v>
      </c>
    </row>
    <row r="245" ht="396" customHeight="1" x14ac:dyDescent="0.2"/>
    <row r="246" ht="357" customHeight="1" x14ac:dyDescent="0.2"/>
    <row r="247" ht="312" customHeight="1" x14ac:dyDescent="0.2"/>
    <row r="248" ht="183" customHeight="1" x14ac:dyDescent="0.2"/>
    <row r="249" ht="228" customHeight="1" x14ac:dyDescent="0.2"/>
    <row r="250" ht="294" customHeight="1" x14ac:dyDescent="0.2"/>
    <row r="251" ht="258" customHeight="1" x14ac:dyDescent="0.2"/>
    <row r="252" ht="180" customHeight="1" x14ac:dyDescent="0.2"/>
    <row r="253" ht="249" customHeight="1" x14ac:dyDescent="0.2"/>
  </sheetData>
  <mergeCells count="105">
    <mergeCell ref="O214:P214"/>
    <mergeCell ref="O213:P213"/>
    <mergeCell ref="O212:P212"/>
    <mergeCell ref="O211:P211"/>
    <mergeCell ref="O190:P190"/>
    <mergeCell ref="O202:P202"/>
    <mergeCell ref="O201:P201"/>
    <mergeCell ref="O192:P192"/>
    <mergeCell ref="C185:C186"/>
    <mergeCell ref="E185:E186"/>
    <mergeCell ref="F185:F186"/>
    <mergeCell ref="G185:G186"/>
    <mergeCell ref="H185:H186"/>
    <mergeCell ref="I185:I186"/>
    <mergeCell ref="J185:J186"/>
    <mergeCell ref="K185:K186"/>
    <mergeCell ref="O206:P206"/>
    <mergeCell ref="P203:Q203"/>
    <mergeCell ref="O189:P189"/>
    <mergeCell ref="O196:P196"/>
    <mergeCell ref="O198:P198"/>
    <mergeCell ref="D221:N221"/>
    <mergeCell ref="F11:F12"/>
    <mergeCell ref="G11:G12"/>
    <mergeCell ref="K11:K12"/>
    <mergeCell ref="L185:L186"/>
    <mergeCell ref="M185:M186"/>
    <mergeCell ref="N185:N186"/>
    <mergeCell ref="L28:L29"/>
    <mergeCell ref="M28:M29"/>
    <mergeCell ref="N28:N29"/>
    <mergeCell ref="G28:G29"/>
    <mergeCell ref="H28:H29"/>
    <mergeCell ref="I28:I29"/>
    <mergeCell ref="J28:J29"/>
    <mergeCell ref="K28:K29"/>
    <mergeCell ref="A217:N217"/>
    <mergeCell ref="D219:N219"/>
    <mergeCell ref="N103:N105"/>
    <mergeCell ref="F103:F105"/>
    <mergeCell ref="G103:G105"/>
    <mergeCell ref="H103:H105"/>
    <mergeCell ref="F96:F99"/>
    <mergeCell ref="G96:G99"/>
    <mergeCell ref="O180:P180"/>
    <mergeCell ref="O204:P204"/>
    <mergeCell ref="A28:A29"/>
    <mergeCell ref="B28:B29"/>
    <mergeCell ref="C28:C29"/>
    <mergeCell ref="E28:E29"/>
    <mergeCell ref="F28:F29"/>
    <mergeCell ref="B185:B186"/>
    <mergeCell ref="H96:H99"/>
    <mergeCell ref="I96:I99"/>
    <mergeCell ref="J96:J99"/>
    <mergeCell ref="N96:N99"/>
    <mergeCell ref="F100:F102"/>
    <mergeCell ref="G100:G102"/>
    <mergeCell ref="H100:H102"/>
    <mergeCell ref="I100:I102"/>
    <mergeCell ref="J100:J102"/>
    <mergeCell ref="N100:N102"/>
    <mergeCell ref="K100:K102"/>
    <mergeCell ref="K96:K99"/>
    <mergeCell ref="N93:N95"/>
    <mergeCell ref="E96:E99"/>
    <mergeCell ref="E100:E102"/>
    <mergeCell ref="E103:E105"/>
    <mergeCell ref="O177:P177"/>
    <mergeCell ref="I103:I105"/>
    <mergeCell ref="J103:J105"/>
    <mergeCell ref="K103:K105"/>
    <mergeCell ref="B103:B105"/>
    <mergeCell ref="C103:C105"/>
    <mergeCell ref="E93:E95"/>
    <mergeCell ref="K93:K95"/>
    <mergeCell ref="F93:F95"/>
    <mergeCell ref="G93:G95"/>
    <mergeCell ref="H93:H95"/>
    <mergeCell ref="I93:I95"/>
    <mergeCell ref="J93:J95"/>
    <mergeCell ref="B93:B95"/>
    <mergeCell ref="C93:C95"/>
    <mergeCell ref="B96:B99"/>
    <mergeCell ref="C96:C99"/>
    <mergeCell ref="B100:B102"/>
    <mergeCell ref="C100:C102"/>
    <mergeCell ref="K2:N2"/>
    <mergeCell ref="J3:N3"/>
    <mergeCell ref="A8:B8"/>
    <mergeCell ref="A10:A12"/>
    <mergeCell ref="B10:B12"/>
    <mergeCell ref="C10:C12"/>
    <mergeCell ref="D10:D12"/>
    <mergeCell ref="M11:M12"/>
    <mergeCell ref="I10:M10"/>
    <mergeCell ref="N10:N12"/>
    <mergeCell ref="E11:E12"/>
    <mergeCell ref="H11:H12"/>
    <mergeCell ref="I11:I12"/>
    <mergeCell ref="J11:J12"/>
    <mergeCell ref="E10:H10"/>
    <mergeCell ref="A4:N4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Отрощенко Сергій Володимирович</cp:lastModifiedBy>
  <cp:lastPrinted>2023-02-07T13:08:46Z</cp:lastPrinted>
  <dcterms:created xsi:type="dcterms:W3CDTF">2021-05-18T12:47:38Z</dcterms:created>
  <dcterms:modified xsi:type="dcterms:W3CDTF">2023-02-14T08:01:59Z</dcterms:modified>
</cp:coreProperties>
</file>