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docs\zagvid\Рішення 2023\23.03.2023\"/>
    </mc:Choice>
  </mc:AlternateContent>
  <bookViews>
    <workbookView xWindow="0" yWindow="0" windowWidth="28800" windowHeight="12360" tabRatio="583" activeTab="8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97" r:id="rId9"/>
  </sheets>
  <definedNames>
    <definedName name="_GoBack" localSheetId="5">'d6'!#REF!</definedName>
    <definedName name="_xlnm.Print_Titles" localSheetId="2">'d3'!$11:$14</definedName>
    <definedName name="_xlnm.Print_Titles" localSheetId="5">'d6'!$9:$10</definedName>
    <definedName name="_xlnm.Print_Titles" localSheetId="6">'d7'!$12:$14</definedName>
    <definedName name="_xlnm.Print_Area" localSheetId="0">'d1'!$A$1:$F$145</definedName>
    <definedName name="_xlnm.Print_Area" localSheetId="1">'d2'!$A$1:$F$55</definedName>
    <definedName name="_xlnm.Print_Area" localSheetId="2">'d3'!$A$1:$P$412</definedName>
    <definedName name="_xlnm.Print_Area" localSheetId="3">'d4'!$B$1:$Q$24</definedName>
    <definedName name="_xlnm.Print_Area" localSheetId="4">'d5'!$A$1:$D$102</definedName>
    <definedName name="_xlnm.Print_Area" localSheetId="5">'d6'!$B$1:$K$110</definedName>
    <definedName name="_xlnm.Print_Area" localSheetId="6">'d7'!$A$1:$J$315</definedName>
    <definedName name="_xlnm.Print_Area" localSheetId="7">'d8'!$A$1:$D$40</definedName>
    <definedName name="_xlnm.Print_Area" localSheetId="8">'d9'!$A$1:$F$36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3" i="165" l="1"/>
  <c r="F365" i="165"/>
  <c r="F360" i="165"/>
  <c r="F48" i="165"/>
  <c r="K284" i="165"/>
  <c r="J133" i="167" l="1"/>
  <c r="I133" i="167"/>
  <c r="H143" i="167"/>
  <c r="H145" i="167"/>
  <c r="H141" i="167"/>
  <c r="J141" i="167"/>
  <c r="I141" i="167"/>
  <c r="L141" i="167" s="1"/>
  <c r="H133" i="167"/>
  <c r="H135" i="167"/>
  <c r="H134" i="167"/>
  <c r="G135" i="167"/>
  <c r="G145" i="167" l="1"/>
  <c r="F399" i="165" l="1"/>
  <c r="F167" i="165"/>
  <c r="F170" i="165"/>
  <c r="H197" i="167"/>
  <c r="F248" i="165"/>
  <c r="H41" i="167" l="1"/>
  <c r="D75" i="170"/>
  <c r="F42" i="165"/>
  <c r="D140" i="188"/>
  <c r="O408" i="165"/>
  <c r="L408" i="165"/>
  <c r="H408" i="165"/>
  <c r="K408" i="165"/>
  <c r="N408" i="165"/>
  <c r="M408" i="165"/>
  <c r="G408" i="165"/>
  <c r="J408" i="165"/>
  <c r="P408" i="165"/>
  <c r="F408" i="165"/>
  <c r="F151" i="165"/>
  <c r="J232" i="167"/>
  <c r="I232" i="167"/>
  <c r="K287" i="165"/>
  <c r="K101" i="165" l="1"/>
  <c r="F101" i="165"/>
  <c r="K167" i="165"/>
  <c r="F243" i="165" l="1"/>
  <c r="I103" i="184" l="1"/>
  <c r="I101" i="184"/>
  <c r="I99" i="184"/>
  <c r="I95" i="184"/>
  <c r="I94" i="184"/>
  <c r="L103" i="184"/>
  <c r="L101" i="184"/>
  <c r="L99" i="184"/>
  <c r="L95" i="184"/>
  <c r="L94" i="184"/>
  <c r="I91" i="184"/>
  <c r="J98" i="184" l="1"/>
  <c r="K95" i="184"/>
  <c r="K94" i="184"/>
  <c r="J93" i="184"/>
  <c r="K315" i="165"/>
  <c r="K312" i="165"/>
  <c r="I93" i="184" l="1"/>
  <c r="L93" i="184"/>
  <c r="L98" i="184"/>
  <c r="I98" i="184"/>
  <c r="K48" i="165"/>
  <c r="F46" i="165"/>
  <c r="K59" i="165"/>
  <c r="K46" i="165"/>
  <c r="J223" i="167"/>
  <c r="I223" i="167"/>
  <c r="K277" i="165"/>
  <c r="F192" i="165"/>
  <c r="K192" i="165"/>
  <c r="F187" i="165"/>
  <c r="H223" i="167"/>
  <c r="J230" i="167"/>
  <c r="I230" i="167"/>
  <c r="F103" i="165" l="1"/>
  <c r="K62" i="165" l="1"/>
  <c r="F18" i="165"/>
  <c r="F277" i="165"/>
  <c r="D62" i="170"/>
  <c r="D61" i="170"/>
  <c r="D16" i="170"/>
  <c r="D14" i="170"/>
  <c r="J140" i="188"/>
  <c r="I140" i="188"/>
  <c r="H140" i="188"/>
  <c r="G140" i="188"/>
  <c r="F105" i="188"/>
  <c r="E105" i="188"/>
  <c r="D105" i="188"/>
  <c r="D106" i="188"/>
  <c r="C107" i="188"/>
  <c r="C106" i="188"/>
  <c r="F20" i="165"/>
  <c r="J41" i="167" l="1"/>
  <c r="I41" i="167"/>
  <c r="D87" i="170"/>
  <c r="K42" i="165"/>
  <c r="J39" i="167"/>
  <c r="I39" i="167"/>
  <c r="H39" i="167"/>
  <c r="J234" i="167"/>
  <c r="I234" i="167"/>
  <c r="J231" i="167"/>
  <c r="I231" i="167"/>
  <c r="I87" i="184"/>
  <c r="K87" i="184" s="1"/>
  <c r="H53" i="184"/>
  <c r="I86" i="184"/>
  <c r="F284" i="165"/>
  <c r="H144" i="167"/>
  <c r="M141" i="167"/>
  <c r="G144" i="167"/>
  <c r="J188" i="167" l="1"/>
  <c r="I188" i="167"/>
  <c r="H188" i="167"/>
  <c r="H44" i="184"/>
  <c r="Q207" i="165"/>
  <c r="O235" i="165"/>
  <c r="J235" i="165" s="1"/>
  <c r="E235" i="165"/>
  <c r="N234" i="165"/>
  <c r="M234" i="165"/>
  <c r="L234" i="165"/>
  <c r="K234" i="165"/>
  <c r="I234" i="165"/>
  <c r="H234" i="165"/>
  <c r="G234" i="165"/>
  <c r="F234" i="165"/>
  <c r="K233" i="165"/>
  <c r="E76" i="170"/>
  <c r="G279" i="167"/>
  <c r="P332" i="165"/>
  <c r="O332" i="165"/>
  <c r="N332" i="165"/>
  <c r="M332" i="165"/>
  <c r="L332" i="165"/>
  <c r="K332" i="165"/>
  <c r="J332" i="165"/>
  <c r="I332" i="165"/>
  <c r="H332" i="165"/>
  <c r="G332" i="165"/>
  <c r="F332" i="165"/>
  <c r="E332" i="165"/>
  <c r="O349" i="165"/>
  <c r="E349" i="165"/>
  <c r="N348" i="165"/>
  <c r="M348" i="165"/>
  <c r="L348" i="165"/>
  <c r="K348" i="165"/>
  <c r="I348" i="165"/>
  <c r="H348" i="165"/>
  <c r="G348" i="165"/>
  <c r="F348" i="165"/>
  <c r="G188" i="167" l="1"/>
  <c r="P235" i="165"/>
  <c r="E348" i="165"/>
  <c r="O348" i="165"/>
  <c r="J349" i="165"/>
  <c r="J348" i="165" s="1"/>
  <c r="J35" i="167"/>
  <c r="I35" i="167"/>
  <c r="K35" i="165"/>
  <c r="J42" i="167"/>
  <c r="I42" i="167"/>
  <c r="H42" i="167"/>
  <c r="G47" i="167"/>
  <c r="H26" i="167"/>
  <c r="F21" i="165"/>
  <c r="P349" i="165" l="1"/>
  <c r="P348" i="165" s="1"/>
  <c r="F190" i="165"/>
  <c r="F224" i="165" l="1"/>
  <c r="F217" i="165"/>
  <c r="F216" i="165"/>
  <c r="K221" i="165"/>
  <c r="J46" i="184"/>
  <c r="J44" i="184" s="1"/>
  <c r="J31" i="184" l="1"/>
  <c r="H31" i="184"/>
  <c r="H20" i="184"/>
  <c r="M230" i="167"/>
  <c r="G230" i="167"/>
  <c r="G238" i="167"/>
  <c r="G237" i="167"/>
  <c r="G236" i="167"/>
  <c r="G235" i="167"/>
  <c r="G234" i="167"/>
  <c r="G219" i="167"/>
  <c r="G233" i="167"/>
  <c r="G232" i="167"/>
  <c r="G231" i="167"/>
  <c r="I64" i="184"/>
  <c r="K64" i="184" s="1"/>
  <c r="I66" i="184"/>
  <c r="I83" i="184"/>
  <c r="K83" i="184" s="1"/>
  <c r="I61" i="184"/>
  <c r="K61" i="184" s="1"/>
  <c r="I82" i="184"/>
  <c r="K82" i="184" s="1"/>
  <c r="J81" i="184"/>
  <c r="I81" i="184" s="1"/>
  <c r="K81" i="184" s="1"/>
  <c r="I79" i="184"/>
  <c r="K79" i="184" s="1"/>
  <c r="J78" i="184"/>
  <c r="J77" i="184"/>
  <c r="J76" i="184"/>
  <c r="J75" i="184"/>
  <c r="J74" i="184"/>
  <c r="J73" i="184"/>
  <c r="J72" i="184"/>
  <c r="J71" i="184"/>
  <c r="J70" i="184"/>
  <c r="J69" i="184"/>
  <c r="J68" i="184"/>
  <c r="F294" i="165"/>
  <c r="F275" i="165"/>
  <c r="F274" i="165"/>
  <c r="F271" i="165"/>
  <c r="K249" i="165"/>
  <c r="J197" i="167"/>
  <c r="I197" i="167"/>
  <c r="K248" i="165"/>
  <c r="H207" i="167"/>
  <c r="F258" i="165"/>
  <c r="D31" i="108"/>
  <c r="D30" i="108"/>
  <c r="D27" i="108"/>
  <c r="M39" i="167"/>
  <c r="J43" i="167"/>
  <c r="I43" i="167"/>
  <c r="H48" i="167"/>
  <c r="G46" i="167"/>
  <c r="F24" i="165"/>
  <c r="O29" i="165"/>
  <c r="L29" i="165"/>
  <c r="F27" i="165"/>
  <c r="J21" i="167"/>
  <c r="I21" i="167"/>
  <c r="J17" i="167"/>
  <c r="I17" i="167"/>
  <c r="K18" i="165"/>
  <c r="J86" i="167"/>
  <c r="I86" i="167"/>
  <c r="K86" i="165"/>
  <c r="F65" i="165"/>
  <c r="F62" i="165"/>
  <c r="E83" i="165"/>
  <c r="F63" i="165"/>
  <c r="F59" i="165"/>
  <c r="O59" i="165"/>
  <c r="L59" i="165"/>
  <c r="H59" i="165"/>
  <c r="F57" i="165"/>
  <c r="F50" i="165"/>
  <c r="I68" i="184" l="1"/>
  <c r="K68" i="184" s="1"/>
  <c r="J53" i="184"/>
  <c r="K66" i="184"/>
  <c r="F49" i="165" l="1"/>
  <c r="H48" i="165"/>
  <c r="K57" i="165"/>
  <c r="J87" i="167"/>
  <c r="I87" i="167"/>
  <c r="I25" i="184" l="1"/>
  <c r="K25" i="184" s="1"/>
  <c r="I24" i="184"/>
  <c r="K24" i="184" s="1"/>
  <c r="I23" i="184"/>
  <c r="K23" i="184" s="1"/>
  <c r="I22" i="184"/>
  <c r="K22" i="184" s="1"/>
  <c r="D77" i="170"/>
  <c r="D78" i="170" s="1"/>
  <c r="D89" i="170"/>
  <c r="K378" i="165"/>
  <c r="F378" i="165"/>
  <c r="J28" i="184"/>
  <c r="I28" i="184" s="1"/>
  <c r="J27" i="184"/>
  <c r="K122" i="165"/>
  <c r="K103" i="165"/>
  <c r="F112" i="165"/>
  <c r="F102" i="165"/>
  <c r="F169" i="165"/>
  <c r="O169" i="165"/>
  <c r="N169" i="165"/>
  <c r="M169" i="165"/>
  <c r="L169" i="165"/>
  <c r="H169" i="165"/>
  <c r="G169" i="165"/>
  <c r="F143" i="165"/>
  <c r="J149" i="167"/>
  <c r="I149" i="167"/>
  <c r="H149" i="167"/>
  <c r="K180" i="165"/>
  <c r="O180" i="165" s="1"/>
  <c r="J180" i="165" s="1"/>
  <c r="E180" i="165"/>
  <c r="H142" i="165"/>
  <c r="F142" i="165"/>
  <c r="F139" i="165"/>
  <c r="K170" i="165"/>
  <c r="K128" i="165"/>
  <c r="J20" i="184" l="1"/>
  <c r="G149" i="167"/>
  <c r="P180" i="165"/>
  <c r="J277" i="167" l="1"/>
  <c r="M276" i="167" s="1"/>
  <c r="I277" i="167"/>
  <c r="L276" i="167" s="1"/>
  <c r="E336" i="165"/>
  <c r="F341" i="165"/>
  <c r="K304" i="165" l="1"/>
  <c r="K310" i="165"/>
  <c r="K313" i="165"/>
  <c r="F212" i="165"/>
  <c r="K212" i="165"/>
  <c r="F225" i="165"/>
  <c r="F213" i="165"/>
  <c r="F221" i="165"/>
  <c r="H166" i="167"/>
  <c r="F196" i="165"/>
  <c r="H164" i="167"/>
  <c r="F195" i="165"/>
  <c r="J162" i="167"/>
  <c r="I162" i="167"/>
  <c r="H162" i="167"/>
  <c r="K201" i="165"/>
  <c r="K187" i="165"/>
  <c r="F382" i="165"/>
  <c r="F334" i="165"/>
  <c r="H325" i="165"/>
  <c r="F325" i="165"/>
  <c r="F269" i="165"/>
  <c r="O376" i="165"/>
  <c r="L376" i="165"/>
  <c r="J299" i="167" l="1"/>
  <c r="F29" i="197"/>
  <c r="K168" i="197" l="1"/>
  <c r="F20" i="197"/>
  <c r="F18" i="197"/>
  <c r="F13" i="197"/>
  <c r="K387" i="165" l="1"/>
  <c r="I297" i="167"/>
  <c r="D90" i="170"/>
  <c r="O378" i="165"/>
  <c r="G370" i="165"/>
  <c r="K290" i="167"/>
  <c r="J282" i="167"/>
  <c r="O353" i="165"/>
  <c r="E353" i="165"/>
  <c r="N352" i="165"/>
  <c r="M352" i="165"/>
  <c r="L352" i="165"/>
  <c r="K352" i="165"/>
  <c r="I352" i="165"/>
  <c r="H352" i="165"/>
  <c r="G352" i="165"/>
  <c r="F352" i="165"/>
  <c r="E352" i="165"/>
  <c r="J291" i="167"/>
  <c r="O365" i="165"/>
  <c r="E365" i="165"/>
  <c r="N364" i="165"/>
  <c r="M364" i="165"/>
  <c r="L364" i="165"/>
  <c r="K364" i="165"/>
  <c r="I364" i="165"/>
  <c r="I363" i="165" s="1"/>
  <c r="H364" i="165"/>
  <c r="H363" i="165" s="1"/>
  <c r="G364" i="165"/>
  <c r="G363" i="165" s="1"/>
  <c r="F364" i="165"/>
  <c r="N363" i="165"/>
  <c r="M363" i="165"/>
  <c r="L363" i="165"/>
  <c r="F363" i="165"/>
  <c r="J287" i="167"/>
  <c r="O360" i="165"/>
  <c r="E360" i="165"/>
  <c r="H284" i="167"/>
  <c r="F358" i="165"/>
  <c r="E89" i="188"/>
  <c r="J353" i="165" l="1"/>
  <c r="H282" i="167"/>
  <c r="K363" i="165"/>
  <c r="J365" i="165"/>
  <c r="E364" i="165"/>
  <c r="J360" i="165"/>
  <c r="H287" i="167"/>
  <c r="O352" i="165"/>
  <c r="H291" i="167"/>
  <c r="O364" i="165"/>
  <c r="I291" i="167"/>
  <c r="P353" i="165"/>
  <c r="P360" i="165"/>
  <c r="J352" i="165" l="1"/>
  <c r="I282" i="167"/>
  <c r="G282" i="167" s="1"/>
  <c r="P352" i="165"/>
  <c r="O363" i="165"/>
  <c r="J364" i="165"/>
  <c r="P365" i="165"/>
  <c r="P364" i="165"/>
  <c r="E363" i="165"/>
  <c r="I287" i="167"/>
  <c r="G287" i="167" s="1"/>
  <c r="G291" i="167"/>
  <c r="J363" i="165" l="1"/>
  <c r="P363" i="165"/>
  <c r="J104" i="184" l="1"/>
  <c r="K103" i="184"/>
  <c r="J102" i="184"/>
  <c r="L102" i="184" s="1"/>
  <c r="K101" i="184"/>
  <c r="J100" i="184"/>
  <c r="K99" i="184"/>
  <c r="K98" i="184"/>
  <c r="J97" i="184"/>
  <c r="J96" i="184"/>
  <c r="H93" i="184"/>
  <c r="H90" i="184" s="1"/>
  <c r="J92" i="184"/>
  <c r="K91" i="184"/>
  <c r="L100" i="184" l="1"/>
  <c r="I100" i="184"/>
  <c r="K100" i="184" s="1"/>
  <c r="L96" i="184"/>
  <c r="I96" i="184"/>
  <c r="K96" i="184" s="1"/>
  <c r="I97" i="184"/>
  <c r="K97" i="184" s="1"/>
  <c r="L97" i="184"/>
  <c r="I104" i="184"/>
  <c r="K104" i="184" s="1"/>
  <c r="L104" i="184"/>
  <c r="L92" i="184"/>
  <c r="I92" i="184"/>
  <c r="K92" i="184" s="1"/>
  <c r="I102" i="184"/>
  <c r="K102" i="184" s="1"/>
  <c r="J90" i="184"/>
  <c r="K93" i="184"/>
  <c r="I27" i="184"/>
  <c r="I90" i="184" l="1"/>
  <c r="I80" i="184"/>
  <c r="K80" i="184" s="1"/>
  <c r="I78" i="184"/>
  <c r="K78" i="184" s="1"/>
  <c r="I77" i="184"/>
  <c r="K77" i="184" s="1"/>
  <c r="I76" i="184"/>
  <c r="K76" i="184" s="1"/>
  <c r="I75" i="184"/>
  <c r="K75" i="184" s="1"/>
  <c r="I74" i="184"/>
  <c r="K74" i="184" s="1"/>
  <c r="I73" i="184"/>
  <c r="K73" i="184" s="1"/>
  <c r="I72" i="184"/>
  <c r="K72" i="184" s="1"/>
  <c r="I71" i="184"/>
  <c r="K71" i="184" s="1"/>
  <c r="I70" i="184"/>
  <c r="K70" i="184" s="1"/>
  <c r="I69" i="184"/>
  <c r="I46" i="184"/>
  <c r="L46" i="184" s="1"/>
  <c r="I45" i="184"/>
  <c r="I34" i="184"/>
  <c r="K27" i="184"/>
  <c r="I26" i="184"/>
  <c r="K26" i="184" s="1"/>
  <c r="I21" i="184"/>
  <c r="I20" i="184" s="1"/>
  <c r="I44" i="184" l="1"/>
  <c r="I53" i="184"/>
  <c r="K69" i="184"/>
  <c r="K34" i="184"/>
  <c r="I31" i="184"/>
  <c r="K46" i="184"/>
  <c r="K45" i="184"/>
  <c r="D79" i="170" l="1"/>
  <c r="D83" i="170"/>
  <c r="D20" i="170" l="1"/>
  <c r="C126" i="188"/>
  <c r="G52" i="165" l="1"/>
  <c r="F52" i="165"/>
  <c r="D115" i="188"/>
  <c r="K294" i="165" l="1"/>
  <c r="D125" i="188" l="1"/>
  <c r="D133" i="188" l="1"/>
  <c r="G93" i="167" l="1"/>
  <c r="G26" i="167" l="1"/>
  <c r="J98" i="167" l="1"/>
  <c r="F397" i="165" l="1"/>
  <c r="H391" i="165"/>
  <c r="H382" i="165"/>
  <c r="H372" i="165"/>
  <c r="H334" i="165"/>
  <c r="H300" i="165"/>
  <c r="H269" i="165"/>
  <c r="H243" i="165"/>
  <c r="H142" i="167" l="1"/>
  <c r="J169" i="167"/>
  <c r="O201" i="165"/>
  <c r="J201" i="165" s="1"/>
  <c r="I169" i="167" s="1"/>
  <c r="E201" i="165"/>
  <c r="M223" i="167"/>
  <c r="H295" i="165"/>
  <c r="M197" i="167"/>
  <c r="J204" i="167"/>
  <c r="E248" i="165"/>
  <c r="O253" i="165"/>
  <c r="J253" i="165" s="1"/>
  <c r="I204" i="167" s="1"/>
  <c r="E253" i="165"/>
  <c r="H204" i="167" s="1"/>
  <c r="J266" i="167"/>
  <c r="N324" i="165"/>
  <c r="M324" i="165"/>
  <c r="L324" i="165"/>
  <c r="K324" i="165"/>
  <c r="I324" i="165"/>
  <c r="G324" i="165"/>
  <c r="F324" i="165"/>
  <c r="O327" i="165"/>
  <c r="J327" i="165" s="1"/>
  <c r="I266" i="167" s="1"/>
  <c r="E327" i="165"/>
  <c r="H195" i="165"/>
  <c r="H192" i="165"/>
  <c r="H191" i="165"/>
  <c r="G191" i="165"/>
  <c r="H190" i="165"/>
  <c r="H187" i="165"/>
  <c r="H128" i="165"/>
  <c r="H145" i="165"/>
  <c r="H143" i="165"/>
  <c r="G143" i="165"/>
  <c r="K197" i="167" l="1"/>
  <c r="P201" i="165"/>
  <c r="H169" i="167"/>
  <c r="G169" i="167" s="1"/>
  <c r="G204" i="167"/>
  <c r="P253" i="165"/>
  <c r="P327" i="165"/>
  <c r="H266" i="167"/>
  <c r="G266" i="167" s="1"/>
  <c r="J94" i="167" l="1"/>
  <c r="O99" i="165"/>
  <c r="J99" i="165" s="1"/>
  <c r="E99" i="165"/>
  <c r="H94" i="167" s="1"/>
  <c r="N97" i="165"/>
  <c r="M97" i="165"/>
  <c r="L97" i="165"/>
  <c r="K97" i="165"/>
  <c r="I97" i="165"/>
  <c r="G97" i="165"/>
  <c r="F97" i="165"/>
  <c r="H98" i="165"/>
  <c r="H97" i="165" s="1"/>
  <c r="J108" i="167"/>
  <c r="N121" i="165"/>
  <c r="M121" i="165"/>
  <c r="L121" i="165"/>
  <c r="I121" i="165"/>
  <c r="H121" i="165"/>
  <c r="G121" i="165"/>
  <c r="F121" i="165"/>
  <c r="O122" i="165"/>
  <c r="J122" i="165" s="1"/>
  <c r="I108" i="167" s="1"/>
  <c r="E122" i="165"/>
  <c r="K121" i="165" l="1"/>
  <c r="O121" i="165"/>
  <c r="I94" i="167"/>
  <c r="P99" i="165"/>
  <c r="E121" i="165"/>
  <c r="H108" i="167"/>
  <c r="G108" i="167" s="1"/>
  <c r="P122" i="165"/>
  <c r="P121" i="165" s="1"/>
  <c r="J121" i="165"/>
  <c r="G94" i="167" l="1"/>
  <c r="H221" i="165"/>
  <c r="G221" i="165"/>
  <c r="H213" i="165"/>
  <c r="H212" i="165"/>
  <c r="K50" i="165"/>
  <c r="K49" i="165"/>
  <c r="J54" i="167"/>
  <c r="G67" i="167"/>
  <c r="J64" i="167"/>
  <c r="M64" i="167" s="1"/>
  <c r="G65" i="167"/>
  <c r="G57" i="167"/>
  <c r="G53" i="167"/>
  <c r="J66" i="167"/>
  <c r="M66" i="167" s="1"/>
  <c r="K65" i="165"/>
  <c r="M86" i="167" l="1"/>
  <c r="G86" i="167"/>
  <c r="H46" i="165"/>
  <c r="H67" i="165"/>
  <c r="F67" i="165"/>
  <c r="H65" i="165"/>
  <c r="H62" i="165"/>
  <c r="H57" i="165"/>
  <c r="H50" i="165"/>
  <c r="H49" i="165"/>
  <c r="G21" i="167"/>
  <c r="H23" i="167"/>
  <c r="H25" i="167"/>
  <c r="H18" i="165"/>
  <c r="O195" i="165"/>
  <c r="F47" i="165" l="1"/>
  <c r="O142" i="165" l="1"/>
  <c r="O187" i="165"/>
  <c r="O192" i="165"/>
  <c r="O221" i="165"/>
  <c r="O57" i="165" l="1"/>
  <c r="O48" i="165"/>
  <c r="O46" i="165"/>
  <c r="G298" i="167" l="1"/>
  <c r="O377" i="165" l="1"/>
  <c r="N377" i="165"/>
  <c r="M377" i="165"/>
  <c r="L377" i="165"/>
  <c r="K377" i="165"/>
  <c r="I377" i="165"/>
  <c r="H377" i="165"/>
  <c r="G377" i="165"/>
  <c r="F377" i="165"/>
  <c r="E378" i="165"/>
  <c r="E377" i="165" l="1"/>
  <c r="E370" i="165" s="1"/>
  <c r="H299" i="167"/>
  <c r="J378" i="165"/>
  <c r="I299" i="167" l="1"/>
  <c r="I294" i="167" s="1"/>
  <c r="E89" i="170"/>
  <c r="J377" i="165"/>
  <c r="P378" i="165"/>
  <c r="D21" i="108"/>
  <c r="G299" i="167" l="1"/>
  <c r="P377" i="165"/>
  <c r="E88" i="170"/>
  <c r="H324" i="165"/>
  <c r="J250" i="167"/>
  <c r="O304" i="165"/>
  <c r="J304" i="165" s="1"/>
  <c r="J303" i="165" s="1"/>
  <c r="E304" i="165"/>
  <c r="H250" i="167" s="1"/>
  <c r="N303" i="165"/>
  <c r="M303" i="165"/>
  <c r="L303" i="165"/>
  <c r="K303" i="165"/>
  <c r="I303" i="165"/>
  <c r="H303" i="165"/>
  <c r="G303" i="165"/>
  <c r="G277" i="167"/>
  <c r="O303" i="165" l="1"/>
  <c r="I250" i="167"/>
  <c r="G250" i="167" s="1"/>
  <c r="P304" i="165"/>
  <c r="P303" i="165" s="1"/>
  <c r="E303" i="165"/>
  <c r="F303" i="165"/>
  <c r="K105" i="165" l="1"/>
  <c r="F105" i="165"/>
  <c r="J85" i="167" l="1"/>
  <c r="N80" i="165"/>
  <c r="M80" i="165"/>
  <c r="L80" i="165"/>
  <c r="K80" i="165"/>
  <c r="I80" i="165"/>
  <c r="H80" i="165"/>
  <c r="G80" i="165"/>
  <c r="F80" i="165"/>
  <c r="O82" i="165"/>
  <c r="J82" i="165" s="1"/>
  <c r="E82" i="165"/>
  <c r="H85" i="167" s="1"/>
  <c r="I85" i="167" l="1"/>
  <c r="G85" i="167" s="1"/>
  <c r="P82" i="165"/>
  <c r="F250" i="165" l="1"/>
  <c r="J211" i="167"/>
  <c r="O265" i="165"/>
  <c r="J265" i="165" s="1"/>
  <c r="J264" i="165" s="1"/>
  <c r="J263" i="165" s="1"/>
  <c r="E265" i="165"/>
  <c r="H211" i="167" s="1"/>
  <c r="N264" i="165"/>
  <c r="N263" i="165" s="1"/>
  <c r="M264" i="165"/>
  <c r="M263" i="165" s="1"/>
  <c r="L264" i="165"/>
  <c r="L263" i="165" s="1"/>
  <c r="K264" i="165"/>
  <c r="K263" i="165" s="1"/>
  <c r="I264" i="165"/>
  <c r="I263" i="165" s="1"/>
  <c r="H264" i="165"/>
  <c r="H263" i="165" s="1"/>
  <c r="G264" i="165"/>
  <c r="G263" i="165" s="1"/>
  <c r="F264" i="165"/>
  <c r="F263" i="165" s="1"/>
  <c r="D33" i="108"/>
  <c r="I211" i="167" l="1"/>
  <c r="G211" i="167" s="1"/>
  <c r="P265" i="165"/>
  <c r="P264" i="165" s="1"/>
  <c r="P263" i="165" s="1"/>
  <c r="E264" i="165"/>
  <c r="E263" i="165" s="1"/>
  <c r="O264" i="165"/>
  <c r="O263" i="165" s="1"/>
  <c r="I50" i="184"/>
  <c r="H50" i="184"/>
  <c r="O261" i="165" l="1"/>
  <c r="K178" i="165" l="1"/>
  <c r="G24" i="167" l="1"/>
  <c r="M34" i="167" l="1"/>
  <c r="F34" i="165"/>
  <c r="G35" i="167" l="1"/>
  <c r="J29" i="184"/>
  <c r="J41" i="184" l="1"/>
  <c r="J89" i="167" l="1"/>
  <c r="N90" i="165"/>
  <c r="M90" i="165"/>
  <c r="L90" i="165"/>
  <c r="K90" i="165"/>
  <c r="I90" i="165"/>
  <c r="H90" i="165"/>
  <c r="G90" i="165"/>
  <c r="F90" i="165"/>
  <c r="O91" i="165"/>
  <c r="E91" i="165"/>
  <c r="N89" i="165" l="1"/>
  <c r="G89" i="165"/>
  <c r="K89" i="165"/>
  <c r="L89" i="165"/>
  <c r="F89" i="165"/>
  <c r="E90" i="165"/>
  <c r="H89" i="165"/>
  <c r="O90" i="165"/>
  <c r="I89" i="165"/>
  <c r="M89" i="165"/>
  <c r="H89" i="167"/>
  <c r="J91" i="165"/>
  <c r="E89" i="165" l="1"/>
  <c r="O89" i="165"/>
  <c r="J90" i="165"/>
  <c r="I89" i="167"/>
  <c r="G89" i="167" s="1"/>
  <c r="P91" i="165"/>
  <c r="P90" i="165" l="1"/>
  <c r="J89" i="165"/>
  <c r="G278" i="167"/>
  <c r="N346" i="165"/>
  <c r="M346" i="165"/>
  <c r="L346" i="165"/>
  <c r="K346" i="165"/>
  <c r="I346" i="165"/>
  <c r="H346" i="165"/>
  <c r="G346" i="165"/>
  <c r="F346" i="165"/>
  <c r="O347" i="165"/>
  <c r="E347" i="165"/>
  <c r="J347" i="165" l="1"/>
  <c r="L345" i="165"/>
  <c r="I345" i="165"/>
  <c r="N345" i="165"/>
  <c r="F345" i="165"/>
  <c r="K345" i="165"/>
  <c r="G345" i="165"/>
  <c r="E346" i="165"/>
  <c r="H345" i="165"/>
  <c r="M345" i="165"/>
  <c r="P89" i="165"/>
  <c r="O346" i="165"/>
  <c r="P347" i="165"/>
  <c r="D29" i="170"/>
  <c r="D26" i="170"/>
  <c r="D108" i="188"/>
  <c r="C110" i="188"/>
  <c r="P346" i="165" l="1"/>
  <c r="O345" i="165"/>
  <c r="E345" i="165"/>
  <c r="J346" i="165"/>
  <c r="J84" i="184"/>
  <c r="J88" i="184"/>
  <c r="J85" i="184"/>
  <c r="J54" i="184"/>
  <c r="J55" i="184"/>
  <c r="J50" i="184"/>
  <c r="F252" i="165"/>
  <c r="J345" i="165" l="1"/>
  <c r="P345" i="165"/>
  <c r="H210" i="165"/>
  <c r="G210" i="165"/>
  <c r="F210" i="165"/>
  <c r="J129" i="167"/>
  <c r="E145" i="165"/>
  <c r="O145" i="165"/>
  <c r="G44" i="167"/>
  <c r="G270" i="167"/>
  <c r="F33" i="165"/>
  <c r="N33" i="165"/>
  <c r="M33" i="165"/>
  <c r="L33" i="165"/>
  <c r="K33" i="165"/>
  <c r="I33" i="165"/>
  <c r="H33" i="165"/>
  <c r="G33" i="165"/>
  <c r="O34" i="165"/>
  <c r="E34" i="165"/>
  <c r="J145" i="165" l="1"/>
  <c r="P145" i="165" s="1"/>
  <c r="H129" i="167"/>
  <c r="J34" i="165"/>
  <c r="P34" i="165" s="1"/>
  <c r="G33" i="167"/>
  <c r="I129" i="167" l="1"/>
  <c r="G129" i="167" s="1"/>
  <c r="D34" i="188" l="1"/>
  <c r="C36" i="188"/>
  <c r="D45" i="172" l="1"/>
  <c r="G304" i="167" l="1"/>
  <c r="D47" i="170" l="1"/>
  <c r="F402" i="165"/>
  <c r="N394" i="165"/>
  <c r="M394" i="165"/>
  <c r="L394" i="165"/>
  <c r="K394" i="165"/>
  <c r="I394" i="165"/>
  <c r="H394" i="165"/>
  <c r="G394" i="165"/>
  <c r="F394" i="165"/>
  <c r="O395" i="165"/>
  <c r="E395" i="165"/>
  <c r="G393" i="165" l="1"/>
  <c r="H393" i="165"/>
  <c r="M393" i="165"/>
  <c r="E394" i="165"/>
  <c r="I393" i="165"/>
  <c r="N393" i="165"/>
  <c r="J395" i="165"/>
  <c r="F393" i="165"/>
  <c r="K393" i="165"/>
  <c r="L393" i="165"/>
  <c r="O394" i="165"/>
  <c r="O393" i="165" l="1"/>
  <c r="J394" i="165"/>
  <c r="E393" i="165"/>
  <c r="P395" i="165"/>
  <c r="P394" i="165" l="1"/>
  <c r="J393" i="165"/>
  <c r="J138" i="167"/>
  <c r="O167" i="165"/>
  <c r="E167" i="165"/>
  <c r="J105" i="167"/>
  <c r="F113" i="165"/>
  <c r="G113" i="165"/>
  <c r="H113" i="165"/>
  <c r="I113" i="165"/>
  <c r="K113" i="165"/>
  <c r="L113" i="165"/>
  <c r="M113" i="165"/>
  <c r="N113" i="165"/>
  <c r="O114" i="165"/>
  <c r="E114" i="165"/>
  <c r="H138" i="167" l="1"/>
  <c r="E113" i="165"/>
  <c r="J167" i="165"/>
  <c r="J114" i="165"/>
  <c r="P114" i="165" s="1"/>
  <c r="P393" i="165"/>
  <c r="H105" i="167"/>
  <c r="O113" i="165"/>
  <c r="P167" i="165" l="1"/>
  <c r="J113" i="165"/>
  <c r="I105" i="167"/>
  <c r="G105" i="167" s="1"/>
  <c r="I138" i="167"/>
  <c r="G138" i="167" s="1"/>
  <c r="P113" i="165"/>
  <c r="G162" i="167" l="1"/>
  <c r="O193" i="165" l="1"/>
  <c r="E193" i="165"/>
  <c r="J193" i="165" l="1"/>
  <c r="P193" i="165" s="1"/>
  <c r="G261" i="167" l="1"/>
  <c r="G260" i="167"/>
  <c r="G257" i="167"/>
  <c r="N318" i="165" l="1"/>
  <c r="M318" i="165"/>
  <c r="L318" i="165"/>
  <c r="K318" i="165"/>
  <c r="I318" i="165"/>
  <c r="H318" i="165"/>
  <c r="G318" i="165"/>
  <c r="F318" i="165"/>
  <c r="O321" i="165"/>
  <c r="E321" i="165"/>
  <c r="O342" i="165"/>
  <c r="E342" i="165"/>
  <c r="J342" i="165" l="1"/>
  <c r="J321" i="165"/>
  <c r="P321" i="165" s="1"/>
  <c r="G242" i="167"/>
  <c r="P342" i="165" l="1"/>
  <c r="O35" i="165" l="1"/>
  <c r="E35" i="165"/>
  <c r="N288" i="165"/>
  <c r="M288" i="165"/>
  <c r="L288" i="165"/>
  <c r="K288" i="165"/>
  <c r="I288" i="165"/>
  <c r="H288" i="165"/>
  <c r="G288" i="165"/>
  <c r="F288" i="165"/>
  <c r="O291" i="165"/>
  <c r="E291" i="165"/>
  <c r="J106" i="167"/>
  <c r="K35" i="184"/>
  <c r="O33" i="165" l="1"/>
  <c r="E33" i="165"/>
  <c r="K34" i="167"/>
  <c r="J291" i="165"/>
  <c r="I285" i="165"/>
  <c r="N285" i="165"/>
  <c r="F285" i="165"/>
  <c r="K285" i="165"/>
  <c r="O288" i="165"/>
  <c r="M285" i="165"/>
  <c r="E288" i="165"/>
  <c r="G285" i="165"/>
  <c r="L285" i="165"/>
  <c r="H285" i="165"/>
  <c r="J35" i="165"/>
  <c r="L34" i="167" l="1"/>
  <c r="P291" i="165"/>
  <c r="P35" i="165"/>
  <c r="J33" i="165"/>
  <c r="G34" i="167"/>
  <c r="N117" i="165"/>
  <c r="M117" i="165"/>
  <c r="L117" i="165"/>
  <c r="K117" i="165"/>
  <c r="I117" i="165"/>
  <c r="H117" i="165"/>
  <c r="G117" i="165"/>
  <c r="F117" i="165"/>
  <c r="O118" i="165"/>
  <c r="E118" i="165"/>
  <c r="O117" i="165" l="1"/>
  <c r="E117" i="165"/>
  <c r="P33" i="165"/>
  <c r="J118" i="165"/>
  <c r="H106" i="167"/>
  <c r="F45" i="172"/>
  <c r="E45" i="172"/>
  <c r="P118" i="165" l="1"/>
  <c r="P117" i="165" s="1"/>
  <c r="J117" i="165"/>
  <c r="I106" i="167"/>
  <c r="G106" i="167" l="1"/>
  <c r="K41" i="165"/>
  <c r="M206" i="167" l="1"/>
  <c r="G207" i="167"/>
  <c r="G198" i="167"/>
  <c r="N343" i="165" l="1"/>
  <c r="M343" i="165"/>
  <c r="L343" i="165"/>
  <c r="K343" i="165"/>
  <c r="I343" i="165"/>
  <c r="H343" i="165"/>
  <c r="G343" i="165"/>
  <c r="F343" i="165"/>
  <c r="F339" i="165"/>
  <c r="I59" i="184" l="1"/>
  <c r="K59" i="184" l="1"/>
  <c r="C50" i="188" l="1"/>
  <c r="D49" i="188"/>
  <c r="C49" i="188" l="1"/>
  <c r="D38" i="188"/>
  <c r="E102" i="188"/>
  <c r="E24" i="108" s="1"/>
  <c r="D95" i="188"/>
  <c r="E58" i="188" l="1"/>
  <c r="H40" i="184" l="1"/>
  <c r="G288" i="167"/>
  <c r="M290" i="167"/>
  <c r="O387" i="165"/>
  <c r="O385" i="165"/>
  <c r="C41" i="172"/>
  <c r="C42" i="172"/>
  <c r="O402" i="165" l="1"/>
  <c r="E402" i="165"/>
  <c r="N401" i="165"/>
  <c r="M401" i="165"/>
  <c r="L401" i="165"/>
  <c r="K401" i="165"/>
  <c r="I401" i="165"/>
  <c r="H401" i="165"/>
  <c r="G401" i="165"/>
  <c r="F401" i="165"/>
  <c r="N400" i="165"/>
  <c r="I37" i="184"/>
  <c r="F13" i="107"/>
  <c r="H13" i="107"/>
  <c r="J13" i="107"/>
  <c r="K13" i="107"/>
  <c r="L13" i="107"/>
  <c r="H400" i="165" l="1"/>
  <c r="O212" i="165"/>
  <c r="I400" i="165"/>
  <c r="F400" i="165"/>
  <c r="K400" i="165"/>
  <c r="E401" i="165"/>
  <c r="M400" i="165"/>
  <c r="G400" i="165"/>
  <c r="L400" i="165"/>
  <c r="J402" i="165"/>
  <c r="O401" i="165"/>
  <c r="E400" i="165" l="1"/>
  <c r="O400" i="165"/>
  <c r="J401" i="165"/>
  <c r="P402" i="165"/>
  <c r="P401" i="165" l="1"/>
  <c r="J400" i="165"/>
  <c r="J49" i="184"/>
  <c r="I49" i="184"/>
  <c r="H49" i="184"/>
  <c r="K51" i="184"/>
  <c r="P400" i="165" l="1"/>
  <c r="G20" i="167"/>
  <c r="F273" i="165"/>
  <c r="O284" i="165"/>
  <c r="J225" i="167" l="1"/>
  <c r="F272" i="165"/>
  <c r="O278" i="165"/>
  <c r="E278" i="165"/>
  <c r="J205" i="167"/>
  <c r="O256" i="165"/>
  <c r="E256" i="165"/>
  <c r="N255" i="165"/>
  <c r="M255" i="165"/>
  <c r="L255" i="165"/>
  <c r="K255" i="165"/>
  <c r="I255" i="165"/>
  <c r="H255" i="165"/>
  <c r="G255" i="165"/>
  <c r="F255" i="165"/>
  <c r="E255" i="165" l="1"/>
  <c r="J278" i="165"/>
  <c r="J256" i="165"/>
  <c r="H225" i="167"/>
  <c r="H205" i="167"/>
  <c r="O255" i="165"/>
  <c r="O319" i="165"/>
  <c r="J245" i="165"/>
  <c r="E245" i="165"/>
  <c r="N242" i="165"/>
  <c r="M242" i="165"/>
  <c r="L242" i="165"/>
  <c r="K242" i="165"/>
  <c r="I242" i="165"/>
  <c r="G242" i="165"/>
  <c r="F242" i="165"/>
  <c r="K54" i="184"/>
  <c r="K56" i="184"/>
  <c r="K57" i="184"/>
  <c r="K58" i="184"/>
  <c r="K84" i="184"/>
  <c r="K85" i="184"/>
  <c r="K88" i="184"/>
  <c r="I63" i="184"/>
  <c r="J319" i="165" l="1"/>
  <c r="O318" i="165"/>
  <c r="J255" i="165"/>
  <c r="P278" i="165"/>
  <c r="P256" i="165"/>
  <c r="I225" i="167"/>
  <c r="G225" i="167" s="1"/>
  <c r="H196" i="167"/>
  <c r="G196" i="167" s="1"/>
  <c r="I205" i="167"/>
  <c r="G205" i="167" s="1"/>
  <c r="K55" i="184"/>
  <c r="P245" i="165"/>
  <c r="K63" i="184"/>
  <c r="H39" i="184"/>
  <c r="I41" i="184"/>
  <c r="K41" i="184" s="1"/>
  <c r="I52" i="184"/>
  <c r="H52" i="184"/>
  <c r="H43" i="184"/>
  <c r="H30" i="184"/>
  <c r="H19" i="184"/>
  <c r="J318" i="165" l="1"/>
  <c r="P255" i="165"/>
  <c r="I40" i="184"/>
  <c r="J62" i="167" l="1"/>
  <c r="J19" i="184" l="1"/>
  <c r="I29" i="184"/>
  <c r="K29" i="184" s="1"/>
  <c r="O62" i="165" l="1"/>
  <c r="I19" i="184"/>
  <c r="E53" i="165" l="1"/>
  <c r="J53" i="165"/>
  <c r="K51" i="165"/>
  <c r="L51" i="165"/>
  <c r="M51" i="165"/>
  <c r="N51" i="165"/>
  <c r="I51" i="165"/>
  <c r="H51" i="165"/>
  <c r="G51" i="165"/>
  <c r="F51" i="165"/>
  <c r="N375" i="165"/>
  <c r="M375" i="165"/>
  <c r="L375" i="165"/>
  <c r="K375" i="165"/>
  <c r="I375" i="165"/>
  <c r="H375" i="165"/>
  <c r="G375" i="165"/>
  <c r="F375" i="165"/>
  <c r="E375" i="165"/>
  <c r="I62" i="167" l="1"/>
  <c r="H62" i="167"/>
  <c r="P53" i="165"/>
  <c r="I89" i="184" l="1"/>
  <c r="G62" i="167"/>
  <c r="O375" i="165"/>
  <c r="H89" i="184"/>
  <c r="H105" i="184" s="1"/>
  <c r="L105" i="184" s="1"/>
  <c r="I33" i="184" l="1"/>
  <c r="O102" i="165" l="1"/>
  <c r="K33" i="184"/>
  <c r="I30" i="184"/>
  <c r="J95" i="167" l="1"/>
  <c r="H242" i="165" l="1"/>
  <c r="J191" i="167"/>
  <c r="O239" i="165"/>
  <c r="J239" i="165" s="1"/>
  <c r="E92" i="170" s="1"/>
  <c r="E239" i="165"/>
  <c r="N238" i="165"/>
  <c r="N237" i="165" s="1"/>
  <c r="M238" i="165"/>
  <c r="M237" i="165" s="1"/>
  <c r="L238" i="165"/>
  <c r="L237" i="165" s="1"/>
  <c r="K238" i="165"/>
  <c r="K237" i="165" s="1"/>
  <c r="I238" i="165"/>
  <c r="I237" i="165" s="1"/>
  <c r="H238" i="165"/>
  <c r="H237" i="165" s="1"/>
  <c r="G238" i="165"/>
  <c r="G237" i="165" s="1"/>
  <c r="F238" i="165"/>
  <c r="F237" i="165" s="1"/>
  <c r="E238" i="165" l="1"/>
  <c r="E237" i="165" s="1"/>
  <c r="E81" i="170"/>
  <c r="H191" i="167"/>
  <c r="I191" i="167"/>
  <c r="O238" i="165"/>
  <c r="O237" i="165" s="1"/>
  <c r="J238" i="165"/>
  <c r="J237" i="165" s="1"/>
  <c r="P239" i="165"/>
  <c r="P238" i="165" s="1"/>
  <c r="P237" i="165" s="1"/>
  <c r="G191" i="167" l="1"/>
  <c r="J256" i="167"/>
  <c r="J30" i="184"/>
  <c r="D112" i="188"/>
  <c r="D17" i="170" l="1"/>
  <c r="D25" i="170" s="1"/>
  <c r="F79" i="165" l="1"/>
  <c r="D59" i="170" l="1"/>
  <c r="D57" i="170"/>
  <c r="J187" i="167" l="1"/>
  <c r="O233" i="165"/>
  <c r="E233" i="165"/>
  <c r="N232" i="165"/>
  <c r="M232" i="165"/>
  <c r="L232" i="165"/>
  <c r="K232" i="165"/>
  <c r="I232" i="165"/>
  <c r="H232" i="165"/>
  <c r="G232" i="165"/>
  <c r="F232" i="165"/>
  <c r="J40" i="184"/>
  <c r="H187" i="167" l="1"/>
  <c r="E232" i="165"/>
  <c r="E231" i="165" s="1"/>
  <c r="I231" i="165"/>
  <c r="K231" i="165"/>
  <c r="M231" i="165"/>
  <c r="F231" i="165"/>
  <c r="G231" i="165"/>
  <c r="J233" i="165"/>
  <c r="L231" i="165"/>
  <c r="H231" i="165"/>
  <c r="N231" i="165"/>
  <c r="O232" i="165"/>
  <c r="O344" i="165"/>
  <c r="E344" i="165"/>
  <c r="H276" i="167" s="1"/>
  <c r="K276" i="167" s="1"/>
  <c r="O343" i="165" l="1"/>
  <c r="E343" i="165"/>
  <c r="P233" i="165"/>
  <c r="O231" i="165"/>
  <c r="J232" i="165"/>
  <c r="I187" i="167"/>
  <c r="G187" i="167" s="1"/>
  <c r="J344" i="165"/>
  <c r="P232" i="165" l="1"/>
  <c r="J343" i="165"/>
  <c r="P344" i="165"/>
  <c r="G274" i="167"/>
  <c r="J231" i="165"/>
  <c r="P231" i="165" l="1"/>
  <c r="G276" i="167"/>
  <c r="P343" i="165"/>
  <c r="G18" i="167"/>
  <c r="D94" i="170"/>
  <c r="D96" i="170" s="1"/>
  <c r="J88" i="167"/>
  <c r="N87" i="165"/>
  <c r="M87" i="165"/>
  <c r="L87" i="165"/>
  <c r="K87" i="165"/>
  <c r="I87" i="165"/>
  <c r="H87" i="165"/>
  <c r="G87" i="165"/>
  <c r="O88" i="165"/>
  <c r="F85" i="165"/>
  <c r="G85" i="165"/>
  <c r="H85" i="165"/>
  <c r="I85" i="165"/>
  <c r="K85" i="165"/>
  <c r="L85" i="165"/>
  <c r="M85" i="165"/>
  <c r="N85" i="165"/>
  <c r="O86" i="165"/>
  <c r="E86" i="165"/>
  <c r="K86" i="167" s="1"/>
  <c r="N84" i="165" l="1"/>
  <c r="K84" i="165"/>
  <c r="I84" i="165"/>
  <c r="H84" i="165"/>
  <c r="M84" i="165"/>
  <c r="G84" i="165"/>
  <c r="J88" i="165"/>
  <c r="L84" i="165"/>
  <c r="J86" i="165"/>
  <c r="L86" i="167" s="1"/>
  <c r="F84" i="165"/>
  <c r="E88" i="165"/>
  <c r="E85" i="165"/>
  <c r="F87" i="165"/>
  <c r="O87" i="165"/>
  <c r="O85" i="165"/>
  <c r="J85" i="165" l="1"/>
  <c r="P88" i="165"/>
  <c r="H88" i="167"/>
  <c r="J87" i="165"/>
  <c r="P86" i="165"/>
  <c r="G87" i="167"/>
  <c r="M83" i="165"/>
  <c r="G83" i="165"/>
  <c r="E84" i="165"/>
  <c r="E87" i="165"/>
  <c r="I88" i="167"/>
  <c r="I83" i="165"/>
  <c r="K83" i="165"/>
  <c r="F83" i="165"/>
  <c r="O84" i="165"/>
  <c r="L83" i="165"/>
  <c r="H83" i="165"/>
  <c r="N83" i="165"/>
  <c r="F133" i="188"/>
  <c r="C139" i="188"/>
  <c r="C138" i="188"/>
  <c r="D77" i="188"/>
  <c r="G88" i="167" l="1"/>
  <c r="J84" i="165"/>
  <c r="P87" i="165"/>
  <c r="D54" i="188"/>
  <c r="D73" i="188"/>
  <c r="E133" i="188"/>
  <c r="O83" i="165"/>
  <c r="P85" i="165"/>
  <c r="D68" i="188"/>
  <c r="J83" i="165" l="1"/>
  <c r="P84" i="165"/>
  <c r="P83" i="165" l="1"/>
  <c r="D51" i="170" l="1"/>
  <c r="D53" i="170" s="1"/>
  <c r="J147" i="167" l="1"/>
  <c r="O174" i="165"/>
  <c r="E174" i="165"/>
  <c r="N172" i="165"/>
  <c r="M172" i="165"/>
  <c r="L172" i="165"/>
  <c r="K172" i="165"/>
  <c r="I172" i="165"/>
  <c r="H172" i="165"/>
  <c r="G172" i="165"/>
  <c r="F172" i="165"/>
  <c r="J174" i="165" l="1"/>
  <c r="H147" i="167"/>
  <c r="N153" i="165"/>
  <c r="M153" i="165"/>
  <c r="L153" i="165"/>
  <c r="K153" i="165"/>
  <c r="I153" i="165"/>
  <c r="H153" i="165"/>
  <c r="G153" i="165"/>
  <c r="F153" i="165"/>
  <c r="I147" i="167" l="1"/>
  <c r="G147" i="167" s="1"/>
  <c r="P174" i="165"/>
  <c r="O164" i="165"/>
  <c r="E164" i="165"/>
  <c r="O161" i="165"/>
  <c r="E161" i="165"/>
  <c r="O157" i="165"/>
  <c r="E157" i="165"/>
  <c r="O154" i="165"/>
  <c r="E154" i="165"/>
  <c r="J157" i="165" l="1"/>
  <c r="J164" i="165"/>
  <c r="J161" i="165"/>
  <c r="E153" i="165"/>
  <c r="O153" i="165"/>
  <c r="J154" i="165"/>
  <c r="J107" i="167"/>
  <c r="P157" i="165" l="1"/>
  <c r="P164" i="165"/>
  <c r="P161" i="165"/>
  <c r="P154" i="165"/>
  <c r="J153" i="165"/>
  <c r="O120" i="165"/>
  <c r="J120" i="165" s="1"/>
  <c r="E120" i="165"/>
  <c r="N119" i="165"/>
  <c r="N116" i="165" s="1"/>
  <c r="M119" i="165"/>
  <c r="M116" i="165" s="1"/>
  <c r="L119" i="165"/>
  <c r="L116" i="165" s="1"/>
  <c r="K119" i="165"/>
  <c r="K116" i="165" s="1"/>
  <c r="I119" i="165"/>
  <c r="I116" i="165" s="1"/>
  <c r="H119" i="165"/>
  <c r="H116" i="165" s="1"/>
  <c r="G119" i="165"/>
  <c r="G116" i="165" s="1"/>
  <c r="F119" i="165"/>
  <c r="F116" i="165" s="1"/>
  <c r="I107" i="167" l="1"/>
  <c r="P153" i="165"/>
  <c r="E119" i="165"/>
  <c r="E116" i="165" s="1"/>
  <c r="E115" i="165" s="1"/>
  <c r="H107" i="167"/>
  <c r="J119" i="165"/>
  <c r="J116" i="165" s="1"/>
  <c r="P120" i="165"/>
  <c r="O119" i="165"/>
  <c r="O116" i="165" s="1"/>
  <c r="G107" i="167" l="1"/>
  <c r="P119" i="165"/>
  <c r="P116" i="165" s="1"/>
  <c r="J83" i="167" l="1"/>
  <c r="O79" i="165"/>
  <c r="E79" i="165"/>
  <c r="N77" i="165"/>
  <c r="M77" i="165"/>
  <c r="L77" i="165"/>
  <c r="I77" i="165"/>
  <c r="H77" i="165"/>
  <c r="G77" i="165"/>
  <c r="F77" i="165"/>
  <c r="C132" i="188"/>
  <c r="C124" i="188"/>
  <c r="C123" i="188"/>
  <c r="C122" i="188"/>
  <c r="C121" i="188"/>
  <c r="C125" i="188"/>
  <c r="F112" i="188"/>
  <c r="E112" i="188"/>
  <c r="C116" i="188"/>
  <c r="C114" i="188"/>
  <c r="H83" i="167" l="1"/>
  <c r="J79" i="165"/>
  <c r="C134" i="188"/>
  <c r="E120" i="188"/>
  <c r="C85" i="188"/>
  <c r="C20" i="188"/>
  <c r="C19" i="188"/>
  <c r="C18" i="188"/>
  <c r="P79" i="165" l="1"/>
  <c r="I83" i="167"/>
  <c r="G83" i="167" s="1"/>
  <c r="C109" i="188"/>
  <c r="C127" i="188"/>
  <c r="F120" i="188"/>
  <c r="C133" i="188"/>
  <c r="E99" i="188"/>
  <c r="F94" i="188"/>
  <c r="E94" i="188"/>
  <c r="C103" i="188"/>
  <c r="C113" i="188"/>
  <c r="C115" i="188"/>
  <c r="C117" i="188"/>
  <c r="C118" i="188"/>
  <c r="C119" i="188"/>
  <c r="C128" i="188"/>
  <c r="C130" i="188"/>
  <c r="C131" i="188"/>
  <c r="C135" i="188"/>
  <c r="C136" i="188"/>
  <c r="C137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8" i="188"/>
  <c r="F111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68" i="167"/>
  <c r="N199" i="165"/>
  <c r="N198" i="165" s="1"/>
  <c r="M199" i="165"/>
  <c r="M198" i="165" s="1"/>
  <c r="L199" i="165"/>
  <c r="L198" i="165" s="1"/>
  <c r="K199" i="165"/>
  <c r="K198" i="165" s="1"/>
  <c r="I199" i="165"/>
  <c r="I198" i="165" s="1"/>
  <c r="H199" i="165"/>
  <c r="H198" i="165" s="1"/>
  <c r="G199" i="165"/>
  <c r="G198" i="165" s="1"/>
  <c r="F199" i="165"/>
  <c r="F198" i="165" s="1"/>
  <c r="O200" i="165"/>
  <c r="E200" i="165"/>
  <c r="J90" i="167"/>
  <c r="K72" i="165"/>
  <c r="O94" i="165"/>
  <c r="E94" i="165"/>
  <c r="N93" i="165"/>
  <c r="M93" i="165"/>
  <c r="L93" i="165"/>
  <c r="K93" i="165"/>
  <c r="I93" i="165"/>
  <c r="H93" i="165"/>
  <c r="G93" i="165"/>
  <c r="F93" i="165"/>
  <c r="K73" i="165"/>
  <c r="D46" i="170"/>
  <c r="D129" i="188"/>
  <c r="D120" i="188" l="1"/>
  <c r="D111" i="188" s="1"/>
  <c r="M92" i="165"/>
  <c r="N92" i="165"/>
  <c r="F92" i="165"/>
  <c r="H168" i="167"/>
  <c r="H90" i="167"/>
  <c r="I92" i="165"/>
  <c r="L92" i="165"/>
  <c r="E93" i="165"/>
  <c r="E199" i="165"/>
  <c r="C129" i="188"/>
  <c r="H92" i="165"/>
  <c r="G92" i="165"/>
  <c r="K92" i="165"/>
  <c r="J94" i="165"/>
  <c r="J200" i="165"/>
  <c r="O199" i="165"/>
  <c r="O93" i="165"/>
  <c r="E92" i="165" l="1"/>
  <c r="P94" i="165"/>
  <c r="C120" i="188"/>
  <c r="J93" i="165"/>
  <c r="E91" i="170"/>
  <c r="I90" i="167"/>
  <c r="G90" i="167" s="1"/>
  <c r="O92" i="165"/>
  <c r="J199" i="165"/>
  <c r="I168" i="167"/>
  <c r="G168" i="167" s="1"/>
  <c r="P200" i="165"/>
  <c r="P93" i="165" l="1"/>
  <c r="P92" i="165" s="1"/>
  <c r="P199" i="165"/>
  <c r="J92" i="165"/>
  <c r="C100" i="188" l="1"/>
  <c r="F99" i="188"/>
  <c r="E98" i="188"/>
  <c r="E93" i="188" s="1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F93" i="188" s="1"/>
  <c r="C30" i="188"/>
  <c r="C79" i="188"/>
  <c r="E111" i="188"/>
  <c r="C112" i="188"/>
  <c r="C98" i="188"/>
  <c r="C93" i="188"/>
  <c r="D15" i="188" l="1"/>
  <c r="C15" i="188" s="1"/>
  <c r="D63" i="188"/>
  <c r="C29" i="188"/>
  <c r="E104" i="188"/>
  <c r="E140" i="188" s="1"/>
  <c r="C72" i="188"/>
  <c r="C111" i="188"/>
  <c r="C105" i="188"/>
  <c r="C37" i="188"/>
  <c r="F104" i="188" l="1"/>
  <c r="F140" i="188" s="1"/>
  <c r="D104" i="188"/>
  <c r="C104" i="188" s="1"/>
  <c r="C63" i="188"/>
  <c r="C39" i="172" l="1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5" i="167"/>
  <c r="N144" i="165"/>
  <c r="M144" i="165"/>
  <c r="L144" i="165"/>
  <c r="I144" i="165"/>
  <c r="H144" i="165"/>
  <c r="G144" i="165"/>
  <c r="F144" i="165"/>
  <c r="J79" i="167"/>
  <c r="I79" i="167"/>
  <c r="J78" i="167"/>
  <c r="N71" i="165"/>
  <c r="M71" i="165"/>
  <c r="L71" i="165"/>
  <c r="K71" i="165"/>
  <c r="I71" i="165"/>
  <c r="H71" i="165"/>
  <c r="G71" i="165"/>
  <c r="F71" i="165"/>
  <c r="O73" i="165"/>
  <c r="E73" i="165"/>
  <c r="C140" i="188" l="1"/>
  <c r="K144" i="165"/>
  <c r="H78" i="167"/>
  <c r="J73" i="165"/>
  <c r="F398" i="165"/>
  <c r="J272" i="167"/>
  <c r="J273" i="167"/>
  <c r="N338" i="165"/>
  <c r="M338" i="165"/>
  <c r="L338" i="165"/>
  <c r="K338" i="165"/>
  <c r="I338" i="165"/>
  <c r="H338" i="165"/>
  <c r="G338" i="165"/>
  <c r="F338" i="165"/>
  <c r="O339" i="165"/>
  <c r="E339" i="165"/>
  <c r="M283" i="167"/>
  <c r="G283" i="167"/>
  <c r="G141" i="188" l="1"/>
  <c r="J269" i="167"/>
  <c r="F396" i="165"/>
  <c r="O338" i="165"/>
  <c r="H272" i="167"/>
  <c r="J339" i="165"/>
  <c r="E338" i="165"/>
  <c r="E144" i="165"/>
  <c r="I78" i="167"/>
  <c r="G78" i="167" s="1"/>
  <c r="P73" i="165"/>
  <c r="O144" i="165"/>
  <c r="F355" i="165"/>
  <c r="N355" i="165"/>
  <c r="M355" i="165"/>
  <c r="L355" i="165"/>
  <c r="K355" i="165"/>
  <c r="I355" i="165"/>
  <c r="H355" i="165"/>
  <c r="G355" i="165"/>
  <c r="O356" i="165"/>
  <c r="E356" i="165"/>
  <c r="P144" i="165" l="1"/>
  <c r="J144" i="165"/>
  <c r="P339" i="165"/>
  <c r="G130" i="167"/>
  <c r="J356" i="165"/>
  <c r="O355" i="165"/>
  <c r="K283" i="167"/>
  <c r="E355" i="165"/>
  <c r="J338" i="165"/>
  <c r="I272" i="167"/>
  <c r="G272" i="167" l="1"/>
  <c r="P338" i="165"/>
  <c r="P356" i="165"/>
  <c r="L283" i="167"/>
  <c r="J355" i="165"/>
  <c r="P355" i="165" l="1"/>
  <c r="J52" i="167"/>
  <c r="J51" i="167" s="1"/>
  <c r="M51" i="167" s="1"/>
  <c r="I52" i="167"/>
  <c r="E78" i="165"/>
  <c r="E77" i="165"/>
  <c r="J77" i="167"/>
  <c r="O72" i="165"/>
  <c r="E72" i="165"/>
  <c r="J60" i="167"/>
  <c r="K47" i="165"/>
  <c r="I47" i="165"/>
  <c r="O50" i="165"/>
  <c r="E50" i="165"/>
  <c r="K77" i="165" l="1"/>
  <c r="J82" i="167"/>
  <c r="G47" i="165"/>
  <c r="H60" i="167"/>
  <c r="H47" i="165"/>
  <c r="O78" i="165"/>
  <c r="H82" i="167"/>
  <c r="J72" i="165"/>
  <c r="O71" i="165"/>
  <c r="E71" i="165"/>
  <c r="H77" i="167"/>
  <c r="J50" i="165"/>
  <c r="O77" i="165" l="1"/>
  <c r="P50" i="165"/>
  <c r="P72" i="165"/>
  <c r="J78" i="165"/>
  <c r="I77" i="167"/>
  <c r="G77" i="167" s="1"/>
  <c r="J71" i="165"/>
  <c r="I60" i="167"/>
  <c r="G60" i="167" s="1"/>
  <c r="P78" i="165" l="1"/>
  <c r="J77" i="165"/>
  <c r="I82" i="167"/>
  <c r="G82" i="167" s="1"/>
  <c r="P71" i="165"/>
  <c r="J259" i="167"/>
  <c r="E319" i="165"/>
  <c r="E318" i="165" l="1"/>
  <c r="P77" i="165"/>
  <c r="H317" i="165"/>
  <c r="N317" i="165"/>
  <c r="I317" i="165"/>
  <c r="G317" i="165"/>
  <c r="M317" i="165"/>
  <c r="L317" i="165"/>
  <c r="H259" i="167"/>
  <c r="F317" i="165"/>
  <c r="K317" i="165"/>
  <c r="O317" i="165" l="1"/>
  <c r="E317" i="165"/>
  <c r="I259" i="167"/>
  <c r="G259" i="167" s="1"/>
  <c r="P319" i="165"/>
  <c r="P318" i="165" l="1"/>
  <c r="J317" i="165"/>
  <c r="P317" i="165" l="1"/>
  <c r="J307" i="167"/>
  <c r="I307" i="167"/>
  <c r="H308" i="167"/>
  <c r="G308" i="167" s="1"/>
  <c r="J76" i="167" l="1"/>
  <c r="O70" i="165"/>
  <c r="E70" i="165"/>
  <c r="N68" i="165"/>
  <c r="M68" i="165"/>
  <c r="L68" i="165"/>
  <c r="K68" i="165"/>
  <c r="I68" i="165"/>
  <c r="H68" i="165"/>
  <c r="G68" i="165"/>
  <c r="J28" i="167"/>
  <c r="M28" i="167" s="1"/>
  <c r="J25" i="165"/>
  <c r="E25" i="165"/>
  <c r="N23" i="165"/>
  <c r="M23" i="165"/>
  <c r="L23" i="165"/>
  <c r="K23" i="165"/>
  <c r="I23" i="165"/>
  <c r="H23" i="165"/>
  <c r="G23" i="165"/>
  <c r="F23" i="165"/>
  <c r="I28" i="167" l="1"/>
  <c r="L28" i="167" s="1"/>
  <c r="H76" i="167"/>
  <c r="J70" i="165"/>
  <c r="P25" i="165"/>
  <c r="H28" i="167"/>
  <c r="P70" i="165" l="1"/>
  <c r="I76" i="167"/>
  <c r="G76" i="167" s="1"/>
  <c r="K28" i="167"/>
  <c r="G28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I43" i="184" l="1"/>
  <c r="I105" i="184" s="1"/>
  <c r="M105" i="184" s="1"/>
  <c r="I39" i="184"/>
  <c r="H37" i="184" l="1"/>
  <c r="H36" i="184" s="1"/>
  <c r="I36" i="184"/>
  <c r="J12" i="184"/>
  <c r="J11" i="184" s="1"/>
  <c r="J39" i="184"/>
  <c r="J37" i="184"/>
  <c r="J36" i="184" s="1"/>
  <c r="J43" i="184" l="1"/>
  <c r="J89" i="184"/>
  <c r="J52" i="184"/>
  <c r="F35" i="172"/>
  <c r="F32" i="172" s="1"/>
  <c r="E35" i="172"/>
  <c r="E32" i="172" s="1"/>
  <c r="C40" i="172"/>
  <c r="C37" i="172" s="1"/>
  <c r="C28" i="172"/>
  <c r="C27" i="172"/>
  <c r="J105" i="184" l="1"/>
  <c r="N105" i="184" s="1"/>
  <c r="C26" i="172"/>
  <c r="C25" i="172" s="1"/>
  <c r="C35" i="172"/>
  <c r="C32" i="172" s="1"/>
  <c r="N283" i="165"/>
  <c r="M283" i="165"/>
  <c r="L283" i="165"/>
  <c r="I283" i="165"/>
  <c r="H283" i="165"/>
  <c r="G283" i="165"/>
  <c r="C31" i="172" l="1"/>
  <c r="H282" i="165"/>
  <c r="L282" i="165"/>
  <c r="I282" i="165"/>
  <c r="M282" i="165"/>
  <c r="G282" i="165"/>
  <c r="N282" i="165"/>
  <c r="J81" i="167" l="1"/>
  <c r="O76" i="165"/>
  <c r="E76" i="165" l="1"/>
  <c r="J76" i="165"/>
  <c r="E124" i="165"/>
  <c r="O124" i="165"/>
  <c r="J124" i="165" s="1"/>
  <c r="H81" i="167" l="1"/>
  <c r="I81" i="167"/>
  <c r="K283" i="165"/>
  <c r="P76" i="165"/>
  <c r="P124" i="165"/>
  <c r="G81" i="167" l="1"/>
  <c r="K282" i="165"/>
  <c r="G290" i="167" l="1"/>
  <c r="G48" i="167" l="1"/>
  <c r="G43" i="167" l="1"/>
  <c r="G42" i="167"/>
  <c r="G41" i="167"/>
  <c r="G40" i="167"/>
  <c r="E42" i="165"/>
  <c r="G289" i="167"/>
  <c r="K39" i="167" l="1"/>
  <c r="O42" i="165"/>
  <c r="J42" i="165" l="1"/>
  <c r="L39" i="167" l="1"/>
  <c r="E87" i="170"/>
  <c r="P42" i="165"/>
  <c r="N54" i="165"/>
  <c r="M54" i="165"/>
  <c r="L54" i="165"/>
  <c r="I54" i="165"/>
  <c r="H54" i="165"/>
  <c r="G54" i="165"/>
  <c r="F54" i="165"/>
  <c r="E56" i="165"/>
  <c r="J202" i="167"/>
  <c r="O251" i="165"/>
  <c r="E251" i="165"/>
  <c r="K54" i="165" l="1"/>
  <c r="H202" i="167"/>
  <c r="E54" i="165"/>
  <c r="O56" i="165"/>
  <c r="H63" i="167"/>
  <c r="J251" i="165"/>
  <c r="J63" i="167"/>
  <c r="J56" i="165" l="1"/>
  <c r="O54" i="165"/>
  <c r="P251" i="165"/>
  <c r="I202" i="167"/>
  <c r="G202" i="167" s="1"/>
  <c r="J54" i="165" l="1"/>
  <c r="P54" i="165" s="1"/>
  <c r="P56" i="165"/>
  <c r="I63" i="167"/>
  <c r="G63" i="167" s="1"/>
  <c r="J252" i="167" l="1"/>
  <c r="J249" i="167"/>
  <c r="N299" i="165" l="1"/>
  <c r="M299" i="165"/>
  <c r="L299" i="165"/>
  <c r="K299" i="165"/>
  <c r="I299" i="165"/>
  <c r="G299" i="165"/>
  <c r="O302" i="165"/>
  <c r="E302" i="165"/>
  <c r="O310" i="165"/>
  <c r="E310" i="165"/>
  <c r="J310" i="165" l="1"/>
  <c r="H249" i="167"/>
  <c r="J302" i="165"/>
  <c r="H252" i="167"/>
  <c r="N177" i="165"/>
  <c r="M177" i="165"/>
  <c r="L177" i="165"/>
  <c r="I177" i="165"/>
  <c r="H177" i="165"/>
  <c r="G177" i="165"/>
  <c r="F177" i="165"/>
  <c r="G116" i="167"/>
  <c r="P310" i="165" l="1"/>
  <c r="K177" i="165"/>
  <c r="H176" i="165"/>
  <c r="M176" i="165"/>
  <c r="I176" i="165"/>
  <c r="N176" i="165"/>
  <c r="P302" i="165"/>
  <c r="I249" i="167"/>
  <c r="F176" i="165"/>
  <c r="O178" i="165"/>
  <c r="J148" i="167"/>
  <c r="G176" i="165"/>
  <c r="L176" i="165"/>
  <c r="I252" i="167"/>
  <c r="G252" i="167" s="1"/>
  <c r="K176" i="165" l="1"/>
  <c r="J178" i="165"/>
  <c r="G249" i="167"/>
  <c r="O177" i="165"/>
  <c r="J177" i="165" l="1"/>
  <c r="I148" i="167"/>
  <c r="O176" i="165"/>
  <c r="J125" i="167"/>
  <c r="O139" i="165"/>
  <c r="E139" i="165"/>
  <c r="J117" i="167"/>
  <c r="J118" i="167"/>
  <c r="N127" i="165"/>
  <c r="M127" i="165"/>
  <c r="L127" i="165"/>
  <c r="I127" i="165"/>
  <c r="G127" i="165"/>
  <c r="J130" i="165"/>
  <c r="E130" i="165"/>
  <c r="J176" i="165" l="1"/>
  <c r="I118" i="167"/>
  <c r="H125" i="167"/>
  <c r="J139" i="165"/>
  <c r="K127" i="165"/>
  <c r="P130" i="165"/>
  <c r="H118" i="167"/>
  <c r="I125" i="167" l="1"/>
  <c r="G125" i="167" s="1"/>
  <c r="G118" i="167"/>
  <c r="P139" i="165"/>
  <c r="F296" i="165"/>
  <c r="G296" i="165"/>
  <c r="H296" i="165"/>
  <c r="J208" i="167"/>
  <c r="O259" i="165"/>
  <c r="E259" i="165"/>
  <c r="F283" i="165" l="1"/>
  <c r="O283" i="165"/>
  <c r="H208" i="167"/>
  <c r="J259" i="165"/>
  <c r="P259" i="165" l="1"/>
  <c r="F282" i="165"/>
  <c r="O282" i="165"/>
  <c r="I208" i="167"/>
  <c r="G208" i="167" s="1"/>
  <c r="F127" i="165" l="1"/>
  <c r="J170" i="167" l="1"/>
  <c r="O202" i="165" l="1"/>
  <c r="O198" i="165" s="1"/>
  <c r="E202" i="165"/>
  <c r="E198" i="165" s="1"/>
  <c r="E197" i="165" s="1"/>
  <c r="L197" i="165"/>
  <c r="G158" i="167"/>
  <c r="M197" i="165" l="1"/>
  <c r="K197" i="165"/>
  <c r="I197" i="165"/>
  <c r="N197" i="165"/>
  <c r="F197" i="165"/>
  <c r="H170" i="167"/>
  <c r="G197" i="165"/>
  <c r="H197" i="165"/>
  <c r="J202" i="165"/>
  <c r="J198" i="165" s="1"/>
  <c r="O197" i="165" l="1"/>
  <c r="I170" i="167"/>
  <c r="G170" i="167" s="1"/>
  <c r="P202" i="165"/>
  <c r="P198" i="165" s="1"/>
  <c r="J197" i="165" l="1"/>
  <c r="P197" i="165" l="1"/>
  <c r="G302" i="167"/>
  <c r="D36" i="108"/>
  <c r="E36" i="108" l="1"/>
  <c r="F299" i="165"/>
  <c r="J32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32" i="167" l="1"/>
  <c r="H32" i="167"/>
  <c r="J28" i="165"/>
  <c r="P31" i="165"/>
  <c r="J267" i="167"/>
  <c r="J263" i="167" s="1"/>
  <c r="G32" i="167" l="1"/>
  <c r="O330" i="165"/>
  <c r="E330" i="165"/>
  <c r="N329" i="165"/>
  <c r="M329" i="165"/>
  <c r="L329" i="165"/>
  <c r="K329" i="165"/>
  <c r="I329" i="165"/>
  <c r="H329" i="165"/>
  <c r="G329" i="165"/>
  <c r="F329" i="165"/>
  <c r="L328" i="165" l="1"/>
  <c r="N328" i="165"/>
  <c r="H328" i="165"/>
  <c r="M328" i="165"/>
  <c r="F328" i="165"/>
  <c r="K328" i="165"/>
  <c r="J330" i="165"/>
  <c r="G328" i="165"/>
  <c r="I328" i="165"/>
  <c r="E329" i="165"/>
  <c r="H267" i="167"/>
  <c r="O329" i="165"/>
  <c r="J329" i="165" l="1"/>
  <c r="P330" i="165"/>
  <c r="E328" i="165"/>
  <c r="O328" i="165"/>
  <c r="I267" i="167"/>
  <c r="G267" i="167" l="1"/>
  <c r="I263" i="167"/>
  <c r="J328" i="165"/>
  <c r="P329" i="165"/>
  <c r="P328" i="165" l="1"/>
  <c r="J292" i="167" l="1"/>
  <c r="J281" i="167" s="1"/>
  <c r="O368" i="165" l="1"/>
  <c r="E368" i="165"/>
  <c r="E82" i="170" s="1"/>
  <c r="N367" i="165"/>
  <c r="M367" i="165"/>
  <c r="L367" i="165"/>
  <c r="K367" i="165"/>
  <c r="I367" i="165"/>
  <c r="H367" i="165"/>
  <c r="G367" i="165"/>
  <c r="F367" i="165"/>
  <c r="M366" i="165" l="1"/>
  <c r="N366" i="165"/>
  <c r="H366" i="165"/>
  <c r="I366" i="165"/>
  <c r="F366" i="165"/>
  <c r="K366" i="165"/>
  <c r="H292" i="167"/>
  <c r="H281" i="167" s="1"/>
  <c r="G366" i="165"/>
  <c r="L366" i="165"/>
  <c r="J368" i="165"/>
  <c r="O367" i="165"/>
  <c r="E367" i="165"/>
  <c r="E93" i="170" l="1"/>
  <c r="E366" i="165"/>
  <c r="J367" i="165"/>
  <c r="I292" i="167"/>
  <c r="I281" i="167" s="1"/>
  <c r="P368" i="165"/>
  <c r="O366" i="165"/>
  <c r="G292" i="167" l="1"/>
  <c r="P367" i="165"/>
  <c r="J366" i="165"/>
  <c r="P366" i="165" l="1"/>
  <c r="J132" i="167" l="1"/>
  <c r="N147" i="165"/>
  <c r="M147" i="165"/>
  <c r="L147" i="165"/>
  <c r="K147" i="165"/>
  <c r="I147" i="165"/>
  <c r="H147" i="165"/>
  <c r="G147" i="165"/>
  <c r="F147" i="165"/>
  <c r="J126" i="167"/>
  <c r="J124" i="167"/>
  <c r="E147" i="165" l="1"/>
  <c r="O147" i="165"/>
  <c r="J147" i="165" l="1"/>
  <c r="F17" i="165" l="1"/>
  <c r="P147" i="165"/>
  <c r="G224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404" i="165"/>
  <c r="M404" i="165"/>
  <c r="L404" i="165"/>
  <c r="K404" i="165"/>
  <c r="I404" i="165"/>
  <c r="H404" i="165"/>
  <c r="G404" i="165"/>
  <c r="F404" i="165"/>
  <c r="N398" i="165"/>
  <c r="M398" i="165"/>
  <c r="L398" i="165"/>
  <c r="K398" i="165"/>
  <c r="I398" i="165"/>
  <c r="H398" i="165"/>
  <c r="G398" i="165"/>
  <c r="O397" i="165"/>
  <c r="N390" i="165"/>
  <c r="M390" i="165"/>
  <c r="L390" i="165"/>
  <c r="K390" i="165"/>
  <c r="I390" i="165"/>
  <c r="G390" i="165"/>
  <c r="O384" i="165"/>
  <c r="N384" i="165"/>
  <c r="M384" i="165"/>
  <c r="L384" i="165"/>
  <c r="K384" i="165"/>
  <c r="I384" i="165"/>
  <c r="H384" i="165"/>
  <c r="G384" i="165"/>
  <c r="F384" i="165"/>
  <c r="N386" i="165"/>
  <c r="M386" i="165"/>
  <c r="L386" i="165"/>
  <c r="K386" i="165"/>
  <c r="I386" i="165"/>
  <c r="H386" i="165"/>
  <c r="G386" i="165"/>
  <c r="F386" i="165"/>
  <c r="N381" i="165"/>
  <c r="M381" i="165"/>
  <c r="L381" i="165"/>
  <c r="K381" i="165"/>
  <c r="I381" i="165"/>
  <c r="G381" i="165"/>
  <c r="F381" i="165"/>
  <c r="N371" i="165"/>
  <c r="M371" i="165"/>
  <c r="L371" i="165"/>
  <c r="K371" i="165"/>
  <c r="I371" i="165"/>
  <c r="G371" i="165"/>
  <c r="N64" i="165"/>
  <c r="M64" i="165"/>
  <c r="L64" i="165"/>
  <c r="K64" i="165"/>
  <c r="I64" i="165"/>
  <c r="M61" i="165"/>
  <c r="K61" i="165"/>
  <c r="I61" i="165"/>
  <c r="M58" i="165"/>
  <c r="K58" i="165"/>
  <c r="I58" i="165"/>
  <c r="N361" i="165"/>
  <c r="M361" i="165"/>
  <c r="L361" i="165"/>
  <c r="I361" i="165"/>
  <c r="H361" i="165"/>
  <c r="G361" i="165"/>
  <c r="N340" i="165"/>
  <c r="M340" i="165"/>
  <c r="L340" i="165"/>
  <c r="K340" i="165"/>
  <c r="I340" i="165"/>
  <c r="H340" i="165"/>
  <c r="G340" i="165"/>
  <c r="F340" i="165"/>
  <c r="N333" i="165"/>
  <c r="M333" i="165"/>
  <c r="L333" i="165"/>
  <c r="K333" i="165"/>
  <c r="I333" i="165"/>
  <c r="G333" i="165"/>
  <c r="N311" i="165"/>
  <c r="M311" i="165"/>
  <c r="L311" i="165"/>
  <c r="K311" i="165"/>
  <c r="I311" i="165"/>
  <c r="H311" i="165"/>
  <c r="G311" i="165"/>
  <c r="F311" i="165"/>
  <c r="N306" i="165"/>
  <c r="M306" i="165"/>
  <c r="L306" i="165"/>
  <c r="I306" i="165"/>
  <c r="H306" i="165"/>
  <c r="G306" i="165"/>
  <c r="F306" i="165"/>
  <c r="H337" i="165" l="1"/>
  <c r="M337" i="165"/>
  <c r="I337" i="165"/>
  <c r="N337" i="165"/>
  <c r="G337" i="165"/>
  <c r="L337" i="165"/>
  <c r="F337" i="165"/>
  <c r="K337" i="165"/>
  <c r="I396" i="165"/>
  <c r="N396" i="165"/>
  <c r="K396" i="165"/>
  <c r="L396" i="165"/>
  <c r="G396" i="165"/>
  <c r="H396" i="165"/>
  <c r="M396" i="165"/>
  <c r="L403" i="165"/>
  <c r="G403" i="165"/>
  <c r="K45" i="165"/>
  <c r="I45" i="165"/>
  <c r="M323" i="165"/>
  <c r="G357" i="165"/>
  <c r="M357" i="165"/>
  <c r="H403" i="165"/>
  <c r="M403" i="165"/>
  <c r="G305" i="165"/>
  <c r="I305" i="165"/>
  <c r="F309" i="165"/>
  <c r="G323" i="165"/>
  <c r="F305" i="165"/>
  <c r="L305" i="165"/>
  <c r="G309" i="165"/>
  <c r="L309" i="165"/>
  <c r="I323" i="165"/>
  <c r="N323" i="165"/>
  <c r="H357" i="165"/>
  <c r="N357" i="165"/>
  <c r="I403" i="165"/>
  <c r="N403" i="165"/>
  <c r="M305" i="165"/>
  <c r="M309" i="165"/>
  <c r="K323" i="165"/>
  <c r="I357" i="165"/>
  <c r="J397" i="165"/>
  <c r="F403" i="165"/>
  <c r="K403" i="165"/>
  <c r="H309" i="165"/>
  <c r="H305" i="165"/>
  <c r="N305" i="165"/>
  <c r="I309" i="165"/>
  <c r="N309" i="165"/>
  <c r="L323" i="165"/>
  <c r="L357" i="165"/>
  <c r="K309" i="165"/>
  <c r="H383" i="165"/>
  <c r="K383" i="165"/>
  <c r="G383" i="165"/>
  <c r="L383" i="165"/>
  <c r="I383" i="165"/>
  <c r="M383" i="165"/>
  <c r="F383" i="165"/>
  <c r="N383" i="165"/>
  <c r="N293" i="165"/>
  <c r="M293" i="165"/>
  <c r="L293" i="165"/>
  <c r="K293" i="165"/>
  <c r="I293" i="165"/>
  <c r="F293" i="165"/>
  <c r="N280" i="165"/>
  <c r="M280" i="165"/>
  <c r="L280" i="165"/>
  <c r="K280" i="165"/>
  <c r="I280" i="165"/>
  <c r="H280" i="165"/>
  <c r="G280" i="165"/>
  <c r="F280" i="165"/>
  <c r="N273" i="165"/>
  <c r="M273" i="165"/>
  <c r="L273" i="165"/>
  <c r="K273" i="165"/>
  <c r="I273" i="165"/>
  <c r="H273" i="165"/>
  <c r="G273" i="165"/>
  <c r="N268" i="165"/>
  <c r="M268" i="165"/>
  <c r="L268" i="165"/>
  <c r="K268" i="165"/>
  <c r="I268" i="165"/>
  <c r="G268" i="165"/>
  <c r="N260" i="165"/>
  <c r="M260" i="165"/>
  <c r="L260" i="165"/>
  <c r="K260" i="165"/>
  <c r="I260" i="165"/>
  <c r="H260" i="165"/>
  <c r="G260" i="165"/>
  <c r="F260" i="165"/>
  <c r="N247" i="165"/>
  <c r="N246" i="165" s="1"/>
  <c r="M247" i="165"/>
  <c r="M246" i="165" s="1"/>
  <c r="L247" i="165"/>
  <c r="L246" i="165" s="1"/>
  <c r="I247" i="165"/>
  <c r="I246" i="165" s="1"/>
  <c r="H247" i="165"/>
  <c r="H246" i="165" s="1"/>
  <c r="G247" i="165"/>
  <c r="G246" i="165" s="1"/>
  <c r="F247" i="165"/>
  <c r="N228" i="165"/>
  <c r="M228" i="165"/>
  <c r="L228" i="165"/>
  <c r="K228" i="165"/>
  <c r="I228" i="165"/>
  <c r="H228" i="165"/>
  <c r="G228" i="165"/>
  <c r="F228" i="165"/>
  <c r="N223" i="165"/>
  <c r="M223" i="165"/>
  <c r="L223" i="165"/>
  <c r="I223" i="165"/>
  <c r="H223" i="165"/>
  <c r="G223" i="165"/>
  <c r="M220" i="165"/>
  <c r="I220" i="165"/>
  <c r="G220" i="165"/>
  <c r="N218" i="165"/>
  <c r="M218" i="165"/>
  <c r="L218" i="165"/>
  <c r="K218" i="165"/>
  <c r="I218" i="165"/>
  <c r="H218" i="165"/>
  <c r="G218" i="165"/>
  <c r="N215" i="165"/>
  <c r="M215" i="165"/>
  <c r="L215" i="165"/>
  <c r="K215" i="165"/>
  <c r="I215" i="165"/>
  <c r="H215" i="165"/>
  <c r="G215" i="165"/>
  <c r="M211" i="165"/>
  <c r="I211" i="165"/>
  <c r="G211" i="165"/>
  <c r="N209" i="165"/>
  <c r="M209" i="165"/>
  <c r="L209" i="165"/>
  <c r="K209" i="165"/>
  <c r="I209" i="165"/>
  <c r="G209" i="165"/>
  <c r="N204" i="165"/>
  <c r="M204" i="165"/>
  <c r="L204" i="165"/>
  <c r="K204" i="165"/>
  <c r="I204" i="165"/>
  <c r="H204" i="165"/>
  <c r="G204" i="165"/>
  <c r="F204" i="165"/>
  <c r="N194" i="165"/>
  <c r="M194" i="165"/>
  <c r="K194" i="165"/>
  <c r="I194" i="165"/>
  <c r="G194" i="165"/>
  <c r="M186" i="165"/>
  <c r="K186" i="165"/>
  <c r="I186" i="165"/>
  <c r="N181" i="165"/>
  <c r="N179" i="165" s="1"/>
  <c r="M181" i="165"/>
  <c r="M179" i="165" s="1"/>
  <c r="L181" i="165"/>
  <c r="L179" i="165" s="1"/>
  <c r="K181" i="165"/>
  <c r="K179" i="165" s="1"/>
  <c r="I181" i="165"/>
  <c r="I179" i="165" s="1"/>
  <c r="H181" i="165"/>
  <c r="H179" i="165" s="1"/>
  <c r="G181" i="165"/>
  <c r="G179" i="165" s="1"/>
  <c r="F181" i="165"/>
  <c r="F179" i="165" s="1"/>
  <c r="M168" i="165"/>
  <c r="I168" i="165"/>
  <c r="N150" i="165"/>
  <c r="M150" i="165"/>
  <c r="L150" i="165"/>
  <c r="K150" i="165"/>
  <c r="I150" i="165"/>
  <c r="H150" i="165"/>
  <c r="G150" i="165"/>
  <c r="M141" i="165"/>
  <c r="K141" i="165"/>
  <c r="I141" i="165"/>
  <c r="F141" i="165"/>
  <c r="N132" i="165"/>
  <c r="M132" i="165"/>
  <c r="L132" i="165"/>
  <c r="K132" i="165"/>
  <c r="I132" i="165"/>
  <c r="H132" i="165"/>
  <c r="G132" i="165"/>
  <c r="F246" i="165" l="1"/>
  <c r="L389" i="165"/>
  <c r="M389" i="165"/>
  <c r="K389" i="165"/>
  <c r="N389" i="165"/>
  <c r="G389" i="165"/>
  <c r="I389" i="165"/>
  <c r="H336" i="165"/>
  <c r="L336" i="165"/>
  <c r="F336" i="165"/>
  <c r="N336" i="165"/>
  <c r="M336" i="165"/>
  <c r="G336" i="165"/>
  <c r="K336" i="165"/>
  <c r="I336" i="165"/>
  <c r="K272" i="165"/>
  <c r="N227" i="165"/>
  <c r="I272" i="165"/>
  <c r="G272" i="165"/>
  <c r="L272" i="165"/>
  <c r="N272" i="165"/>
  <c r="H272" i="165"/>
  <c r="M272" i="165"/>
  <c r="I230" i="165"/>
  <c r="K230" i="165"/>
  <c r="L230" i="165"/>
  <c r="M230" i="165"/>
  <c r="N230" i="165"/>
  <c r="M131" i="165"/>
  <c r="F230" i="165"/>
  <c r="G230" i="165"/>
  <c r="H230" i="165"/>
  <c r="I131" i="165"/>
  <c r="N308" i="165"/>
  <c r="N298" i="165" s="1"/>
  <c r="H308" i="165"/>
  <c r="I354" i="165"/>
  <c r="I351" i="165" s="1"/>
  <c r="M354" i="165"/>
  <c r="M351" i="165" s="1"/>
  <c r="K308" i="165"/>
  <c r="I308" i="165"/>
  <c r="I298" i="165" s="1"/>
  <c r="G354" i="165"/>
  <c r="G351" i="165" s="1"/>
  <c r="L354" i="165"/>
  <c r="L351" i="165" s="1"/>
  <c r="M308" i="165"/>
  <c r="M298" i="165" s="1"/>
  <c r="N354" i="165"/>
  <c r="N351" i="165" s="1"/>
  <c r="L308" i="165"/>
  <c r="L298" i="165" s="1"/>
  <c r="H354" i="165"/>
  <c r="H351" i="165" s="1"/>
  <c r="G308" i="165"/>
  <c r="G298" i="165" s="1"/>
  <c r="F308" i="165"/>
  <c r="F298" i="165" s="1"/>
  <c r="F171" i="165"/>
  <c r="K171" i="165"/>
  <c r="I188" i="165"/>
  <c r="F203" i="165"/>
  <c r="K203" i="165"/>
  <c r="M208" i="165"/>
  <c r="I227" i="165"/>
  <c r="L292" i="165"/>
  <c r="F380" i="165"/>
  <c r="L380" i="165"/>
  <c r="M374" i="165"/>
  <c r="M370" i="165" s="1"/>
  <c r="L374" i="165"/>
  <c r="L370" i="165" s="1"/>
  <c r="G171" i="165"/>
  <c r="L171" i="165"/>
  <c r="G203" i="165"/>
  <c r="L203" i="165"/>
  <c r="F227" i="165"/>
  <c r="K227" i="165"/>
  <c r="F292" i="165"/>
  <c r="M292" i="165"/>
  <c r="M380" i="165"/>
  <c r="G380" i="165"/>
  <c r="N374" i="165"/>
  <c r="N370" i="165" s="1"/>
  <c r="K374" i="165"/>
  <c r="K370" i="165" s="1"/>
  <c r="H171" i="165"/>
  <c r="M171" i="165"/>
  <c r="M188" i="165"/>
  <c r="H203" i="165"/>
  <c r="M203" i="165"/>
  <c r="G227" i="165"/>
  <c r="L227" i="165"/>
  <c r="I292" i="165"/>
  <c r="N292" i="165"/>
  <c r="I380" i="165"/>
  <c r="H374" i="165"/>
  <c r="G374" i="165"/>
  <c r="I171" i="165"/>
  <c r="N171" i="165"/>
  <c r="G188" i="165"/>
  <c r="I203" i="165"/>
  <c r="N203" i="165"/>
  <c r="H227" i="165"/>
  <c r="M227" i="165"/>
  <c r="K292" i="165"/>
  <c r="N380" i="165"/>
  <c r="K380" i="165"/>
  <c r="I374" i="165"/>
  <c r="I370" i="165" s="1"/>
  <c r="F374" i="165"/>
  <c r="I257" i="165"/>
  <c r="F257" i="165"/>
  <c r="K257" i="165"/>
  <c r="G257" i="165"/>
  <c r="L257" i="165"/>
  <c r="N257" i="165"/>
  <c r="G208" i="165"/>
  <c r="H257" i="165"/>
  <c r="M257" i="165"/>
  <c r="I214" i="165"/>
  <c r="M214" i="165"/>
  <c r="G214" i="165"/>
  <c r="I208" i="165"/>
  <c r="N110" i="165"/>
  <c r="M110" i="165"/>
  <c r="L110" i="165"/>
  <c r="K110" i="165"/>
  <c r="I110" i="165"/>
  <c r="N108" i="165"/>
  <c r="M108" i="165"/>
  <c r="L108" i="165"/>
  <c r="K108" i="165"/>
  <c r="I108" i="165"/>
  <c r="H108" i="165"/>
  <c r="G108" i="165"/>
  <c r="F108" i="165"/>
  <c r="N106" i="165"/>
  <c r="M106" i="165"/>
  <c r="L106" i="165"/>
  <c r="K106" i="165"/>
  <c r="I106" i="165"/>
  <c r="H106" i="165"/>
  <c r="G106" i="165"/>
  <c r="F106" i="165"/>
  <c r="O105" i="165"/>
  <c r="K44" i="165"/>
  <c r="I44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73" i="167"/>
  <c r="J72" i="167"/>
  <c r="J70" i="167"/>
  <c r="M70" i="167" s="1"/>
  <c r="J69" i="167"/>
  <c r="G32" i="165" l="1"/>
  <c r="L32" i="165"/>
  <c r="H32" i="165"/>
  <c r="M32" i="165"/>
  <c r="I32" i="165"/>
  <c r="N32" i="165"/>
  <c r="F32" i="165"/>
  <c r="K32" i="165"/>
  <c r="K254" i="165"/>
  <c r="N254" i="165"/>
  <c r="N241" i="165" s="1"/>
  <c r="F254" i="165"/>
  <c r="F241" i="165" s="1"/>
  <c r="M254" i="165"/>
  <c r="M241" i="165" s="1"/>
  <c r="L254" i="165"/>
  <c r="L241" i="165" s="1"/>
  <c r="I254" i="165"/>
  <c r="I241" i="165" s="1"/>
  <c r="H254" i="165"/>
  <c r="H241" i="165" s="1"/>
  <c r="G254" i="165"/>
  <c r="G241" i="165" s="1"/>
  <c r="N279" i="165"/>
  <c r="M207" i="165"/>
  <c r="G207" i="165"/>
  <c r="I207" i="165"/>
  <c r="F115" i="165"/>
  <c r="G115" i="165"/>
  <c r="H115" i="165"/>
  <c r="I115" i="165"/>
  <c r="L115" i="165"/>
  <c r="M115" i="165"/>
  <c r="N115" i="165"/>
  <c r="H279" i="165"/>
  <c r="L279" i="165"/>
  <c r="K279" i="165"/>
  <c r="M279" i="165"/>
  <c r="I279" i="165"/>
  <c r="I185" i="165"/>
  <c r="M185" i="165"/>
  <c r="G279" i="165"/>
  <c r="F279" i="165"/>
  <c r="I22" i="165"/>
  <c r="N22" i="165"/>
  <c r="E36" i="165"/>
  <c r="N38" i="165"/>
  <c r="F22" i="165"/>
  <c r="K22" i="165"/>
  <c r="F38" i="165"/>
  <c r="K38" i="165"/>
  <c r="I175" i="165"/>
  <c r="H175" i="165"/>
  <c r="L175" i="165"/>
  <c r="G22" i="165"/>
  <c r="G38" i="165"/>
  <c r="K175" i="165"/>
  <c r="L38" i="165"/>
  <c r="H22" i="165"/>
  <c r="H38" i="165"/>
  <c r="M38" i="165"/>
  <c r="J105" i="165"/>
  <c r="N175" i="165"/>
  <c r="M175" i="165"/>
  <c r="G175" i="165"/>
  <c r="I38" i="165"/>
  <c r="F175" i="165"/>
  <c r="M22" i="165"/>
  <c r="I100" i="165"/>
  <c r="N100" i="165"/>
  <c r="L26" i="165"/>
  <c r="L100" i="165"/>
  <c r="K100" i="165"/>
  <c r="M100" i="165"/>
  <c r="G71" i="167"/>
  <c r="J68" i="167"/>
  <c r="I96" i="165" l="1"/>
  <c r="L96" i="165"/>
  <c r="M96" i="165"/>
  <c r="N96" i="165"/>
  <c r="N267" i="165"/>
  <c r="E32" i="165"/>
  <c r="K267" i="165"/>
  <c r="L267" i="165"/>
  <c r="M126" i="165"/>
  <c r="M267" i="165"/>
  <c r="I267" i="165"/>
  <c r="M16" i="165"/>
  <c r="N16" i="165"/>
  <c r="I16" i="165"/>
  <c r="I126" i="165"/>
  <c r="L22" i="165"/>
  <c r="J61" i="167"/>
  <c r="L16" i="165" l="1"/>
  <c r="O66" i="165"/>
  <c r="G58" i="165"/>
  <c r="F58" i="165"/>
  <c r="J60" i="165"/>
  <c r="E60" i="165"/>
  <c r="O52" i="165"/>
  <c r="E52" i="165"/>
  <c r="J75" i="167"/>
  <c r="E51" i="165" l="1"/>
  <c r="O51" i="165"/>
  <c r="E66" i="165"/>
  <c r="H68" i="167"/>
  <c r="J66" i="165"/>
  <c r="I68" i="167"/>
  <c r="F64" i="165"/>
  <c r="G64" i="165"/>
  <c r="H61" i="167"/>
  <c r="P60" i="165"/>
  <c r="F68" i="165"/>
  <c r="O69" i="165"/>
  <c r="J58" i="167"/>
  <c r="M58" i="167" s="1"/>
  <c r="J74" i="167"/>
  <c r="M47" i="165" l="1"/>
  <c r="O68" i="165"/>
  <c r="G68" i="167"/>
  <c r="I73" i="167"/>
  <c r="H73" i="167"/>
  <c r="E69" i="165"/>
  <c r="P66" i="165"/>
  <c r="M54" i="167"/>
  <c r="J69" i="165"/>
  <c r="J52" i="165"/>
  <c r="O67" i="165"/>
  <c r="E67" i="165"/>
  <c r="H61" i="165"/>
  <c r="F61" i="165"/>
  <c r="J80" i="167"/>
  <c r="O75" i="165"/>
  <c r="J51" i="165" l="1"/>
  <c r="M45" i="165"/>
  <c r="F45" i="165"/>
  <c r="P69" i="165"/>
  <c r="G73" i="167"/>
  <c r="H74" i="167"/>
  <c r="E68" i="165"/>
  <c r="J67" i="165"/>
  <c r="I75" i="167"/>
  <c r="G61" i="165"/>
  <c r="E75" i="165"/>
  <c r="J75" i="165"/>
  <c r="H75" i="167"/>
  <c r="I61" i="167"/>
  <c r="G61" i="167" s="1"/>
  <c r="J68" i="165"/>
  <c r="P52" i="165"/>
  <c r="O392" i="165"/>
  <c r="E392" i="165"/>
  <c r="I306" i="167"/>
  <c r="H371" i="165"/>
  <c r="H370" i="165" s="1"/>
  <c r="O373" i="165"/>
  <c r="E373" i="165"/>
  <c r="F333" i="165"/>
  <c r="O335" i="165"/>
  <c r="E335" i="165"/>
  <c r="O326" i="165"/>
  <c r="E326" i="165"/>
  <c r="O301" i="165"/>
  <c r="E301" i="165"/>
  <c r="F268" i="165"/>
  <c r="O270" i="165"/>
  <c r="E270" i="165"/>
  <c r="O129" i="165"/>
  <c r="E129" i="165"/>
  <c r="M44" i="165" l="1"/>
  <c r="F44" i="165"/>
  <c r="P51" i="165"/>
  <c r="G45" i="165"/>
  <c r="P68" i="165"/>
  <c r="P67" i="165"/>
  <c r="P75" i="165"/>
  <c r="H271" i="167"/>
  <c r="H248" i="167"/>
  <c r="J326" i="165"/>
  <c r="H215" i="167"/>
  <c r="G215" i="167" s="1"/>
  <c r="J301" i="165"/>
  <c r="F323" i="165"/>
  <c r="H296" i="167"/>
  <c r="F390" i="165"/>
  <c r="I80" i="167"/>
  <c r="G75" i="167"/>
  <c r="J270" i="165"/>
  <c r="J373" i="165"/>
  <c r="H265" i="167"/>
  <c r="H263" i="167" s="1"/>
  <c r="J335" i="165"/>
  <c r="F371" i="165"/>
  <c r="F370" i="165" s="1"/>
  <c r="H309" i="167"/>
  <c r="J129" i="165"/>
  <c r="J392" i="165"/>
  <c r="H80" i="167"/>
  <c r="I74" i="167"/>
  <c r="G74" i="167" s="1"/>
  <c r="H117" i="167"/>
  <c r="J306" i="167"/>
  <c r="G296" i="167" l="1"/>
  <c r="G44" i="165"/>
  <c r="F389" i="165"/>
  <c r="P335" i="165"/>
  <c r="G265" i="167"/>
  <c r="G263" i="167" s="1"/>
  <c r="P373" i="165"/>
  <c r="P392" i="165"/>
  <c r="P301" i="165"/>
  <c r="P129" i="165"/>
  <c r="G271" i="167"/>
  <c r="G80" i="167"/>
  <c r="G248" i="167"/>
  <c r="G309" i="167"/>
  <c r="H307" i="167"/>
  <c r="H306" i="167" s="1"/>
  <c r="P326" i="165"/>
  <c r="P270" i="165"/>
  <c r="I117" i="167"/>
  <c r="G117" i="167" s="1"/>
  <c r="O244" i="165"/>
  <c r="E244" i="165"/>
  <c r="G307" i="167" l="1"/>
  <c r="G306" i="167" s="1"/>
  <c r="H195" i="167"/>
  <c r="G195" i="167" s="1"/>
  <c r="J244" i="165"/>
  <c r="P244" i="165" l="1"/>
  <c r="O20" i="165"/>
  <c r="E20" i="165"/>
  <c r="J20" i="165" l="1"/>
  <c r="H22" i="167"/>
  <c r="G22" i="167" l="1"/>
  <c r="P20" i="165"/>
  <c r="K115" i="165" l="1"/>
  <c r="F267" i="165"/>
  <c r="K96" i="165" l="1"/>
  <c r="F40" i="172"/>
  <c r="F37" i="172" s="1"/>
  <c r="E40" i="172"/>
  <c r="E37" i="172" l="1"/>
  <c r="F31" i="172"/>
  <c r="E31" i="172" l="1"/>
  <c r="K247" i="165"/>
  <c r="K246" i="165" s="1"/>
  <c r="K241" i="165" l="1"/>
  <c r="J189" i="167"/>
  <c r="K17" i="165" l="1"/>
  <c r="K16" i="165" l="1"/>
  <c r="O236" i="165"/>
  <c r="O234" i="165" s="1"/>
  <c r="E236" i="165"/>
  <c r="E234" i="165" s="1"/>
  <c r="E230" i="165" s="1"/>
  <c r="F220" i="165"/>
  <c r="H220" i="165" l="1"/>
  <c r="H189" i="167"/>
  <c r="J236" i="165"/>
  <c r="J234" i="165" s="1"/>
  <c r="O230" i="165" l="1"/>
  <c r="P236" i="165"/>
  <c r="P234" i="165" s="1"/>
  <c r="H214" i="165"/>
  <c r="I189" i="167"/>
  <c r="G189" i="167" s="1"/>
  <c r="J230" i="165" l="1"/>
  <c r="P20" i="107"/>
  <c r="I17" i="107"/>
  <c r="I13" i="107" s="1"/>
  <c r="P230" i="165" l="1"/>
  <c r="I12" i="107"/>
  <c r="I20" i="107" s="1"/>
  <c r="I16" i="107"/>
  <c r="I15" i="107" s="1"/>
  <c r="I14" i="107" s="1"/>
  <c r="D84" i="170"/>
  <c r="D73" i="170"/>
  <c r="D70" i="170"/>
  <c r="F361" i="165" l="1"/>
  <c r="H390" i="165" l="1"/>
  <c r="K361" i="165"/>
  <c r="F357" i="165"/>
  <c r="J305" i="167"/>
  <c r="J303" i="167"/>
  <c r="J301" i="167" l="1"/>
  <c r="H389" i="165"/>
  <c r="F354" i="165"/>
  <c r="H381" i="165"/>
  <c r="K357" i="165"/>
  <c r="J297" i="167"/>
  <c r="H297" i="167"/>
  <c r="G295" i="167"/>
  <c r="F351" i="165" l="1"/>
  <c r="K297" i="167"/>
  <c r="H294" i="167"/>
  <c r="J294" i="167"/>
  <c r="M297" i="167"/>
  <c r="K354" i="165"/>
  <c r="H333" i="165"/>
  <c r="H380" i="165"/>
  <c r="J245" i="167"/>
  <c r="J243" i="167"/>
  <c r="J244" i="167"/>
  <c r="J240" i="167"/>
  <c r="H240" i="167"/>
  <c r="J229" i="167"/>
  <c r="J227" i="167"/>
  <c r="J226" i="167"/>
  <c r="J220" i="167"/>
  <c r="J218" i="167"/>
  <c r="M218" i="167" s="1"/>
  <c r="J217" i="167"/>
  <c r="J216" i="167"/>
  <c r="O296" i="165"/>
  <c r="J296" i="165" s="1"/>
  <c r="O294" i="165"/>
  <c r="O295" i="165"/>
  <c r="J209" i="167"/>
  <c r="J203" i="167"/>
  <c r="J200" i="167"/>
  <c r="J199" i="167"/>
  <c r="K351" i="165" l="1"/>
  <c r="J213" i="167"/>
  <c r="J212" i="167" s="1"/>
  <c r="M212" i="167" s="1"/>
  <c r="J193" i="167"/>
  <c r="H299" i="165"/>
  <c r="H298" i="165" s="1"/>
  <c r="H268" i="165"/>
  <c r="J294" i="165"/>
  <c r="O293" i="165"/>
  <c r="I245" i="167"/>
  <c r="J176" i="167"/>
  <c r="L211" i="165"/>
  <c r="I243" i="167" l="1"/>
  <c r="L208" i="165"/>
  <c r="O292" i="165"/>
  <c r="H323" i="165"/>
  <c r="N211" i="165"/>
  <c r="N220" i="165"/>
  <c r="L220" i="165"/>
  <c r="K220" i="165"/>
  <c r="K223" i="165"/>
  <c r="L214" i="165" l="1"/>
  <c r="N208" i="165"/>
  <c r="N214" i="165"/>
  <c r="K211" i="165"/>
  <c r="K214" i="165"/>
  <c r="J175" i="167"/>
  <c r="P13" i="107"/>
  <c r="P12" i="107" s="1"/>
  <c r="F209" i="165"/>
  <c r="E405" i="165"/>
  <c r="I184" i="165"/>
  <c r="J171" i="167"/>
  <c r="L207" i="165" l="1"/>
  <c r="N207" i="165"/>
  <c r="N186" i="165"/>
  <c r="H209" i="165"/>
  <c r="O186" i="165"/>
  <c r="F215" i="165"/>
  <c r="K208" i="165"/>
  <c r="L186" i="165"/>
  <c r="F218" i="165"/>
  <c r="L194" i="165"/>
  <c r="E84" i="170"/>
  <c r="F223" i="165"/>
  <c r="E404" i="165"/>
  <c r="H211" i="165"/>
  <c r="N188" i="165"/>
  <c r="F211" i="165"/>
  <c r="O205" i="165"/>
  <c r="E205" i="165"/>
  <c r="E79" i="170" s="1"/>
  <c r="K207" i="165" l="1"/>
  <c r="F214" i="165"/>
  <c r="L188" i="165"/>
  <c r="H194" i="165"/>
  <c r="F208" i="165"/>
  <c r="H208" i="165"/>
  <c r="E403" i="165"/>
  <c r="N185" i="165"/>
  <c r="F194" i="165"/>
  <c r="E204" i="165"/>
  <c r="J205" i="165"/>
  <c r="O204" i="165"/>
  <c r="H171" i="167"/>
  <c r="J159" i="167"/>
  <c r="J156" i="167"/>
  <c r="J154" i="167"/>
  <c r="H207" i="165" l="1"/>
  <c r="F207" i="165"/>
  <c r="L185" i="165"/>
  <c r="E203" i="165"/>
  <c r="P205" i="165"/>
  <c r="O203" i="165"/>
  <c r="I171" i="167"/>
  <c r="G171" i="167" s="1"/>
  <c r="J204" i="165"/>
  <c r="K188" i="165"/>
  <c r="F188" i="165"/>
  <c r="G241" i="167"/>
  <c r="G239" i="167"/>
  <c r="G228" i="167"/>
  <c r="G223" i="167"/>
  <c r="G214" i="167"/>
  <c r="G201" i="167"/>
  <c r="G194" i="167"/>
  <c r="J192" i="167"/>
  <c r="K185" i="165" l="1"/>
  <c r="J203" i="165"/>
  <c r="H186" i="165"/>
  <c r="F186" i="165"/>
  <c r="H188" i="165"/>
  <c r="G186" i="165"/>
  <c r="P204" i="165"/>
  <c r="O19" i="165"/>
  <c r="E19" i="165"/>
  <c r="J19" i="165" l="1"/>
  <c r="G185" i="165"/>
  <c r="F185" i="165"/>
  <c r="P203" i="165"/>
  <c r="H185" i="165"/>
  <c r="J137" i="167"/>
  <c r="P19" i="165" l="1"/>
  <c r="L168" i="165"/>
  <c r="L141" i="165"/>
  <c r="N168" i="165"/>
  <c r="N141" i="165"/>
  <c r="J150" i="167"/>
  <c r="J146" i="167"/>
  <c r="J136" i="167"/>
  <c r="J131" i="167"/>
  <c r="J128" i="167"/>
  <c r="J127" i="167"/>
  <c r="J123" i="167"/>
  <c r="J122" i="167"/>
  <c r="J121" i="167"/>
  <c r="J120" i="167"/>
  <c r="J119" i="167"/>
  <c r="L131" i="165" l="1"/>
  <c r="N131" i="165"/>
  <c r="J97" i="167"/>
  <c r="N126" i="165" l="1"/>
  <c r="L126" i="165"/>
  <c r="H141" i="165"/>
  <c r="G168" i="165"/>
  <c r="H127" i="165"/>
  <c r="H168" i="165"/>
  <c r="G141" i="165"/>
  <c r="J139" i="167"/>
  <c r="J114" i="167" s="1"/>
  <c r="K168" i="165"/>
  <c r="K131" i="165" l="1"/>
  <c r="G131" i="165"/>
  <c r="H131" i="165"/>
  <c r="H110" i="165"/>
  <c r="G110" i="165"/>
  <c r="F110" i="165"/>
  <c r="K126" i="165" l="1"/>
  <c r="G126" i="165"/>
  <c r="F100" i="165"/>
  <c r="G100" i="165"/>
  <c r="H100" i="165"/>
  <c r="H126" i="165"/>
  <c r="K306" i="165"/>
  <c r="F96" i="165" l="1"/>
  <c r="H96" i="165"/>
  <c r="G96" i="165"/>
  <c r="K305" i="165"/>
  <c r="K298" i="165" s="1"/>
  <c r="F16" i="165"/>
  <c r="L58" i="165"/>
  <c r="N58" i="165" l="1"/>
  <c r="L61" i="165"/>
  <c r="O58" i="165"/>
  <c r="N61" i="165"/>
  <c r="N47" i="165" l="1"/>
  <c r="L47" i="165"/>
  <c r="L45" i="165" l="1"/>
  <c r="N45" i="165"/>
  <c r="G52" i="167"/>
  <c r="N44" i="165" l="1"/>
  <c r="L44" i="165"/>
  <c r="H58" i="165" l="1"/>
  <c r="H64" i="165" l="1"/>
  <c r="J38" i="167"/>
  <c r="M38" i="167" s="1"/>
  <c r="O41" i="165"/>
  <c r="E41" i="165"/>
  <c r="J29" i="167"/>
  <c r="M29" i="167" s="1"/>
  <c r="H45" i="165" l="1"/>
  <c r="J41" i="165"/>
  <c r="E73" i="170"/>
  <c r="H38" i="167"/>
  <c r="H44" i="165" l="1"/>
  <c r="P41" i="165"/>
  <c r="I38" i="167"/>
  <c r="L38" i="167" s="1"/>
  <c r="K38" i="167"/>
  <c r="G38" i="167" l="1"/>
  <c r="G19" i="167"/>
  <c r="G17" i="165"/>
  <c r="H17" i="165" l="1"/>
  <c r="G16" i="165"/>
  <c r="H293" i="165"/>
  <c r="G293" i="165"/>
  <c r="H292" i="165" l="1"/>
  <c r="G292" i="165"/>
  <c r="H16" i="165"/>
  <c r="O182" i="165"/>
  <c r="E182" i="165"/>
  <c r="O173" i="165"/>
  <c r="E173" i="165"/>
  <c r="O170" i="165"/>
  <c r="E170" i="165"/>
  <c r="O152" i="165"/>
  <c r="E152" i="165"/>
  <c r="O151" i="165"/>
  <c r="O149" i="165"/>
  <c r="E149" i="165"/>
  <c r="O148" i="165"/>
  <c r="E148" i="165"/>
  <c r="O146" i="165"/>
  <c r="E146" i="165"/>
  <c r="O143" i="165"/>
  <c r="E143" i="165"/>
  <c r="E142" i="165"/>
  <c r="O140" i="165"/>
  <c r="E140" i="165"/>
  <c r="O138" i="165"/>
  <c r="E138" i="165"/>
  <c r="O137" i="165"/>
  <c r="E137" i="165"/>
  <c r="O136" i="165"/>
  <c r="E136" i="165"/>
  <c r="O135" i="165"/>
  <c r="E135" i="165"/>
  <c r="O134" i="165"/>
  <c r="E134" i="165"/>
  <c r="O133" i="165"/>
  <c r="O128" i="165"/>
  <c r="E128" i="165"/>
  <c r="K141" i="167" l="1"/>
  <c r="O172" i="165"/>
  <c r="E172" i="165"/>
  <c r="E141" i="165"/>
  <c r="J146" i="165"/>
  <c r="J149" i="165"/>
  <c r="J134" i="165"/>
  <c r="H121" i="167"/>
  <c r="H123" i="167"/>
  <c r="H126" i="167"/>
  <c r="H128" i="167"/>
  <c r="H132" i="167"/>
  <c r="H267" i="165"/>
  <c r="J137" i="165"/>
  <c r="J143" i="165"/>
  <c r="J148" i="165"/>
  <c r="O127" i="165"/>
  <c r="J136" i="165"/>
  <c r="J138" i="165"/>
  <c r="J135" i="165"/>
  <c r="J140" i="165"/>
  <c r="E127" i="165"/>
  <c r="H122" i="167"/>
  <c r="H124" i="167"/>
  <c r="H131" i="167"/>
  <c r="J170" i="165"/>
  <c r="G267" i="165"/>
  <c r="E133" i="165"/>
  <c r="F132" i="165"/>
  <c r="E151" i="165"/>
  <c r="F150" i="165"/>
  <c r="E169" i="165"/>
  <c r="F168" i="165"/>
  <c r="J128" i="165"/>
  <c r="H150" i="167"/>
  <c r="E181" i="165"/>
  <c r="E179" i="165" s="1"/>
  <c r="J182" i="165"/>
  <c r="O181" i="165"/>
  <c r="O179" i="165" s="1"/>
  <c r="H146" i="167"/>
  <c r="J173" i="165"/>
  <c r="J169" i="165"/>
  <c r="O168" i="165"/>
  <c r="H137" i="167"/>
  <c r="J152" i="165"/>
  <c r="J151" i="165"/>
  <c r="O150" i="165"/>
  <c r="H127" i="167"/>
  <c r="J142" i="165"/>
  <c r="O141" i="165"/>
  <c r="J133" i="165"/>
  <c r="O132" i="165"/>
  <c r="H120" i="167"/>
  <c r="P137" i="165" l="1"/>
  <c r="P149" i="165"/>
  <c r="J172" i="165"/>
  <c r="P152" i="165"/>
  <c r="F131" i="165"/>
  <c r="O131" i="165"/>
  <c r="P146" i="165"/>
  <c r="P136" i="165"/>
  <c r="P134" i="165"/>
  <c r="P143" i="165"/>
  <c r="P135" i="165"/>
  <c r="P148" i="165"/>
  <c r="P138" i="165"/>
  <c r="H139" i="167"/>
  <c r="P140" i="165"/>
  <c r="P170" i="165"/>
  <c r="P142" i="165"/>
  <c r="O171" i="165"/>
  <c r="J127" i="165"/>
  <c r="E150" i="165"/>
  <c r="I121" i="167"/>
  <c r="I122" i="167"/>
  <c r="I128" i="167"/>
  <c r="I120" i="167"/>
  <c r="P173" i="165"/>
  <c r="P182" i="165"/>
  <c r="P133" i="165"/>
  <c r="E171" i="165"/>
  <c r="E168" i="165"/>
  <c r="H119" i="167"/>
  <c r="I126" i="167"/>
  <c r="I124" i="167"/>
  <c r="I132" i="167"/>
  <c r="I123" i="167"/>
  <c r="I131" i="167"/>
  <c r="P151" i="165"/>
  <c r="H136" i="167"/>
  <c r="P128" i="165"/>
  <c r="P169" i="165"/>
  <c r="E132" i="165"/>
  <c r="I150" i="167"/>
  <c r="G150" i="167" s="1"/>
  <c r="J181" i="165"/>
  <c r="J179" i="165" s="1"/>
  <c r="I146" i="167"/>
  <c r="I139" i="167"/>
  <c r="I114" i="167" s="1"/>
  <c r="J168" i="165"/>
  <c r="I137" i="167"/>
  <c r="I136" i="167"/>
  <c r="J150" i="165"/>
  <c r="I127" i="167"/>
  <c r="J141" i="165"/>
  <c r="I119" i="167"/>
  <c r="J132" i="165"/>
  <c r="E387" i="165"/>
  <c r="J385" i="165"/>
  <c r="E385" i="165"/>
  <c r="O382" i="165"/>
  <c r="E382" i="165"/>
  <c r="O372" i="165"/>
  <c r="E372" i="165"/>
  <c r="O341" i="165"/>
  <c r="E341" i="165"/>
  <c r="O334" i="165"/>
  <c r="E334" i="165"/>
  <c r="O325" i="165"/>
  <c r="O324" i="165" s="1"/>
  <c r="E325" i="165"/>
  <c r="E324" i="165" s="1"/>
  <c r="E296" i="165"/>
  <c r="J295" i="165"/>
  <c r="E295" i="165"/>
  <c r="E294" i="165"/>
  <c r="O287" i="165"/>
  <c r="E287" i="165"/>
  <c r="K230" i="167" s="1"/>
  <c r="O286" i="165"/>
  <c r="E286" i="165"/>
  <c r="E284" i="165"/>
  <c r="O281" i="165"/>
  <c r="E281" i="165"/>
  <c r="O277" i="165"/>
  <c r="E277" i="165"/>
  <c r="O276" i="165"/>
  <c r="E276" i="165"/>
  <c r="O275" i="165"/>
  <c r="E275" i="165"/>
  <c r="K218" i="167" s="1"/>
  <c r="O274" i="165"/>
  <c r="E274" i="165"/>
  <c r="O271" i="165"/>
  <c r="E271" i="165"/>
  <c r="O269" i="165"/>
  <c r="E269" i="165"/>
  <c r="M266" i="165"/>
  <c r="L266" i="165"/>
  <c r="K266" i="165"/>
  <c r="I266" i="165"/>
  <c r="H266" i="165"/>
  <c r="G266" i="165"/>
  <c r="F266" i="165"/>
  <c r="N266" i="165"/>
  <c r="E261" i="165"/>
  <c r="O258" i="165"/>
  <c r="E258" i="165"/>
  <c r="O252" i="165"/>
  <c r="E252" i="165"/>
  <c r="O250" i="165"/>
  <c r="E250" i="165"/>
  <c r="O249" i="165"/>
  <c r="E249" i="165"/>
  <c r="O248" i="165"/>
  <c r="O243" i="165"/>
  <c r="E243" i="165"/>
  <c r="M240" i="165"/>
  <c r="L240" i="165"/>
  <c r="K240" i="165"/>
  <c r="M192" i="167" s="1"/>
  <c r="H240" i="165"/>
  <c r="F240" i="165"/>
  <c r="N240" i="165"/>
  <c r="I240" i="165"/>
  <c r="G240" i="165"/>
  <c r="K223" i="167" l="1"/>
  <c r="E131" i="165"/>
  <c r="E285" i="165"/>
  <c r="O285" i="165"/>
  <c r="O242" i="165"/>
  <c r="E242" i="165"/>
  <c r="E293" i="165"/>
  <c r="P172" i="165"/>
  <c r="J171" i="165"/>
  <c r="J131" i="165"/>
  <c r="P132" i="165"/>
  <c r="H273" i="167"/>
  <c r="H269" i="167" s="1"/>
  <c r="P181" i="165"/>
  <c r="P179" i="165" s="1"/>
  <c r="E283" i="165"/>
  <c r="P141" i="165"/>
  <c r="E178" i="165"/>
  <c r="J250" i="165"/>
  <c r="H199" i="167"/>
  <c r="H203" i="167"/>
  <c r="H216" i="167"/>
  <c r="J287" i="165"/>
  <c r="P127" i="165"/>
  <c r="J249" i="165"/>
  <c r="J252" i="165"/>
  <c r="J271" i="165"/>
  <c r="J275" i="165"/>
  <c r="J277" i="165"/>
  <c r="E371" i="165"/>
  <c r="J376" i="165"/>
  <c r="Q376" i="165" s="1"/>
  <c r="O175" i="165"/>
  <c r="H220" i="167"/>
  <c r="O371" i="165"/>
  <c r="E381" i="165"/>
  <c r="P150" i="165"/>
  <c r="H200" i="167"/>
  <c r="J276" i="165"/>
  <c r="P168" i="165"/>
  <c r="F126" i="165"/>
  <c r="E333" i="165"/>
  <c r="E268" i="165"/>
  <c r="J289" i="165"/>
  <c r="J334" i="165"/>
  <c r="O333" i="165"/>
  <c r="J341" i="165"/>
  <c r="O340" i="165"/>
  <c r="E384" i="165"/>
  <c r="J281" i="165"/>
  <c r="O280" i="165"/>
  <c r="I303" i="167"/>
  <c r="J384" i="165"/>
  <c r="H305" i="167"/>
  <c r="H301" i="167" s="1"/>
  <c r="E386" i="165"/>
  <c r="J261" i="165"/>
  <c r="F36" i="108" s="1"/>
  <c r="O260" i="165"/>
  <c r="J284" i="165"/>
  <c r="I244" i="167"/>
  <c r="J293" i="165"/>
  <c r="E340" i="165"/>
  <c r="J382" i="165"/>
  <c r="O381" i="165"/>
  <c r="J387" i="165"/>
  <c r="O386" i="165"/>
  <c r="H244" i="167"/>
  <c r="H229" i="167"/>
  <c r="J286" i="165"/>
  <c r="H227" i="167"/>
  <c r="H226" i="167"/>
  <c r="E280" i="165"/>
  <c r="O268" i="165"/>
  <c r="J274" i="165"/>
  <c r="O273" i="165"/>
  <c r="H217" i="167"/>
  <c r="E273" i="165"/>
  <c r="J258" i="165"/>
  <c r="H209" i="167"/>
  <c r="E260" i="165"/>
  <c r="E257" i="165" s="1"/>
  <c r="E254" i="165" s="1"/>
  <c r="K206" i="167"/>
  <c r="J248" i="165"/>
  <c r="L197" i="167" s="1"/>
  <c r="O247" i="165"/>
  <c r="O246" i="165" s="1"/>
  <c r="E247" i="165"/>
  <c r="J325" i="165"/>
  <c r="J324" i="165" s="1"/>
  <c r="J372" i="165"/>
  <c r="J243" i="165"/>
  <c r="H245" i="167"/>
  <c r="G245" i="167" s="1"/>
  <c r="P296" i="165"/>
  <c r="J269" i="165"/>
  <c r="H243" i="167"/>
  <c r="G243" i="167" s="1"/>
  <c r="P294" i="165"/>
  <c r="P295" i="165"/>
  <c r="P385" i="165"/>
  <c r="E246" i="165" l="1"/>
  <c r="F406" i="165"/>
  <c r="L223" i="167"/>
  <c r="L230" i="167"/>
  <c r="E241" i="165"/>
  <c r="H193" i="167"/>
  <c r="H192" i="167" s="1"/>
  <c r="L297" i="167"/>
  <c r="E337" i="165"/>
  <c r="O337" i="165"/>
  <c r="J288" i="165"/>
  <c r="L206" i="167"/>
  <c r="G197" i="167"/>
  <c r="E272" i="165"/>
  <c r="J242" i="165"/>
  <c r="O272" i="165"/>
  <c r="J375" i="165"/>
  <c r="P131" i="165"/>
  <c r="P276" i="165"/>
  <c r="P275" i="165"/>
  <c r="I273" i="167"/>
  <c r="I269" i="167" s="1"/>
  <c r="P271" i="165"/>
  <c r="P250" i="165"/>
  <c r="G244" i="167"/>
  <c r="J283" i="165"/>
  <c r="E282" i="165"/>
  <c r="P376" i="165"/>
  <c r="G29" i="197" s="1"/>
  <c r="P178" i="165"/>
  <c r="E177" i="165"/>
  <c r="H148" i="167"/>
  <c r="G148" i="167" s="1"/>
  <c r="P287" i="165"/>
  <c r="P252" i="165"/>
  <c r="P277" i="165"/>
  <c r="P249" i="165"/>
  <c r="G297" i="167"/>
  <c r="G294" i="167" s="1"/>
  <c r="P281" i="165"/>
  <c r="J333" i="165"/>
  <c r="O323" i="165"/>
  <c r="P384" i="165"/>
  <c r="P248" i="165"/>
  <c r="P274" i="165"/>
  <c r="E292" i="165"/>
  <c r="J292" i="165"/>
  <c r="O257" i="165"/>
  <c r="I216" i="167"/>
  <c r="G216" i="167" s="1"/>
  <c r="I199" i="167"/>
  <c r="G199" i="167" s="1"/>
  <c r="P171" i="165"/>
  <c r="P286" i="165"/>
  <c r="J381" i="165"/>
  <c r="J260" i="165"/>
  <c r="J257" i="165" s="1"/>
  <c r="I220" i="167"/>
  <c r="G220" i="167" s="1"/>
  <c r="O126" i="165"/>
  <c r="O383" i="165"/>
  <c r="O374" i="165"/>
  <c r="O370" i="165" s="1"/>
  <c r="E323" i="165"/>
  <c r="I218" i="167"/>
  <c r="I203" i="167"/>
  <c r="G203" i="167" s="1"/>
  <c r="J175" i="165"/>
  <c r="I200" i="167"/>
  <c r="I227" i="167"/>
  <c r="G227" i="167" s="1"/>
  <c r="P258" i="165"/>
  <c r="I240" i="167"/>
  <c r="G240" i="167" s="1"/>
  <c r="P382" i="165"/>
  <c r="I209" i="167"/>
  <c r="G209" i="167" s="1"/>
  <c r="G303" i="167"/>
  <c r="P261" i="165"/>
  <c r="P334" i="165"/>
  <c r="P284" i="165"/>
  <c r="P325" i="165"/>
  <c r="P324" i="165" s="1"/>
  <c r="I305" i="167"/>
  <c r="G305" i="167" s="1"/>
  <c r="J386" i="165"/>
  <c r="J340" i="165"/>
  <c r="P341" i="165"/>
  <c r="I226" i="167"/>
  <c r="G226" i="167" s="1"/>
  <c r="J280" i="165"/>
  <c r="P387" i="165"/>
  <c r="P289" i="165"/>
  <c r="E383" i="165"/>
  <c r="P372" i="165"/>
  <c r="J371" i="165"/>
  <c r="P293" i="165"/>
  <c r="I229" i="167"/>
  <c r="I217" i="167"/>
  <c r="G217" i="167" s="1"/>
  <c r="J273" i="165"/>
  <c r="P269" i="165"/>
  <c r="J268" i="165"/>
  <c r="G206" i="167"/>
  <c r="J247" i="165"/>
  <c r="J246" i="165" s="1"/>
  <c r="P243" i="165"/>
  <c r="H213" i="167"/>
  <c r="H212" i="167" s="1"/>
  <c r="G218" i="167" l="1"/>
  <c r="L218" i="167"/>
  <c r="G229" i="167"/>
  <c r="G301" i="167"/>
  <c r="I301" i="167"/>
  <c r="G200" i="167"/>
  <c r="G193" i="167" s="1"/>
  <c r="I193" i="167"/>
  <c r="I192" i="167" s="1"/>
  <c r="J337" i="165"/>
  <c r="J285" i="165"/>
  <c r="P288" i="165"/>
  <c r="P285" i="165" s="1"/>
  <c r="O336" i="165"/>
  <c r="P242" i="165"/>
  <c r="G222" i="167"/>
  <c r="O254" i="165"/>
  <c r="O241" i="165" s="1"/>
  <c r="J272" i="165"/>
  <c r="P375" i="165"/>
  <c r="E176" i="165"/>
  <c r="E175" i="165" s="1"/>
  <c r="G273" i="167"/>
  <c r="G269" i="167" s="1"/>
  <c r="P177" i="165"/>
  <c r="E279" i="165"/>
  <c r="P273" i="165"/>
  <c r="H114" i="167"/>
  <c r="P283" i="165"/>
  <c r="J282" i="165"/>
  <c r="O279" i="165"/>
  <c r="P247" i="165"/>
  <c r="O380" i="165"/>
  <c r="J374" i="165"/>
  <c r="J370" i="165" s="1"/>
  <c r="P292" i="165"/>
  <c r="P386" i="165"/>
  <c r="J383" i="165"/>
  <c r="E374" i="165"/>
  <c r="P268" i="165"/>
  <c r="E380" i="165"/>
  <c r="P340" i="165"/>
  <c r="P381" i="165"/>
  <c r="P371" i="165"/>
  <c r="P260" i="165"/>
  <c r="P280" i="165"/>
  <c r="P333" i="165"/>
  <c r="I213" i="167"/>
  <c r="I212" i="167" s="1"/>
  <c r="G212" i="167" s="1"/>
  <c r="O316" i="165"/>
  <c r="E316" i="165"/>
  <c r="O315" i="165"/>
  <c r="E315" i="165"/>
  <c r="O314" i="165"/>
  <c r="E314" i="165"/>
  <c r="O313" i="165"/>
  <c r="E313" i="165"/>
  <c r="E312" i="165"/>
  <c r="O307" i="165"/>
  <c r="E307" i="165"/>
  <c r="O300" i="165"/>
  <c r="E300" i="165"/>
  <c r="N297" i="165"/>
  <c r="M297" i="165"/>
  <c r="I297" i="165"/>
  <c r="H297" i="165"/>
  <c r="G297" i="165"/>
  <c r="F297" i="165"/>
  <c r="P246" i="165" l="1"/>
  <c r="G213" i="167"/>
  <c r="P337" i="165"/>
  <c r="K269" i="167"/>
  <c r="E240" i="165"/>
  <c r="K192" i="167" s="1"/>
  <c r="P272" i="165"/>
  <c r="J336" i="165"/>
  <c r="H256" i="167"/>
  <c r="J307" i="165"/>
  <c r="J254" i="165"/>
  <c r="G192" i="167"/>
  <c r="J279" i="165"/>
  <c r="P176" i="165"/>
  <c r="E267" i="165"/>
  <c r="O267" i="165"/>
  <c r="P282" i="165"/>
  <c r="P257" i="165"/>
  <c r="E299" i="165"/>
  <c r="J314" i="165"/>
  <c r="J316" i="165"/>
  <c r="P383" i="165"/>
  <c r="O299" i="165"/>
  <c r="E306" i="165"/>
  <c r="J313" i="165"/>
  <c r="J315" i="165"/>
  <c r="P374" i="165"/>
  <c r="P370" i="165" s="1"/>
  <c r="Q370" i="165" s="1"/>
  <c r="O306" i="165"/>
  <c r="J300" i="165"/>
  <c r="E311" i="165"/>
  <c r="L297" i="165"/>
  <c r="O312" i="165"/>
  <c r="K297" i="165"/>
  <c r="J267" i="165" l="1"/>
  <c r="P267" i="165" s="1"/>
  <c r="Q267" i="165" s="1"/>
  <c r="Q332" i="165"/>
  <c r="E126" i="165"/>
  <c r="P175" i="165"/>
  <c r="P254" i="165"/>
  <c r="P336" i="165"/>
  <c r="P314" i="165"/>
  <c r="I256" i="167"/>
  <c r="G256" i="167" s="1"/>
  <c r="P315" i="165"/>
  <c r="O266" i="165"/>
  <c r="E266" i="165"/>
  <c r="K212" i="167"/>
  <c r="P313" i="165"/>
  <c r="O240" i="165"/>
  <c r="J241" i="165"/>
  <c r="P316" i="165"/>
  <c r="J299" i="165"/>
  <c r="O305" i="165"/>
  <c r="E305" i="165"/>
  <c r="J306" i="165"/>
  <c r="E309" i="165"/>
  <c r="P279" i="165"/>
  <c r="P307" i="165"/>
  <c r="P300" i="165"/>
  <c r="O311" i="165"/>
  <c r="J312" i="165"/>
  <c r="L212" i="167" l="1"/>
  <c r="J266" i="165"/>
  <c r="P266" i="165"/>
  <c r="E308" i="165"/>
  <c r="E298" i="165" s="1"/>
  <c r="J240" i="165"/>
  <c r="L192" i="167" s="1"/>
  <c r="P241" i="165"/>
  <c r="P299" i="165"/>
  <c r="P306" i="165"/>
  <c r="J305" i="165"/>
  <c r="O309" i="165"/>
  <c r="P312" i="165"/>
  <c r="J311" i="165"/>
  <c r="Q241" i="165" l="1"/>
  <c r="E297" i="165"/>
  <c r="O308" i="165"/>
  <c r="P240" i="165"/>
  <c r="P311" i="165"/>
  <c r="P305" i="165"/>
  <c r="J309" i="165"/>
  <c r="O298" i="165" l="1"/>
  <c r="J308" i="165"/>
  <c r="P309" i="165"/>
  <c r="J190" i="167"/>
  <c r="H190" i="167"/>
  <c r="P308" i="165" l="1"/>
  <c r="O297" i="165"/>
  <c r="J298" i="165"/>
  <c r="P298" i="165" l="1"/>
  <c r="J297" i="165"/>
  <c r="M286" i="167"/>
  <c r="G285" i="167"/>
  <c r="M284" i="167"/>
  <c r="G284" i="167"/>
  <c r="J262" i="167"/>
  <c r="M262" i="167" s="1"/>
  <c r="J186" i="167"/>
  <c r="J185" i="167"/>
  <c r="J184" i="167"/>
  <c r="J183" i="167"/>
  <c r="J182" i="167"/>
  <c r="J179" i="167"/>
  <c r="J178" i="167"/>
  <c r="J177" i="167"/>
  <c r="J174" i="167"/>
  <c r="G167" i="167"/>
  <c r="G166" i="167"/>
  <c r="J165" i="167"/>
  <c r="G164" i="167"/>
  <c r="J163" i="167"/>
  <c r="J160" i="167"/>
  <c r="G161" i="167"/>
  <c r="J155" i="167"/>
  <c r="G143" i="167"/>
  <c r="G142" i="167"/>
  <c r="G140" i="167"/>
  <c r="G134" i="167"/>
  <c r="J112" i="167"/>
  <c r="H112" i="167"/>
  <c r="G111" i="167"/>
  <c r="J104" i="167"/>
  <c r="J103" i="167"/>
  <c r="J102" i="167"/>
  <c r="J101" i="167"/>
  <c r="J96" i="167"/>
  <c r="J84" i="167"/>
  <c r="J50" i="167" s="1"/>
  <c r="G59" i="167"/>
  <c r="G55" i="167"/>
  <c r="G39" i="167"/>
  <c r="J37" i="167"/>
  <c r="M37" i="167" s="1"/>
  <c r="J36" i="167"/>
  <c r="J30" i="167"/>
  <c r="M30" i="167" s="1"/>
  <c r="G23" i="167"/>
  <c r="O405" i="165"/>
  <c r="O399" i="165"/>
  <c r="O391" i="165"/>
  <c r="G388" i="165"/>
  <c r="E391" i="165"/>
  <c r="N388" i="165"/>
  <c r="M388" i="165"/>
  <c r="L388" i="165"/>
  <c r="K388" i="165"/>
  <c r="I388" i="165"/>
  <c r="H388" i="165"/>
  <c r="G379" i="165"/>
  <c r="N379" i="165"/>
  <c r="M379" i="165"/>
  <c r="L379" i="165"/>
  <c r="K379" i="165"/>
  <c r="I379" i="165"/>
  <c r="F379" i="165"/>
  <c r="N369" i="165"/>
  <c r="M369" i="165"/>
  <c r="I369" i="165"/>
  <c r="H369" i="165"/>
  <c r="G369" i="165"/>
  <c r="O362" i="165"/>
  <c r="O359" i="165"/>
  <c r="O358" i="165"/>
  <c r="E358" i="165"/>
  <c r="N350" i="165"/>
  <c r="M350" i="165"/>
  <c r="I350" i="165"/>
  <c r="H350" i="165"/>
  <c r="G350" i="165"/>
  <c r="L350" i="165"/>
  <c r="G331" i="165"/>
  <c r="N331" i="165"/>
  <c r="M331" i="165"/>
  <c r="I331" i="165"/>
  <c r="H331" i="165"/>
  <c r="N322" i="165"/>
  <c r="M322" i="165"/>
  <c r="L322" i="165"/>
  <c r="K322" i="165"/>
  <c r="I322" i="165"/>
  <c r="F322" i="165"/>
  <c r="O229" i="165"/>
  <c r="O226" i="165"/>
  <c r="E226" i="165"/>
  <c r="O225" i="165"/>
  <c r="E225" i="165"/>
  <c r="O224" i="165"/>
  <c r="O222" i="165"/>
  <c r="J221" i="165"/>
  <c r="E221" i="165"/>
  <c r="O219" i="165"/>
  <c r="E219" i="165"/>
  <c r="O217" i="165"/>
  <c r="O216" i="165"/>
  <c r="E216" i="165"/>
  <c r="E213" i="165"/>
  <c r="E212" i="165"/>
  <c r="O210" i="165"/>
  <c r="N206" i="165"/>
  <c r="M206" i="165"/>
  <c r="L206" i="165"/>
  <c r="I206" i="165"/>
  <c r="O196" i="165"/>
  <c r="E196" i="165"/>
  <c r="H165" i="167" s="1"/>
  <c r="E195" i="165"/>
  <c r="H163" i="167" s="1"/>
  <c r="E192" i="165"/>
  <c r="O191" i="165"/>
  <c r="E191" i="165"/>
  <c r="O190" i="165"/>
  <c r="E190" i="165"/>
  <c r="O189" i="165"/>
  <c r="H184" i="165"/>
  <c r="E187" i="165"/>
  <c r="N184" i="165"/>
  <c r="M184" i="165"/>
  <c r="L184" i="165"/>
  <c r="G184" i="165"/>
  <c r="M125" i="165"/>
  <c r="L125" i="165"/>
  <c r="I125" i="165"/>
  <c r="I112" i="167"/>
  <c r="E123" i="165"/>
  <c r="O112" i="165"/>
  <c r="O111" i="165"/>
  <c r="E111" i="165"/>
  <c r="O109" i="165"/>
  <c r="O107" i="165"/>
  <c r="E105" i="165"/>
  <c r="O104" i="165"/>
  <c r="E104" i="165"/>
  <c r="H98" i="167" s="1"/>
  <c r="O103" i="165"/>
  <c r="J102" i="165"/>
  <c r="E102" i="165"/>
  <c r="E101" i="165"/>
  <c r="O98" i="165"/>
  <c r="O97" i="165" s="1"/>
  <c r="N95" i="165"/>
  <c r="M95" i="165"/>
  <c r="L95" i="165"/>
  <c r="I95" i="165"/>
  <c r="O81" i="165"/>
  <c r="O80" i="165" s="1"/>
  <c r="E81" i="165"/>
  <c r="E80" i="165" s="1"/>
  <c r="O65" i="165"/>
  <c r="O63" i="165"/>
  <c r="E62" i="165"/>
  <c r="E59" i="165"/>
  <c r="H66" i="167" s="1"/>
  <c r="K66" i="167" s="1"/>
  <c r="E57" i="165"/>
  <c r="H64" i="167" s="1"/>
  <c r="K64" i="167" s="1"/>
  <c r="O49" i="165"/>
  <c r="E49" i="165"/>
  <c r="E48" i="165"/>
  <c r="E46" i="165"/>
  <c r="M43" i="165"/>
  <c r="I43" i="165"/>
  <c r="O40" i="165"/>
  <c r="O37" i="165"/>
  <c r="E29" i="165"/>
  <c r="O27" i="165"/>
  <c r="E27" i="165"/>
  <c r="O21" i="165"/>
  <c r="E18" i="165"/>
  <c r="G15" i="165"/>
  <c r="Q298" i="165" l="1"/>
  <c r="H51" i="167"/>
  <c r="K51" i="167" s="1"/>
  <c r="H54" i="167"/>
  <c r="K54" i="167" s="1"/>
  <c r="J153" i="167"/>
  <c r="M36" i="167"/>
  <c r="H95" i="167"/>
  <c r="O47" i="165"/>
  <c r="E47" i="165"/>
  <c r="O36" i="165"/>
  <c r="O39" i="165"/>
  <c r="O64" i="165"/>
  <c r="O108" i="165"/>
  <c r="H156" i="167"/>
  <c r="O209" i="165"/>
  <c r="O228" i="165"/>
  <c r="E390" i="165"/>
  <c r="O404" i="165"/>
  <c r="O26" i="165"/>
  <c r="H69" i="167"/>
  <c r="O361" i="165"/>
  <c r="P297" i="165"/>
  <c r="E28" i="165"/>
  <c r="P105" i="165"/>
  <c r="H159" i="167"/>
  <c r="H176" i="167"/>
  <c r="E218" i="165"/>
  <c r="O220" i="165"/>
  <c r="O390" i="165"/>
  <c r="O106" i="165"/>
  <c r="O194" i="165"/>
  <c r="O218" i="165"/>
  <c r="O398" i="165"/>
  <c r="P29" i="165"/>
  <c r="O61" i="165"/>
  <c r="E194" i="165"/>
  <c r="H154" i="167"/>
  <c r="E186" i="165"/>
  <c r="O223" i="165"/>
  <c r="O215" i="165"/>
  <c r="H175" i="167"/>
  <c r="E211" i="165"/>
  <c r="O110" i="165"/>
  <c r="E58" i="165"/>
  <c r="H58" i="167"/>
  <c r="K58" i="167" s="1"/>
  <c r="H30" i="167"/>
  <c r="K30" i="167" s="1"/>
  <c r="H29" i="167"/>
  <c r="K29" i="167" s="1"/>
  <c r="N15" i="165"/>
  <c r="I15" i="165"/>
  <c r="I406" i="165"/>
  <c r="I417" i="165" s="1"/>
  <c r="M15" i="165"/>
  <c r="M406" i="165"/>
  <c r="K369" i="165"/>
  <c r="K331" i="165"/>
  <c r="F350" i="165"/>
  <c r="G286" i="167"/>
  <c r="G281" i="167" s="1"/>
  <c r="H280" i="167"/>
  <c r="J109" i="165"/>
  <c r="E112" i="165"/>
  <c r="I280" i="167"/>
  <c r="K184" i="165"/>
  <c r="E210" i="165"/>
  <c r="J210" i="165"/>
  <c r="J37" i="165"/>
  <c r="J62" i="165"/>
  <c r="J225" i="165"/>
  <c r="L43" i="165"/>
  <c r="E103" i="165"/>
  <c r="J399" i="165"/>
  <c r="J293" i="167"/>
  <c r="M293" i="167" s="1"/>
  <c r="J219" i="165"/>
  <c r="J359" i="165"/>
  <c r="O369" i="165"/>
  <c r="J192" i="165"/>
  <c r="J191" i="165"/>
  <c r="J212" i="165"/>
  <c r="H379" i="165"/>
  <c r="E21" i="165"/>
  <c r="K23" i="167" s="1"/>
  <c r="E24" i="165"/>
  <c r="J27" i="165"/>
  <c r="J40" i="165"/>
  <c r="J49" i="165"/>
  <c r="J59" i="165"/>
  <c r="J63" i="165"/>
  <c r="G95" i="165"/>
  <c r="I96" i="167"/>
  <c r="E107" i="165"/>
  <c r="N125" i="165"/>
  <c r="J189" i="165"/>
  <c r="H160" i="167"/>
  <c r="J217" i="165"/>
  <c r="H184" i="167"/>
  <c r="J226" i="165"/>
  <c r="H254" i="167"/>
  <c r="H255" i="167"/>
  <c r="E322" i="165"/>
  <c r="H262" i="167"/>
  <c r="K262" i="167" s="1"/>
  <c r="E359" i="165"/>
  <c r="J362" i="165"/>
  <c r="J391" i="165"/>
  <c r="J405" i="165"/>
  <c r="E40" i="165"/>
  <c r="J190" i="165"/>
  <c r="J196" i="165"/>
  <c r="H251" i="167"/>
  <c r="J358" i="165"/>
  <c r="N43" i="165"/>
  <c r="J104" i="165"/>
  <c r="I98" i="167" s="1"/>
  <c r="J107" i="165"/>
  <c r="H103" i="167"/>
  <c r="J112" i="165"/>
  <c r="J195" i="165"/>
  <c r="E224" i="165"/>
  <c r="E229" i="165"/>
  <c r="G322" i="165"/>
  <c r="L369" i="165"/>
  <c r="O18" i="165"/>
  <c r="E63" i="165"/>
  <c r="J81" i="165"/>
  <c r="J80" i="165" s="1"/>
  <c r="J103" i="165"/>
  <c r="E189" i="165"/>
  <c r="E217" i="165"/>
  <c r="J222" i="165"/>
  <c r="H185" i="167"/>
  <c r="H258" i="167"/>
  <c r="J27" i="167"/>
  <c r="J16" i="167" s="1"/>
  <c r="J65" i="165"/>
  <c r="F95" i="165"/>
  <c r="H95" i="165"/>
  <c r="J21" i="165"/>
  <c r="E65" i="165"/>
  <c r="H84" i="167"/>
  <c r="E98" i="165"/>
  <c r="E97" i="165" s="1"/>
  <c r="J98" i="165"/>
  <c r="J97" i="165" s="1"/>
  <c r="E109" i="165"/>
  <c r="J111" i="165"/>
  <c r="G125" i="165"/>
  <c r="G206" i="165"/>
  <c r="H206" i="165"/>
  <c r="J216" i="165"/>
  <c r="H179" i="167"/>
  <c r="I180" i="167"/>
  <c r="J224" i="165"/>
  <c r="J229" i="165"/>
  <c r="H253" i="167"/>
  <c r="H322" i="165"/>
  <c r="E379" i="165"/>
  <c r="G112" i="167"/>
  <c r="K284" i="167"/>
  <c r="G56" i="167"/>
  <c r="G157" i="167"/>
  <c r="G181" i="167"/>
  <c r="J300" i="167"/>
  <c r="M300" i="167" s="1"/>
  <c r="H96" i="167"/>
  <c r="P102" i="165"/>
  <c r="F331" i="165"/>
  <c r="J46" i="165"/>
  <c r="L331" i="165"/>
  <c r="L406" i="165"/>
  <c r="O101" i="165"/>
  <c r="H125" i="165"/>
  <c r="F125" i="165"/>
  <c r="H177" i="167"/>
  <c r="G17" i="167"/>
  <c r="H15" i="165"/>
  <c r="E222" i="165"/>
  <c r="F206" i="165"/>
  <c r="K350" i="165"/>
  <c r="E362" i="165"/>
  <c r="O213" i="165"/>
  <c r="H180" i="167"/>
  <c r="P221" i="165"/>
  <c r="J258" i="167"/>
  <c r="F369" i="165"/>
  <c r="J180" i="167"/>
  <c r="J173" i="167" s="1"/>
  <c r="J109" i="167"/>
  <c r="J92" i="167" s="1"/>
  <c r="O24" i="165"/>
  <c r="O123" i="165"/>
  <c r="J251" i="167"/>
  <c r="O331" i="165"/>
  <c r="E399" i="165"/>
  <c r="G25" i="167"/>
  <c r="G115" i="167"/>
  <c r="J280" i="167"/>
  <c r="I66" i="167" l="1"/>
  <c r="L66" i="167" s="1"/>
  <c r="I51" i="167"/>
  <c r="L51" i="167" s="1"/>
  <c r="M15" i="167"/>
  <c r="E188" i="165"/>
  <c r="H247" i="167"/>
  <c r="K247" i="167" s="1"/>
  <c r="O32" i="165"/>
  <c r="L290" i="167"/>
  <c r="O396" i="165"/>
  <c r="E23" i="165"/>
  <c r="O23" i="165"/>
  <c r="E26" i="165"/>
  <c r="O45" i="165"/>
  <c r="O357" i="165"/>
  <c r="P28" i="165"/>
  <c r="J194" i="165"/>
  <c r="G98" i="167"/>
  <c r="J390" i="165"/>
  <c r="J209" i="165"/>
  <c r="E110" i="165"/>
  <c r="E398" i="165"/>
  <c r="J220" i="165"/>
  <c r="I156" i="167"/>
  <c r="G156" i="167" s="1"/>
  <c r="J361" i="165"/>
  <c r="J357" i="165" s="1"/>
  <c r="I70" i="167"/>
  <c r="L70" i="167" s="1"/>
  <c r="J26" i="165"/>
  <c r="J398" i="165"/>
  <c r="I69" i="167"/>
  <c r="G69" i="167" s="1"/>
  <c r="E209" i="165"/>
  <c r="J108" i="165"/>
  <c r="O188" i="165"/>
  <c r="E215" i="165"/>
  <c r="E228" i="165"/>
  <c r="E106" i="165"/>
  <c r="I159" i="167"/>
  <c r="G159" i="167" s="1"/>
  <c r="J218" i="165"/>
  <c r="J36" i="165"/>
  <c r="O403" i="165"/>
  <c r="O227" i="165"/>
  <c r="O38" i="165"/>
  <c r="E220" i="165"/>
  <c r="J228" i="165"/>
  <c r="O17" i="165"/>
  <c r="E223" i="165"/>
  <c r="J106" i="165"/>
  <c r="J404" i="165"/>
  <c r="I58" i="167"/>
  <c r="L58" i="167" s="1"/>
  <c r="E108" i="165"/>
  <c r="I97" i="167"/>
  <c r="E361" i="165"/>
  <c r="E357" i="165" s="1"/>
  <c r="M27" i="167"/>
  <c r="E39" i="165"/>
  <c r="J39" i="165"/>
  <c r="E61" i="165"/>
  <c r="H70" i="167"/>
  <c r="J58" i="165"/>
  <c r="G66" i="167"/>
  <c r="O100" i="165"/>
  <c r="E64" i="165"/>
  <c r="H72" i="167"/>
  <c r="J64" i="165"/>
  <c r="I72" i="167"/>
  <c r="J223" i="165"/>
  <c r="P358" i="165"/>
  <c r="O214" i="165"/>
  <c r="J215" i="165"/>
  <c r="I175" i="167"/>
  <c r="G175" i="167" s="1"/>
  <c r="O211" i="165"/>
  <c r="J110" i="165"/>
  <c r="H97" i="167"/>
  <c r="I30" i="167"/>
  <c r="L30" i="167" s="1"/>
  <c r="I29" i="167"/>
  <c r="L29" i="167" s="1"/>
  <c r="E17" i="165"/>
  <c r="J61" i="165"/>
  <c r="E70" i="170"/>
  <c r="K15" i="165"/>
  <c r="K406" i="165"/>
  <c r="F43" i="165"/>
  <c r="H43" i="165"/>
  <c r="H406" i="165"/>
  <c r="G43" i="165"/>
  <c r="G406" i="165"/>
  <c r="N406" i="165"/>
  <c r="N417" i="165" s="1"/>
  <c r="M280" i="167"/>
  <c r="J268" i="167"/>
  <c r="M269" i="167"/>
  <c r="P37" i="165"/>
  <c r="I174" i="167"/>
  <c r="I160" i="167"/>
  <c r="G160" i="167" s="1"/>
  <c r="I102" i="167"/>
  <c r="P225" i="165"/>
  <c r="G124" i="167"/>
  <c r="P216" i="165"/>
  <c r="P104" i="165"/>
  <c r="P49" i="165"/>
  <c r="H104" i="167"/>
  <c r="I36" i="167"/>
  <c r="F184" i="165"/>
  <c r="P196" i="165"/>
  <c r="I179" i="167"/>
  <c r="G179" i="167" s="1"/>
  <c r="P111" i="165"/>
  <c r="P192" i="165"/>
  <c r="P217" i="165"/>
  <c r="P226" i="165"/>
  <c r="P59" i="165"/>
  <c r="P191" i="165"/>
  <c r="J57" i="165"/>
  <c r="I64" i="167" s="1"/>
  <c r="L64" i="167" s="1"/>
  <c r="L286" i="167"/>
  <c r="G122" i="167"/>
  <c r="P391" i="165"/>
  <c r="H36" i="167"/>
  <c r="G280" i="167"/>
  <c r="P107" i="165"/>
  <c r="P219" i="165"/>
  <c r="P405" i="165"/>
  <c r="P212" i="165"/>
  <c r="P195" i="165"/>
  <c r="P21" i="165"/>
  <c r="J187" i="165"/>
  <c r="H174" i="167"/>
  <c r="G96" i="167"/>
  <c r="H300" i="167"/>
  <c r="K300" i="167" s="1"/>
  <c r="P210" i="165"/>
  <c r="P63" i="165"/>
  <c r="G180" i="167"/>
  <c r="P62" i="165"/>
  <c r="P109" i="165"/>
  <c r="H102" i="167"/>
  <c r="P40" i="165"/>
  <c r="K286" i="167"/>
  <c r="H37" i="167"/>
  <c r="K37" i="167" s="1"/>
  <c r="P27" i="165"/>
  <c r="P229" i="165"/>
  <c r="H183" i="167"/>
  <c r="P81" i="165"/>
  <c r="P80" i="165" s="1"/>
  <c r="I184" i="167"/>
  <c r="G184" i="167" s="1"/>
  <c r="P189" i="165"/>
  <c r="H178" i="167"/>
  <c r="H155" i="167"/>
  <c r="H153" i="167" s="1"/>
  <c r="P359" i="165"/>
  <c r="I163" i="167"/>
  <c r="G163" i="167" s="1"/>
  <c r="P103" i="165"/>
  <c r="I84" i="167"/>
  <c r="G84" i="167" s="1"/>
  <c r="P65" i="165"/>
  <c r="J152" i="167"/>
  <c r="M152" i="167" s="1"/>
  <c r="I103" i="167"/>
  <c r="G103" i="167" s="1"/>
  <c r="P98" i="165"/>
  <c r="P97" i="165" s="1"/>
  <c r="M417" i="165"/>
  <c r="G136" i="167"/>
  <c r="I182" i="167"/>
  <c r="J369" i="165"/>
  <c r="J48" i="165"/>
  <c r="G137" i="167"/>
  <c r="G128" i="167"/>
  <c r="H27" i="167"/>
  <c r="H16" i="167" s="1"/>
  <c r="J24" i="165"/>
  <c r="G123" i="167"/>
  <c r="I183" i="167"/>
  <c r="I253" i="167"/>
  <c r="G253" i="167" s="1"/>
  <c r="G121" i="167"/>
  <c r="I104" i="167"/>
  <c r="I101" i="167"/>
  <c r="G126" i="167"/>
  <c r="H101" i="167"/>
  <c r="H186" i="167"/>
  <c r="J213" i="165"/>
  <c r="P112" i="165"/>
  <c r="P224" i="165"/>
  <c r="J49" i="167"/>
  <c r="P190" i="165"/>
  <c r="I177" i="167"/>
  <c r="G177" i="167" s="1"/>
  <c r="J18" i="165"/>
  <c r="L284" i="167"/>
  <c r="I165" i="167"/>
  <c r="G165" i="167" s="1"/>
  <c r="I178" i="167"/>
  <c r="I155" i="167"/>
  <c r="J123" i="165"/>
  <c r="I109" i="167" s="1"/>
  <c r="I186" i="167"/>
  <c r="G141" i="167"/>
  <c r="I185" i="167"/>
  <c r="G185" i="167" s="1"/>
  <c r="G133" i="167"/>
  <c r="G127" i="167"/>
  <c r="I37" i="167"/>
  <c r="L37" i="167" s="1"/>
  <c r="G120" i="167"/>
  <c r="H293" i="167"/>
  <c r="K293" i="167" s="1"/>
  <c r="J113" i="167"/>
  <c r="M113" i="167" s="1"/>
  <c r="K125" i="165"/>
  <c r="K206" i="165"/>
  <c r="P399" i="165"/>
  <c r="O322" i="165"/>
  <c r="J323" i="165"/>
  <c r="K43" i="165"/>
  <c r="J172" i="167"/>
  <c r="P362" i="165"/>
  <c r="J101" i="165"/>
  <c r="L15" i="165"/>
  <c r="O379" i="165"/>
  <c r="J380" i="165"/>
  <c r="H182" i="167"/>
  <c r="P222" i="165"/>
  <c r="F15" i="165"/>
  <c r="K95" i="165"/>
  <c r="P46" i="165"/>
  <c r="G51" i="167" l="1"/>
  <c r="I54" i="167"/>
  <c r="L54" i="167" s="1"/>
  <c r="H92" i="167"/>
  <c r="G109" i="167"/>
  <c r="H173" i="167"/>
  <c r="H172" i="167" s="1"/>
  <c r="O44" i="165"/>
  <c r="E185" i="165"/>
  <c r="L36" i="167"/>
  <c r="O389" i="165"/>
  <c r="J331" i="165"/>
  <c r="L269" i="167"/>
  <c r="J32" i="165"/>
  <c r="I95" i="167"/>
  <c r="I92" i="167" s="1"/>
  <c r="J396" i="165"/>
  <c r="E45" i="165"/>
  <c r="O115" i="165"/>
  <c r="H417" i="165"/>
  <c r="O22" i="165"/>
  <c r="H50" i="167"/>
  <c r="J23" i="165"/>
  <c r="J47" i="165"/>
  <c r="E208" i="165"/>
  <c r="O354" i="165"/>
  <c r="P323" i="165"/>
  <c r="Q323" i="165" s="1"/>
  <c r="G58" i="167"/>
  <c r="E22" i="165"/>
  <c r="J188" i="165"/>
  <c r="P58" i="165"/>
  <c r="E214" i="165"/>
  <c r="E100" i="165"/>
  <c r="P220" i="165"/>
  <c r="I176" i="167"/>
  <c r="G176" i="167" s="1"/>
  <c r="P228" i="165"/>
  <c r="P194" i="165"/>
  <c r="P218" i="165"/>
  <c r="P390" i="165"/>
  <c r="P36" i="165"/>
  <c r="E38" i="165"/>
  <c r="P26" i="165"/>
  <c r="P106" i="165"/>
  <c r="J227" i="165"/>
  <c r="O185" i="165"/>
  <c r="J17" i="165"/>
  <c r="P108" i="165"/>
  <c r="P209" i="165"/>
  <c r="P404" i="165"/>
  <c r="P398" i="165"/>
  <c r="J38" i="165"/>
  <c r="D98" i="170" s="1"/>
  <c r="E98" i="170" s="1"/>
  <c r="J403" i="165"/>
  <c r="E227" i="165"/>
  <c r="P361" i="165"/>
  <c r="G64" i="167"/>
  <c r="K36" i="167"/>
  <c r="G36" i="167"/>
  <c r="P61" i="165"/>
  <c r="J214" i="165"/>
  <c r="P64" i="165"/>
  <c r="G72" i="167"/>
  <c r="K70" i="167"/>
  <c r="G70" i="167"/>
  <c r="K27" i="167"/>
  <c r="P223" i="165"/>
  <c r="P215" i="165"/>
  <c r="O208" i="165"/>
  <c r="J211" i="165"/>
  <c r="J100" i="165"/>
  <c r="I154" i="167"/>
  <c r="I153" i="167" s="1"/>
  <c r="J186" i="165"/>
  <c r="P110" i="165"/>
  <c r="P39" i="165"/>
  <c r="G29" i="167"/>
  <c r="J91" i="167"/>
  <c r="M91" i="167" s="1"/>
  <c r="H246" i="167"/>
  <c r="H152" i="167"/>
  <c r="G174" i="167"/>
  <c r="J15" i="167"/>
  <c r="G102" i="167"/>
  <c r="I254" i="167"/>
  <c r="G254" i="167" s="1"/>
  <c r="P57" i="165"/>
  <c r="G104" i="167"/>
  <c r="I251" i="167"/>
  <c r="P48" i="165"/>
  <c r="G97" i="167"/>
  <c r="G268" i="167"/>
  <c r="G30" i="167"/>
  <c r="P187" i="165"/>
  <c r="G131" i="167"/>
  <c r="G37" i="167"/>
  <c r="F96" i="170" s="1"/>
  <c r="G101" i="167"/>
  <c r="G132" i="167"/>
  <c r="G155" i="167"/>
  <c r="G183" i="167"/>
  <c r="G178" i="167"/>
  <c r="M49" i="167"/>
  <c r="P18" i="165"/>
  <c r="G139" i="167"/>
  <c r="G114" i="167" s="1"/>
  <c r="G182" i="167"/>
  <c r="G186" i="167"/>
  <c r="I300" i="167"/>
  <c r="L300" i="167" s="1"/>
  <c r="I262" i="167"/>
  <c r="L262" i="167" s="1"/>
  <c r="G264" i="167"/>
  <c r="P24" i="165"/>
  <c r="L417" i="165"/>
  <c r="I293" i="167"/>
  <c r="L293" i="167" s="1"/>
  <c r="G300" i="167"/>
  <c r="P213" i="165"/>
  <c r="J253" i="167"/>
  <c r="I255" i="167"/>
  <c r="G255" i="167" s="1"/>
  <c r="G146" i="167"/>
  <c r="I27" i="167"/>
  <c r="I16" i="167" s="1"/>
  <c r="P123" i="165"/>
  <c r="I258" i="167"/>
  <c r="G258" i="167" s="1"/>
  <c r="G417" i="165"/>
  <c r="G293" i="167"/>
  <c r="P101" i="165"/>
  <c r="J322" i="165"/>
  <c r="E125" i="165"/>
  <c r="O125" i="165"/>
  <c r="J126" i="165"/>
  <c r="H268" i="167"/>
  <c r="E331" i="165"/>
  <c r="E369" i="165"/>
  <c r="J379" i="165"/>
  <c r="P380" i="165"/>
  <c r="Q380" i="165" s="1"/>
  <c r="H113" i="167"/>
  <c r="K113" i="167" s="1"/>
  <c r="O351" i="165" l="1"/>
  <c r="O350" i="165" s="1"/>
  <c r="D97" i="170"/>
  <c r="E97" i="170" s="1"/>
  <c r="E44" i="165"/>
  <c r="O184" i="165"/>
  <c r="E184" i="165"/>
  <c r="E96" i="165"/>
  <c r="J44" i="165"/>
  <c r="H310" i="167"/>
  <c r="L305" i="167" s="1"/>
  <c r="O96" i="165"/>
  <c r="J389" i="165"/>
  <c r="J388" i="165" s="1"/>
  <c r="I247" i="167"/>
  <c r="L247" i="167" s="1"/>
  <c r="P32" i="165"/>
  <c r="J354" i="165"/>
  <c r="G95" i="167"/>
  <c r="G92" i="167" s="1"/>
  <c r="O207" i="165"/>
  <c r="O206" i="165" s="1"/>
  <c r="E207" i="165"/>
  <c r="E206" i="165" s="1"/>
  <c r="J115" i="165"/>
  <c r="J125" i="165"/>
  <c r="P126" i="165"/>
  <c r="O16" i="165"/>
  <c r="J16" i="165" s="1"/>
  <c r="L15" i="167" s="1"/>
  <c r="I50" i="167"/>
  <c r="I49" i="167" s="1"/>
  <c r="L49" i="167" s="1"/>
  <c r="O43" i="165"/>
  <c r="J45" i="165"/>
  <c r="P47" i="165"/>
  <c r="P23" i="165"/>
  <c r="E354" i="165"/>
  <c r="P188" i="165"/>
  <c r="G36" i="108"/>
  <c r="G54" i="167"/>
  <c r="G50" i="167" s="1"/>
  <c r="G310" i="167" s="1"/>
  <c r="K305" i="167" s="1"/>
  <c r="K152" i="167"/>
  <c r="E16" i="165"/>
  <c r="J185" i="165"/>
  <c r="P357" i="165"/>
  <c r="P17" i="165"/>
  <c r="J22" i="165"/>
  <c r="J208" i="165"/>
  <c r="P186" i="165"/>
  <c r="P403" i="165"/>
  <c r="P211" i="165"/>
  <c r="P38" i="165"/>
  <c r="O388" i="165"/>
  <c r="P227" i="165"/>
  <c r="H49" i="167"/>
  <c r="P214" i="165"/>
  <c r="G154" i="167"/>
  <c r="G153" i="167" s="1"/>
  <c r="P100" i="165"/>
  <c r="H91" i="167"/>
  <c r="K91" i="167" s="1"/>
  <c r="G262" i="167"/>
  <c r="G251" i="167"/>
  <c r="G247" i="167" s="1"/>
  <c r="H15" i="167"/>
  <c r="I268" i="167"/>
  <c r="L27" i="167"/>
  <c r="J254" i="167"/>
  <c r="I152" i="167"/>
  <c r="G27" i="167"/>
  <c r="G16" i="167" s="1"/>
  <c r="I113" i="167"/>
  <c r="L113" i="167" s="1"/>
  <c r="G119" i="167"/>
  <c r="J255" i="167"/>
  <c r="P369" i="165"/>
  <c r="P379" i="165"/>
  <c r="P322" i="165"/>
  <c r="P331" i="165"/>
  <c r="J43" i="165"/>
  <c r="J351" i="165" l="1"/>
  <c r="E351" i="165"/>
  <c r="E350" i="165" s="1"/>
  <c r="K280" i="167" s="1"/>
  <c r="Q126" i="165"/>
  <c r="E95" i="165"/>
  <c r="P44" i="165"/>
  <c r="P185" i="165"/>
  <c r="Q185" i="165" s="1"/>
  <c r="Q44" i="165"/>
  <c r="K15" i="167"/>
  <c r="J247" i="167"/>
  <c r="J310" i="167" s="1"/>
  <c r="N305" i="167" s="1"/>
  <c r="J96" i="165"/>
  <c r="J350" i="165"/>
  <c r="L280" i="167" s="1"/>
  <c r="P115" i="165"/>
  <c r="J15" i="165"/>
  <c r="O15" i="165"/>
  <c r="P16" i="165"/>
  <c r="P45" i="165"/>
  <c r="G49" i="167"/>
  <c r="P354" i="165"/>
  <c r="K49" i="167"/>
  <c r="J184" i="165"/>
  <c r="L152" i="167"/>
  <c r="O406" i="165"/>
  <c r="E43" i="165"/>
  <c r="J207" i="165"/>
  <c r="P207" i="165" s="1"/>
  <c r="E15" i="165"/>
  <c r="P208" i="165"/>
  <c r="P22" i="165"/>
  <c r="O95" i="165"/>
  <c r="G152" i="167"/>
  <c r="I91" i="167"/>
  <c r="G91" i="167"/>
  <c r="G15" i="167"/>
  <c r="I246" i="167"/>
  <c r="G113" i="167"/>
  <c r="I15" i="167"/>
  <c r="P184" i="165"/>
  <c r="P125" i="165"/>
  <c r="P351" i="165" l="1"/>
  <c r="P43" i="165"/>
  <c r="Q16" i="165"/>
  <c r="L91" i="167"/>
  <c r="P96" i="165"/>
  <c r="P15" i="165"/>
  <c r="J206" i="165"/>
  <c r="P206" i="165"/>
  <c r="J95" i="165"/>
  <c r="J406" i="165"/>
  <c r="G246" i="167"/>
  <c r="M247" i="167"/>
  <c r="J246" i="167"/>
  <c r="Q351" i="165" l="1"/>
  <c r="Q96" i="165"/>
  <c r="P350" i="165"/>
  <c r="P95" i="165"/>
  <c r="I190" i="167" l="1"/>
  <c r="I173" i="167" s="1"/>
  <c r="I310" i="167" s="1"/>
  <c r="M305" i="167" s="1"/>
  <c r="G190" i="167" l="1"/>
  <c r="G173" i="167" l="1"/>
  <c r="I172" i="167"/>
  <c r="K310" i="167" l="1"/>
  <c r="G172" i="167"/>
  <c r="M19" i="107"/>
  <c r="O19" i="107"/>
  <c r="Q19" i="107" l="1"/>
  <c r="G140" i="107" l="1"/>
  <c r="F139" i="108"/>
  <c r="G139" i="107"/>
  <c r="F138" i="108"/>
  <c r="G137" i="107"/>
  <c r="F136" i="108"/>
  <c r="F137" i="108"/>
  <c r="G138" i="107"/>
  <c r="G135" i="107"/>
  <c r="F134" i="108"/>
  <c r="G136" i="107"/>
  <c r="F135" i="108"/>
  <c r="G133" i="107"/>
  <c r="F132" i="108"/>
  <c r="G132" i="107"/>
  <c r="F131" i="108"/>
  <c r="G131" i="107"/>
  <c r="F130" i="108"/>
  <c r="G130" i="107"/>
  <c r="F129" i="108"/>
  <c r="G129" i="107"/>
  <c r="F128" i="108"/>
  <c r="G128" i="107"/>
  <c r="F127" i="108"/>
  <c r="G127" i="107"/>
  <c r="F126" i="108"/>
  <c r="G126" i="107"/>
  <c r="F125" i="108"/>
  <c r="G125" i="107"/>
  <c r="F124" i="108"/>
  <c r="G124" i="107"/>
  <c r="F123" i="108"/>
  <c r="G123" i="107"/>
  <c r="F122" i="108"/>
  <c r="G121" i="107"/>
  <c r="F120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7" i="108"/>
  <c r="K167" i="107"/>
  <c r="J166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72" i="167"/>
  <c r="G20" i="107"/>
  <c r="M172" i="167"/>
  <c r="H20" i="107"/>
  <c r="O13" i="107"/>
  <c r="O12" i="107" s="1"/>
  <c r="Q17" i="107"/>
  <c r="J418" i="165" l="1"/>
  <c r="J417" i="165"/>
  <c r="J420" i="165"/>
  <c r="K417" i="165"/>
  <c r="K420" i="165"/>
  <c r="O420" i="165"/>
  <c r="O417" i="165"/>
  <c r="N18" i="107"/>
  <c r="N20" i="107" l="1"/>
  <c r="N16" i="107"/>
  <c r="N15" i="107" s="1"/>
  <c r="N14" i="107" s="1"/>
  <c r="N13" i="107"/>
  <c r="N12" i="107" s="1"/>
  <c r="F12" i="107"/>
  <c r="K172" i="167" s="1"/>
  <c r="F20" i="107" l="1"/>
  <c r="D24" i="108"/>
  <c r="E408" i="165" l="1"/>
  <c r="Q408" i="165" s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E397" i="165" l="1"/>
  <c r="E396" i="165" l="1"/>
  <c r="P397" i="165"/>
  <c r="F388" i="165"/>
  <c r="E389" i="165" l="1"/>
  <c r="P396" i="165"/>
  <c r="E406" i="165" l="1"/>
  <c r="P389" i="165"/>
  <c r="E388" i="165"/>
  <c r="F417" i="165"/>
  <c r="F420" i="165" l="1"/>
  <c r="D24" i="172"/>
  <c r="D20" i="172" s="1"/>
  <c r="D15" i="172" s="1"/>
  <c r="F418" i="165"/>
  <c r="Q389" i="165"/>
  <c r="P388" i="165"/>
  <c r="P406" i="165"/>
  <c r="E417" i="165"/>
  <c r="E418" i="165"/>
  <c r="D29" i="172" l="1"/>
  <c r="E24" i="172"/>
  <c r="E20" i="172" s="1"/>
  <c r="E15" i="172" s="1"/>
  <c r="E29" i="172" s="1"/>
  <c r="P417" i="165"/>
  <c r="P418" i="165"/>
  <c r="Q406" i="165"/>
  <c r="D48" i="172"/>
  <c r="D54" i="170"/>
  <c r="E54" i="170" s="1"/>
  <c r="D44" i="172" l="1"/>
  <c r="D43" i="172" s="1"/>
  <c r="D49" i="172" s="1"/>
  <c r="C24" i="172"/>
  <c r="C20" i="172" s="1"/>
  <c r="C15" i="172" s="1"/>
  <c r="C29" i="172" s="1"/>
  <c r="F24" i="172"/>
  <c r="F20" i="172" s="1"/>
  <c r="F15" i="172" s="1"/>
  <c r="F29" i="172" s="1"/>
  <c r="E48" i="172"/>
  <c r="E44" i="172" l="1"/>
  <c r="E43" i="172" s="1"/>
  <c r="E49" i="172" s="1"/>
  <c r="F48" i="172"/>
  <c r="F44" i="172" s="1"/>
  <c r="F43" i="172" s="1"/>
  <c r="F49" i="172" s="1"/>
  <c r="G20" i="172"/>
  <c r="G15" i="172"/>
  <c r="C48" i="172"/>
  <c r="C44" i="172" s="1"/>
  <c r="C43" i="172" s="1"/>
  <c r="C49" i="172" s="1"/>
  <c r="E62" i="170"/>
  <c r="D49" i="170"/>
  <c r="D30" i="170" l="1"/>
  <c r="E30" i="170" s="1"/>
  <c r="D60" i="170"/>
  <c r="E60" i="170" s="1"/>
  <c r="E61" i="170" l="1"/>
  <c r="E75" i="170"/>
  <c r="E96" i="170" l="1"/>
</calcChain>
</file>

<file path=xl/sharedStrings.xml><?xml version="1.0" encoding="utf-8"?>
<sst xmlns="http://schemas.openxmlformats.org/spreadsheetml/2006/main" count="4061" uniqueCount="1497">
  <si>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</si>
  <si>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</si>
  <si>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</si>
  <si>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</si>
  <si>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</si>
  <si>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</si>
  <si>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</si>
  <si>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</si>
  <si>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</si>
  <si>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</si>
  <si>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</si>
  <si>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</si>
  <si>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</si>
  <si>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</si>
  <si>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</si>
  <si>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</si>
  <si>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</si>
  <si>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</si>
  <si>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</si>
  <si>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</si>
  <si>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</si>
  <si>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</si>
  <si>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</si>
  <si>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</si>
  <si>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</si>
  <si>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</si>
  <si>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</si>
  <si>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</si>
  <si>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</si>
  <si>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</si>
  <si>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</si>
  <si>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</si>
  <si>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</si>
  <si>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</si>
  <si>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</si>
  <si>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</si>
  <si>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</si>
  <si>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</si>
  <si>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</si>
  <si>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</si>
  <si>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</si>
  <si>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</si>
  <si>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</si>
  <si>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</si>
  <si>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</si>
  <si>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</si>
  <si>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</si>
  <si>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</si>
  <si>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</si>
  <si>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</si>
  <si>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</si>
  <si>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</si>
  <si>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</si>
  <si>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</si>
  <si>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</si>
  <si>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</si>
  <si>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</si>
  <si>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</si>
  <si>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</si>
  <si>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</si>
  <si>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</si>
  <si>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</si>
  <si>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</si>
  <si>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</si>
  <si>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</si>
  <si>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</si>
  <si>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</si>
  <si>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</si>
  <si>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</si>
  <si>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</si>
  <si>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</si>
  <si>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</si>
  <si>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</si>
  <si>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</si>
  <si>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</si>
  <si>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</si>
  <si>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</si>
  <si>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</si>
  <si>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</si>
  <si>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</si>
  <si>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</si>
  <si>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</si>
  <si>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</si>
  <si>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</si>
  <si>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</si>
  <si>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</si>
  <si>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</si>
  <si>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</si>
  <si>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</si>
  <si>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</si>
  <si>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</si>
  <si>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</si>
  <si>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</si>
  <si>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</si>
  <si>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</si>
  <si>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</si>
  <si>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</si>
  <si>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</si>
  <si>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</si>
  <si>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</si>
  <si>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</si>
  <si>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</si>
  <si>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</si>
  <si>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</si>
  <si>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</si>
  <si>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</si>
  <si>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</si>
  <si>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</si>
  <si>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</si>
  <si>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</si>
  <si>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</si>
  <si>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</si>
  <si>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</si>
  <si>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</si>
  <si>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</si>
  <si>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</si>
  <si>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</si>
  <si>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</si>
  <si>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</si>
  <si>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</si>
  <si>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</si>
  <si>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</si>
  <si>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</si>
  <si>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</si>
  <si>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</si>
  <si>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</si>
  <si>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</si>
  <si>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</si>
  <si>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</si>
  <si>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</si>
  <si>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</si>
  <si>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</si>
  <si>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</si>
  <si>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</si>
  <si>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</si>
  <si>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</si>
  <si>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</si>
  <si>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</si>
  <si>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</si>
  <si>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</si>
  <si>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</si>
  <si>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</si>
  <si>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</si>
  <si>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</si>
  <si>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</si>
  <si>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</si>
  <si>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</si>
  <si>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</si>
  <si>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</si>
  <si>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</si>
  <si>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</si>
  <si>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</si>
  <si>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</si>
  <si>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</si>
  <si>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</si>
  <si>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</si>
  <si>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</si>
  <si>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</si>
  <si>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</si>
  <si>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</si>
  <si>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</si>
  <si>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</si>
  <si>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</si>
  <si>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</si>
  <si>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</si>
  <si>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</si>
  <si>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</si>
  <si>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</si>
  <si>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</si>
  <si>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</si>
  <si>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</si>
  <si>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</si>
  <si>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</si>
  <si>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</si>
  <si>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</si>
  <si>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</si>
  <si>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</si>
  <si>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</si>
  <si>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</si>
  <si>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</si>
  <si>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</si>
  <si>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</si>
  <si>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</si>
  <si>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</si>
  <si>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</si>
  <si>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</si>
  <si>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</si>
  <si>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</si>
  <si>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</si>
  <si>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</si>
  <si>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</si>
  <si>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</si>
  <si>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</si>
  <si>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</si>
  <si>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</si>
  <si>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</si>
  <si>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</si>
  <si>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</si>
  <si>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</si>
  <si>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</si>
  <si>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</si>
  <si>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</si>
  <si>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</si>
  <si>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</si>
  <si>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</si>
  <si>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</si>
  <si>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</si>
  <si>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</si>
  <si>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</si>
  <si>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</si>
  <si>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</si>
  <si>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</si>
  <si>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</si>
  <si>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</si>
  <si>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</si>
  <si>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</si>
  <si>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</si>
  <si>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</si>
  <si>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</si>
  <si>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</si>
  <si>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</si>
  <si>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</si>
  <si>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</si>
  <si>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</si>
  <si>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</si>
  <si>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</si>
  <si>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</si>
  <si>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</si>
  <si>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</si>
  <si>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</si>
  <si>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</si>
  <si>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</si>
  <si>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</si>
  <si>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</si>
  <si>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</si>
  <si>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</si>
  <si>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</si>
  <si>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</si>
  <si>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</si>
  <si>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</si>
  <si>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</si>
  <si>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</si>
  <si>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</si>
  <si>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</si>
  <si>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</si>
  <si>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</si>
  <si>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</si>
  <si>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</si>
  <si>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</si>
  <si>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</si>
  <si>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</si>
  <si>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</si>
  <si>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</si>
  <si>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</si>
  <si>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</si>
  <si>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</si>
  <si>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</si>
  <si>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</si>
  <si>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</si>
  <si>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</si>
  <si>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</si>
  <si>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</si>
  <si>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</si>
  <si>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</si>
  <si>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</si>
  <si>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</si>
  <si>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</si>
  <si>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</si>
  <si>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</si>
  <si>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</si>
  <si>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</si>
  <si>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</si>
  <si>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</si>
  <si>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</si>
  <si>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</si>
  <si>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</si>
  <si>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</si>
  <si>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</si>
  <si>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</si>
  <si>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</si>
  <si>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</si>
  <si>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</si>
  <si>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</si>
  <si>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</si>
  <si>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</si>
  <si>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</si>
  <si>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</si>
  <si>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</si>
  <si>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</si>
  <si>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</si>
  <si>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</si>
  <si>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</si>
  <si>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</si>
  <si>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</si>
  <si>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</si>
  <si>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</si>
  <si>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</si>
  <si>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</si>
  <si>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</si>
  <si>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</si>
  <si>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</si>
  <si>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</si>
  <si>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</si>
  <si>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</si>
  <si>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</si>
  <si>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</si>
  <si>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</si>
  <si>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</si>
  <si>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</si>
  <si>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</si>
  <si>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</si>
  <si>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</si>
  <si>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</si>
  <si>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</si>
  <si>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</si>
  <si>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</si>
  <si>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</si>
  <si>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</si>
  <si>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</si>
  <si>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</si>
  <si>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</si>
  <si>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</si>
  <si>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</si>
  <si>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</si>
  <si>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</si>
  <si>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</si>
  <si>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</si>
  <si>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</si>
  <si>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</si>
  <si>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</si>
  <si>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</si>
  <si>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</si>
  <si>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</si>
  <si>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</si>
  <si>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</si>
  <si>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</si>
  <si>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</si>
  <si>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</si>
  <si>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</si>
  <si>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</si>
  <si>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</si>
  <si>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</si>
  <si>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</si>
  <si>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</si>
  <si>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</si>
  <si>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</si>
  <si>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</si>
  <si>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</si>
  <si>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</si>
  <si>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</si>
  <si>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</si>
  <si>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</si>
  <si>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</si>
  <si>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</si>
  <si>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</si>
  <si>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</si>
  <si>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</si>
  <si>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</si>
  <si>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</si>
  <si>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</si>
  <si>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</si>
  <si>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</si>
  <si>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</si>
  <si>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</si>
  <si>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</si>
  <si>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</si>
  <si>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</si>
  <si>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</si>
  <si>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</si>
  <si>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</si>
  <si>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</si>
  <si>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</si>
  <si>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</si>
  <si>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</si>
  <si>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</si>
  <si>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</si>
  <si>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</si>
  <si>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</si>
  <si>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</si>
  <si>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</si>
  <si>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</si>
  <si>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</si>
  <si>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</si>
  <si>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</si>
  <si>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</si>
  <si>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</si>
  <si>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</si>
  <si>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</si>
  <si>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</si>
  <si>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</si>
  <si>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</si>
  <si>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</si>
  <si>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</si>
  <si>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</si>
  <si>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</si>
  <si>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</si>
  <si>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</si>
  <si>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</si>
  <si>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</si>
  <si>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</si>
  <si>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</si>
  <si>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</si>
  <si>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</si>
  <si>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</si>
  <si>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</si>
  <si>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</si>
  <si>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</si>
  <si>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</si>
  <si>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</si>
  <si>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</si>
  <si>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</si>
  <si>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</si>
  <si>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</si>
  <si>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</si>
  <si>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</si>
  <si>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</si>
  <si>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</si>
  <si>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</si>
  <si>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</si>
  <si>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</si>
  <si>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</si>
  <si>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</si>
  <si>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</si>
  <si>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</si>
  <si>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</si>
  <si>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</si>
  <si>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</si>
  <si>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</si>
  <si>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</si>
  <si>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</si>
  <si>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</si>
  <si>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</si>
  <si>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</si>
  <si>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</si>
  <si>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</si>
  <si>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</si>
  <si>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</si>
  <si>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</si>
  <si>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</si>
  <si>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</si>
  <si>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</si>
  <si>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</si>
  <si>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</si>
  <si>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</si>
  <si>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</si>
  <si>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</si>
  <si>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</si>
  <si>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</si>
  <si>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</si>
  <si>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</si>
  <si>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</si>
  <si>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</si>
  <si>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</si>
  <si>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</si>
  <si>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</si>
  <si>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</si>
  <si>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</si>
  <si>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</si>
  <si>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</si>
  <si>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</si>
  <si>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</si>
  <si>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</si>
  <si>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</si>
  <si>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</si>
  <si>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</si>
  <si>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</si>
  <si>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</si>
  <si>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</si>
  <si>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</si>
  <si>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</si>
  <si>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</si>
  <si>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</si>
  <si>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</si>
  <si>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</si>
  <si>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</si>
  <si>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</si>
  <si>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</si>
  <si>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</si>
  <si>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</si>
  <si>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</si>
  <si>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</si>
  <si>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</si>
  <si>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</si>
  <si>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</si>
  <si>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</si>
  <si>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</si>
  <si>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</si>
  <si>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</si>
  <si>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</si>
  <si>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</si>
  <si>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</si>
  <si>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</si>
  <si>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</si>
  <si>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</si>
  <si>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</si>
  <si>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</si>
  <si>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</si>
  <si>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</si>
  <si>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</si>
  <si>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</si>
  <si>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</si>
  <si>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</si>
  <si>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</si>
  <si>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</si>
  <si>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</si>
  <si>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</si>
  <si>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</si>
  <si>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</si>
  <si>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</si>
  <si>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</si>
  <si>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</si>
  <si>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</si>
  <si>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</si>
  <si>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</si>
  <si>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</si>
  <si>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</si>
  <si>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</si>
  <si>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</si>
  <si>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</si>
  <si>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</si>
  <si>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</si>
  <si>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</si>
  <si>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</si>
  <si>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</si>
  <si>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</si>
  <si>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</si>
  <si>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</si>
  <si>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</si>
  <si>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</si>
  <si>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</si>
  <si>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</si>
  <si>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Начальник фінансового управління </t>
  </si>
  <si>
    <t xml:space="preserve">С. ЯМЧУК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</si>
  <si>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</si>
  <si>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</si>
  <si>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</si>
  <si>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</si>
  <si>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</si>
  <si>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</si>
  <si>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</si>
  <si>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</si>
  <si>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</si>
  <si>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</si>
  <si>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</si>
  <si>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</si>
  <si>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</si>
  <si>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</si>
  <si>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</si>
  <si>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</si>
  <si>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</si>
  <si>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</si>
  <si>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</si>
  <si>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</si>
  <si>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</si>
  <si>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</si>
  <si>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</si>
  <si>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</si>
  <si>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</si>
  <si>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</si>
  <si>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</si>
  <si>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</si>
  <si>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</si>
  <si>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</si>
  <si>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</si>
  <si>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</si>
  <si>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</si>
  <si>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</si>
  <si>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</si>
  <si>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</si>
  <si>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</si>
  <si>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</si>
  <si>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</si>
  <si>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</si>
  <si>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</si>
  <si>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</si>
  <si>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</si>
  <si>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</si>
  <si>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</si>
  <si>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</si>
  <si>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</si>
  <si>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</si>
  <si>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</si>
  <si>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</si>
  <si>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</si>
  <si>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</si>
  <si>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</si>
  <si>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</si>
  <si>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</si>
  <si>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</si>
  <si>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</si>
  <si>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</si>
  <si>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</si>
  <si>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</si>
  <si>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</si>
  <si>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</si>
  <si>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</si>
  <si>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</si>
  <si>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</si>
  <si>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</si>
  <si>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</si>
  <si>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</si>
  <si>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</si>
  <si>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</si>
  <si>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</si>
  <si>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</si>
  <si>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</si>
  <si>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</si>
  <si>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</si>
  <si>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</si>
  <si>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</si>
  <si>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</si>
  <si>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</si>
  <si>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</si>
  <si>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</si>
  <si>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</si>
  <si>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</si>
  <si>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</si>
  <si>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</si>
  <si>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</si>
  <si>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</si>
  <si>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</si>
  <si>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</si>
  <si>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</si>
  <si>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</si>
  <si>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</si>
  <si>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</si>
  <si>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</si>
  <si>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</si>
  <si>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</si>
  <si>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</si>
  <si>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</si>
  <si>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</si>
  <si>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</si>
  <si>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</si>
  <si>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</si>
  <si>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</si>
  <si>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</si>
  <si>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</si>
  <si>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</si>
  <si>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</si>
  <si>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</si>
  <si>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</si>
  <si>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</si>
  <si>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</si>
  <si>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</si>
  <si>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</si>
  <si>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</si>
  <si>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</si>
  <si>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</si>
  <si>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</si>
  <si>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</si>
  <si>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</si>
  <si>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</si>
  <si>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</si>
  <si>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</si>
  <si>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</si>
  <si>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</si>
  <si>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</si>
  <si>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</si>
  <si>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</si>
  <si>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</si>
  <si>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</si>
  <si>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</si>
  <si>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</si>
  <si>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</si>
  <si>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</si>
  <si>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</si>
  <si>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</si>
  <si>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</si>
  <si>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</si>
  <si>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</si>
  <si>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</si>
  <si>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</si>
  <si>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</si>
  <si>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</si>
  <si>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</si>
  <si>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</si>
  <si>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</si>
  <si>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</si>
  <si>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</si>
  <si>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</si>
  <si>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</si>
  <si>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</si>
  <si>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</si>
  <si>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</si>
  <si>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</si>
  <si>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</si>
  <si>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</si>
  <si>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</si>
  <si>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</si>
  <si>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</si>
  <si>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</si>
  <si>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</si>
  <si>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</si>
  <si>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</si>
  <si>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</si>
  <si>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</si>
  <si>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</si>
  <si>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</si>
  <si>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</si>
  <si>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</si>
  <si>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</si>
  <si>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</si>
  <si>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</si>
  <si>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</si>
  <si>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</si>
  <si>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</si>
  <si>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</si>
  <si>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</si>
  <si>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</si>
  <si>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</si>
  <si>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</si>
  <si>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</si>
  <si>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</si>
  <si>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</si>
  <si>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</si>
  <si>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</si>
  <si>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</si>
  <si>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</si>
  <si>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</si>
  <si>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</si>
  <si>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</si>
  <si>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</si>
  <si>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</si>
  <si>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</si>
  <si>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</si>
  <si>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</si>
  <si>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</si>
  <si>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</si>
  <si>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</si>
  <si>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</si>
  <si>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</si>
  <si>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</si>
  <si>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</si>
  <si>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</si>
  <si>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</si>
  <si>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</si>
  <si>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</si>
  <si>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</si>
  <si>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</si>
  <si>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</si>
  <si>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</si>
  <si>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</si>
  <si>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</si>
  <si>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</si>
  <si>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</si>
  <si>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</si>
  <si>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</si>
  <si>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</si>
  <si>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</si>
  <si>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</si>
  <si>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</si>
  <si>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</si>
  <si>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</si>
  <si>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</si>
  <si>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</si>
  <si>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</si>
  <si>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</si>
  <si>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</si>
  <si>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</si>
  <si>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</si>
  <si>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</si>
  <si>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</si>
  <si>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</si>
  <si>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</si>
  <si>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</si>
  <si>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</si>
  <si>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</si>
  <si>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</si>
  <si>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</si>
  <si>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</si>
  <si>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</si>
  <si>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</si>
  <si>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</si>
  <si>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</si>
  <si>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</si>
  <si>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</si>
  <si>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</si>
  <si>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</si>
  <si>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</si>
  <si>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</si>
  <si>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</si>
  <si>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</si>
  <si>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</si>
  <si>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</si>
  <si>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</si>
  <si>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</si>
  <si>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</si>
  <si>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</si>
  <si>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</si>
  <si>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</si>
  <si>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</si>
  <si>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</si>
  <si>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</si>
  <si>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</si>
  <si>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</si>
  <si>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</si>
  <si>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</si>
  <si>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</si>
  <si>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</si>
  <si>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</si>
  <si>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</si>
  <si>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</si>
  <si>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</si>
  <si>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</si>
  <si>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</si>
  <si>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</si>
  <si>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</si>
  <si>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</si>
  <si>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</si>
  <si>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</si>
  <si>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</si>
  <si>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</si>
  <si>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</si>
  <si>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</si>
  <si>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</si>
  <si>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</si>
  <si>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</si>
  <si>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</si>
  <si>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</si>
  <si>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</si>
  <si>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</si>
  <si>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</si>
  <si>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</si>
  <si>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</si>
  <si>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</si>
  <si>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</si>
  <si>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</si>
  <si>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</si>
  <si>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</si>
  <si>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</si>
  <si>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</si>
  <si>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</si>
  <si>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</si>
  <si>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</si>
  <si>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</si>
  <si>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</si>
  <si>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</si>
  <si>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</si>
  <si>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</si>
  <si>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</si>
  <si>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</si>
  <si>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</si>
  <si>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</si>
  <si>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</si>
  <si>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</si>
  <si>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</si>
  <si>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</si>
  <si>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</si>
  <si>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</si>
  <si>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</si>
  <si>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</si>
  <si>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</si>
  <si>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</si>
  <si>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</si>
  <si>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</si>
  <si>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</si>
  <si>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</si>
  <si>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</si>
  <si>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</si>
  <si>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</si>
  <si>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</si>
  <si>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</si>
  <si>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</si>
  <si>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</si>
  <si>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</si>
  <si>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</si>
  <si>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</si>
  <si>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</si>
  <si>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</si>
  <si>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</si>
  <si>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</si>
  <si>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</si>
  <si>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</si>
  <si>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</si>
  <si>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</si>
  <si>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</si>
  <si>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</si>
  <si>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</si>
  <si>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</si>
  <si>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</si>
  <si>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</si>
  <si>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</si>
  <si>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</si>
  <si>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</si>
  <si>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</si>
  <si>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</si>
  <si>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</si>
  <si>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</si>
  <si>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</si>
  <si>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</si>
  <si>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</si>
  <si>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</si>
  <si>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</si>
  <si>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</si>
  <si>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</si>
  <si>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</si>
  <si>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</si>
  <si>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</si>
  <si>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</si>
  <si>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</si>
  <si>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</si>
  <si>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</si>
  <si>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</si>
  <si>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</si>
  <si>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</si>
  <si>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</si>
  <si>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</si>
  <si>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</si>
  <si>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</si>
  <si>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</si>
  <si>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</si>
  <si>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</si>
  <si>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</si>
  <si>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</si>
  <si>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</si>
  <si>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</si>
  <si>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</si>
  <si>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</si>
  <si>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</si>
  <si>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</si>
  <si>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</si>
  <si>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</si>
  <si>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</si>
  <si>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</si>
  <si>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</si>
  <si>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</si>
  <si>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</si>
  <si>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</si>
  <si>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</si>
  <si>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</si>
  <si>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</si>
  <si>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</si>
  <si>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</si>
  <si>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</si>
  <si>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</si>
  <si>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</si>
  <si>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</si>
  <si>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</si>
  <si>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</si>
  <si>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</si>
  <si>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</si>
  <si>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</si>
  <si>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</si>
  <si>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</si>
  <si>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</si>
  <si>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</si>
  <si>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</si>
  <si>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</si>
  <si>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</si>
  <si>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</si>
  <si>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</si>
  <si>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</si>
  <si>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</si>
  <si>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</si>
  <si>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</si>
  <si>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</si>
  <si>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</si>
  <si>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</si>
  <si>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</si>
  <si>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</si>
  <si>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</si>
  <si>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</si>
  <si>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</si>
  <si>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</si>
  <si>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</si>
  <si>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</si>
  <si>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</si>
  <si>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</si>
  <si>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</si>
  <si>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</si>
  <si>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</si>
  <si>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</si>
  <si>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</si>
  <si>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</si>
  <si>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</si>
  <si>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</si>
  <si>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</si>
  <si>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</si>
  <si>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</si>
  <si>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</si>
  <si>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</si>
  <si>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</si>
  <si>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</si>
  <si>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</si>
  <si>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</si>
  <si>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</si>
  <si>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</si>
  <si>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</si>
  <si>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</si>
  <si>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</si>
  <si>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</si>
  <si>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</si>
  <si>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</si>
  <si>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</si>
  <si>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</si>
  <si>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</si>
  <si>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</si>
  <si>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</si>
  <si>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</si>
  <si>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</si>
  <si>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</si>
  <si>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</si>
  <si>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</si>
  <si>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</si>
  <si>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</si>
  <si>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</si>
  <si>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</si>
  <si>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</si>
  <si>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</si>
  <si>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</si>
  <si>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</si>
  <si>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</si>
  <si>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</si>
  <si>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</si>
  <si>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</si>
  <si>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</si>
  <si>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</si>
  <si>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</si>
  <si>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</si>
  <si>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</si>
  <si>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</si>
  <si>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</si>
  <si>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</si>
  <si>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</si>
  <si>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</si>
  <si>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</si>
  <si>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</si>
  <si>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</si>
  <si>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</si>
  <si>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</si>
  <si>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</si>
  <si>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</si>
  <si>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</si>
  <si>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</si>
  <si>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</si>
  <si>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</si>
  <si>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</si>
  <si>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</si>
  <si>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</si>
  <si>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</si>
  <si>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</si>
  <si>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</si>
  <si>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</si>
  <si>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</si>
  <si>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</si>
  <si>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</si>
  <si>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</si>
  <si>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</si>
  <si>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</si>
  <si>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</si>
  <si>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</si>
  <si>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</si>
  <si>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</si>
  <si>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</si>
  <si>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</si>
  <si>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</si>
  <si>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</si>
  <si>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</si>
  <si>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</si>
  <si>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</si>
  <si>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</si>
  <si>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</si>
  <si>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</si>
  <si>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</si>
  <si>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</si>
  <si>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</si>
  <si>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</si>
  <si>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</si>
  <si>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</si>
  <si>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</si>
  <si>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</si>
  <si>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</si>
  <si>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</si>
  <si>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</si>
  <si>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</si>
  <si>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</si>
  <si>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</si>
  <si>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</si>
  <si>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</si>
  <si>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</si>
  <si>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</si>
  <si>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</si>
  <si>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</si>
  <si>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</si>
  <si>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</si>
  <si>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</si>
  <si>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</si>
  <si>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</si>
  <si>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</si>
  <si>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</si>
  <si>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</si>
  <si>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</si>
  <si>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</si>
  <si>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</si>
  <si>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</si>
  <si>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</si>
  <si>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</si>
  <si>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</si>
  <si>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</si>
  <si>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</si>
  <si>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</si>
  <si>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</si>
  <si>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</si>
  <si>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</si>
  <si>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</si>
  <si>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</si>
  <si>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</si>
  <si>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</si>
  <si>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</si>
  <si>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</si>
  <si>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</si>
  <si>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</si>
  <si>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</si>
  <si>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</si>
  <si>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</si>
  <si>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</si>
  <si>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</si>
  <si>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</si>
  <si>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</si>
  <si>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</si>
  <si>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</si>
  <si>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</si>
  <si>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</si>
  <si>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</si>
  <si>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</si>
  <si>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</si>
  <si>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</si>
  <si>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</si>
  <si>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</si>
  <si>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</si>
  <si>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</si>
  <si>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</si>
  <si>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</si>
  <si>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</si>
  <si>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</si>
  <si>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</si>
  <si>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</si>
  <si>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</si>
  <si>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</si>
  <si>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</si>
  <si>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</si>
  <si>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</si>
  <si>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</si>
  <si>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</si>
  <si>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</si>
  <si>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</si>
  <si>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</si>
  <si>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</si>
  <si>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</si>
  <si>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</si>
  <si>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</si>
  <si>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</si>
  <si>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</si>
  <si>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</si>
  <si>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</si>
  <si>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</si>
  <si>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</si>
  <si>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</si>
  <si>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</si>
  <si>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</si>
  <si>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</si>
  <si>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</si>
  <si>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</si>
  <si>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</si>
  <si>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</si>
  <si>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</si>
  <si>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</si>
  <si>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</si>
  <si>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</si>
  <si>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</si>
  <si>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</si>
  <si>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</si>
  <si>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</si>
  <si>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</si>
  <si>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</si>
  <si>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</si>
  <si>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0611033</t>
  </si>
  <si>
    <t>1033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</si>
  <si>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</si>
  <si>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</si>
  <si>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</si>
  <si>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</si>
  <si>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</si>
  <si>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</si>
  <si>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</si>
  <si>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</si>
  <si>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</si>
  <si>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</si>
  <si>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</si>
  <si>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</si>
  <si>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</si>
  <si>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</si>
  <si>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</si>
  <si>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</si>
  <si>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</si>
  <si>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</si>
  <si>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</si>
  <si>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</si>
  <si>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</si>
  <si>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</si>
  <si>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</si>
  <si>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</si>
  <si>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</si>
  <si>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</si>
  <si>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</si>
  <si>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</si>
  <si>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</si>
  <si>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</si>
  <si>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</si>
  <si>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</si>
  <si>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</si>
  <si>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</si>
  <si>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</si>
  <si>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</si>
  <si>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</si>
  <si>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</si>
  <si>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</si>
  <si>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</si>
  <si>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</si>
  <si>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</si>
  <si>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</si>
  <si>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</si>
  <si>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</si>
  <si>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</si>
  <si>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</si>
  <si>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</si>
  <si>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</si>
  <si>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</si>
  <si>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</si>
  <si>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</si>
  <si>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</si>
  <si>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</si>
  <si>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</si>
  <si>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</si>
  <si>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</si>
  <si>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</si>
  <si>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</si>
  <si>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</si>
  <si>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</si>
  <si>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</si>
  <si>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</si>
  <si>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</si>
  <si>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</si>
  <si>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</si>
  <si>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</si>
  <si>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</si>
  <si>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</si>
  <si>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</si>
  <si>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</si>
  <si>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</si>
  <si>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</si>
  <si>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</si>
  <si>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</si>
  <si>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</si>
  <si>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</si>
  <si>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</si>
  <si>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</si>
  <si>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</si>
  <si>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</si>
  <si>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</si>
  <si>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</si>
  <si>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</si>
  <si>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</si>
  <si>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</si>
  <si>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</si>
  <si>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</si>
  <si>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</si>
  <si>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</si>
  <si>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</si>
  <si>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</si>
  <si>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</si>
  <si>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</si>
  <si>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</si>
  <si>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</si>
  <si>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</si>
  <si>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</si>
  <si>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</si>
  <si>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</si>
  <si>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</si>
  <si>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</si>
  <si>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</si>
  <si>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</si>
  <si>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1218000</t>
  </si>
  <si>
    <t>1218200</t>
  </si>
  <si>
    <t>1218230</t>
  </si>
  <si>
    <t>0613230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</si>
  <si>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</si>
  <si>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</si>
  <si>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</si>
  <si>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</si>
  <si>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</si>
  <si>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</si>
  <si>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</si>
  <si>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</si>
  <si>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</si>
  <si>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</si>
  <si>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на 2023 рік</t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</si>
  <si>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</si>
  <si>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</si>
  <si>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</si>
  <si>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</si>
  <si>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</si>
  <si>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</si>
  <si>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</si>
  <si>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Хмельницької міської територіальної громади у 2023 році</t>
  </si>
  <si>
    <t xml:space="preserve">Заходи з озеленення </t>
  </si>
  <si>
    <t>Біологічна меліорація водойм</t>
  </si>
  <si>
    <t>Наукові дослідження (лабораторні дослідження води поверхневих водойм)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</si>
  <si>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</si>
  <si>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Модернізація існуючої системи моніторингу, встановлення нових пунктів спостереження за станом атмосферного повітря на території агломерації "Хмельницький"</t>
  </si>
  <si>
    <t>2819800</t>
  </si>
  <si>
    <t>2819000</t>
  </si>
  <si>
    <t>МІЖБЮДЖЕТНІ ТРАНСФЕРТИ НА 2023 РІК</t>
  </si>
  <si>
    <t>програм у 2023 році</t>
  </si>
  <si>
    <t>Програми державного моніторингу у галузі охорони атмосферного повітря агломерації «Хмельницький» на 2022 - 2026 роки</t>
  </si>
  <si>
    <t>Рішення 16-ї сесії Хмельницької міської ради від 28.04.2022 року №11</t>
  </si>
  <si>
    <t>Проведення спеціальних заходів, спрямованих на запобігання знищенню чи пошкодженню природних комплексів територій та об’єктів природно-заповідного фонду</t>
  </si>
  <si>
    <t>Виготовлення проектів землеустрою щодо відведення земельних ділянок під парки, сквери, зелені зони, території природно- заповідного фонду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</si>
  <si>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</si>
  <si>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</si>
  <si>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</si>
  <si>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бюджету Хмельницької міської територіальної громади  на 2023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</si>
  <si>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</si>
  <si>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</si>
  <si>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</si>
  <si>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</si>
  <si>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 xml:space="preserve">	
Виконання заходів щодо створення навчально-практичних центрів сучасної професійної (професійно-технічної) освіти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</si>
  <si>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</si>
  <si>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у 2023 році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</si>
  <si>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</si>
  <si>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</si>
  <si>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Реконструкція кабінетів приміщення майстерень "Хмельницького центру професійно-технічної освіти сфери послуг" по вул. Панаса Мирного, 5 м.Хмельницького (коригування)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</si>
  <si>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</si>
  <si>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</si>
  <si>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</si>
  <si>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</si>
  <si>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</si>
  <si>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</si>
  <si>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</si>
  <si>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</si>
  <si>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</si>
  <si>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</si>
  <si>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</si>
  <si>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</si>
  <si>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</si>
  <si>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</si>
  <si>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</si>
  <si>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</si>
  <si>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</si>
  <si>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</si>
  <si>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</si>
  <si>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2022 - 2023 роки</t>
  </si>
  <si>
    <t>2023 рік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</si>
  <si>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</si>
  <si>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</si>
  <si>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</si>
  <si>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</si>
  <si>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</si>
  <si>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</si>
  <si>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</si>
  <si>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</si>
  <si>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</si>
  <si>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</si>
  <si>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</si>
  <si>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</si>
  <si>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</si>
  <si>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</si>
  <si>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</si>
  <si>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</si>
  <si>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</si>
  <si>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</si>
  <si>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</si>
  <si>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</si>
  <si>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</si>
  <si>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</si>
  <si>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</si>
  <si>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</si>
  <si>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</si>
  <si>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№14</t>
  </si>
  <si>
    <t>Програма висвітлення діяльності Хмельницької міської ради та її виконавчих органів на 2023 рік</t>
  </si>
  <si>
    <t>Програма заходів національного спротиву Хмельницької міської територіальної громади на 2023 рік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</si>
  <si>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</si>
  <si>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</si>
  <si>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</si>
  <si>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</si>
  <si>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</si>
  <si>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Штрафні санкції, що застосовуються відповідно до Закону України "Про державне ругулювання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сигарета, та пального "</t>
  </si>
  <si>
    <t>Надходження коштів від відшкодування…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</si>
  <si>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</si>
  <si>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9900000000</t>
  </si>
  <si>
    <t>2231720000</t>
  </si>
  <si>
    <t>2254800000</t>
  </si>
  <si>
    <t>2253000000</t>
  </si>
  <si>
    <t>2210000000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</si>
  <si>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</si>
  <si>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</si>
  <si>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</si>
  <si>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</si>
  <si>
    <t>Програма національно-патріотичного виховання мешканців Хмельницької міської територіальної громади на 2023-2024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</si>
  <si>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</si>
  <si>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Реконструкція покрівлі над частиною будівлі Хмельницької середньої загальноосвітньої школи І-ІІІ ступенів №21 по Проспекту Миру, 76/5 в м.Хмельницькому</t>
  </si>
  <si>
    <t>Нове будівництво зовнішніх мереж газопостачання індустріального парку "Хмельницький" по вул. Вінницьке шосе, 18 в м. Хмельницькому</t>
  </si>
  <si>
    <t>2020-2023 роки</t>
  </si>
  <si>
    <t>2717640</t>
  </si>
  <si>
    <t>Рішення 46-ї сесії Хмельницької міської ради від 07.10.2020 року №3</t>
  </si>
  <si>
    <t>2718000</t>
  </si>
  <si>
    <t>2718200</t>
  </si>
  <si>
    <t>2718240</t>
  </si>
  <si>
    <t>2713000</t>
  </si>
  <si>
    <t>2713230</t>
  </si>
  <si>
    <t xml:space="preserve"> Проєкт Програми розвитку та фінансової підтримки комунального підприємства "Чайка" Хмельницької міської ради на 2023-2024 роки</t>
  </si>
  <si>
    <t>Встановлення (поновлення) знаків-аншлагів, межових знаків на території обєктів природно-заповідного фонду</t>
  </si>
  <si>
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смуг поверхневих водних об’єктів)</t>
  </si>
  <si>
    <t>Будівництво, розширення, реконструкція та облаштування вольєрів для утримання тварин у зоокуточку в парку ім. Чекмана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</si>
  <si>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</si>
  <si>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</si>
  <si>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Будівництво, розширення, реконструкція споруд і мереж водопроводу і каналізації (в тому числі проектні розроблення)</t>
  </si>
  <si>
    <t xml:space="preserve">Наукові дослідження, проектні та проектно-конструкторські розроблення </t>
  </si>
  <si>
    <t>0817640</t>
  </si>
  <si>
    <t>Реконструкція існуючих газових мереж з заміною ВОГ теплогенераторної Олешинської гімназії Хмельницької міської ради по вул. Шкільна, 17а в с.Олешин Хмельницької області</t>
  </si>
  <si>
    <t>Реконструкція існуючих газових мереж з заміною ВОГ теплогенераторної бібліотеки Шаровечківської ЗОШ I-III ст. Хмельницької міської ради по вул.Шкільна, 10 в с. Шаровечка Хмельницької області (коригування)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</si>
  <si>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 25 в с. Черепівка Хмельницької області</t>
  </si>
  <si>
    <t>Реконструкція існуючих газових мереж з заміною ВОГ теплогенераторної ЗОШ I-III ст. по вул. Шкільна, 10 в с.Шаровечка Хмельницької області (коригування)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</si>
  <si>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Тернопільській, 15/2 в м. Хмельницькому</t>
  </si>
  <si>
    <t>Програма взаємодії регіонального сервісного центру ГСЦ МВС в Хмельницькій області (філія ГСЦ МВС) із Хмельницькою міською радою в сфері надання адміністративних послуг населенню на 2023 рік</t>
  </si>
  <si>
    <t>Рішення 22-ї сесії Хмельницької міської ради від 21.12.2022 року №19</t>
  </si>
  <si>
    <t>Рішення 24-ї сесії Хмельницької міської ради від 10.02.2023 року №5</t>
  </si>
  <si>
    <t>Рішення 24-ї сесії Хмельницької міської ради від 10.02.2023 року №4</t>
  </si>
  <si>
    <t>Проєкт Програми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2023 - 2024 роки</t>
  </si>
  <si>
    <t>Проєкт Програми співфінансування робіт з реконструкції покрівель багатоквартирних житлових будинків Хмельницької міської територіальної громади на 2023 - 2027 роки</t>
  </si>
  <si>
    <t>Реконструкція водопроводу від вул. Проскурівська по пров. Проскурівський, вул. Пилипчука до пров. Шевченка в м.Хмельницький</t>
  </si>
  <si>
    <t>Будівництво ділянки водопроводу діам. 315 мм по вул. К. Степанкова в м.Хмельницький</t>
  </si>
  <si>
    <t>Реконструкція ділянки водопроводу від вул.Кам`янецька по вул. Проскурівського підпілля до р. Плоска в м.Хмельницький</t>
  </si>
  <si>
    <t>Реконструкція ділянки водопроводу по вул. Залізняка (перехід через вул.П.Мирного) в м.Хмельницький</t>
  </si>
  <si>
    <t>Реконструкція водопроводу по вул. Шестакова, від вул.Староміська до ж.б. № 46, 39 по вул.Шестакова в м. Хмельницький</t>
  </si>
  <si>
    <t>Реконструкція ділянки водопроводу діам. 110 мм по вул. Тернопільська між буд. № 30 - №34 в м.Хмельницький</t>
  </si>
  <si>
    <t>Реконструкція ділянки водопроводу діам. 160 мм по вул. Прибузька між буд. №10 - №12 в м.Хмельницький</t>
  </si>
  <si>
    <t>Реконструкція самопливного каналізаційного колектора діам.800 мм від ж.б.№203 до колодязя №551а по вул. Проскурівського підпілля в м.Хмельницький</t>
  </si>
  <si>
    <t>Реконструкція напірного каналізаційного колектора діаметром 225 мм від КНС-22, вул.Кам`янецька, 134/1Д в м.Хмельницький</t>
  </si>
  <si>
    <t>Реконструкція самопливного каналізаційного колектора від буд. №4А по  вул. Свободи до буд.№20/2 по вул. Зарічанській в м.Хмельницький</t>
  </si>
  <si>
    <t>Нове будівництво зовнішніх мереж водопостачання вулиць Старосадова, Яблунева, Пшенична, Ланок, Багалія, Колективна мікрорайону Книжківці в м.Хмельницький</t>
  </si>
  <si>
    <t>Реконструкція ділянки водопроводу від ж.б. №4 до ж.б. №2 по вул. Шухевича в м. Хмельницький</t>
  </si>
  <si>
    <t>Реконструкція ділянки каналізаційної мережі від ж.б. №3 та №3/1 по вул.Січових стрільців з переходом даної вулиці в м.Хмельницькому</t>
  </si>
  <si>
    <t>Будівництво мереж водовідведення вул.Д.Нечая, вул.Блакитної, пров. Молодіжного в м.Хмельницькому</t>
  </si>
  <si>
    <t>Нове будівництво вуличних мереж водопостачання житлових будинків по вул. Глушенкова (мікрорайон Ружична) в м. Хмельницький</t>
  </si>
  <si>
    <t>70/30</t>
  </si>
  <si>
    <t>2020 - 2023 роки</t>
  </si>
  <si>
    <t>Реконструкція ділянки водопроводу діаметром 500мм по вул. Тернопільська в м. Хмельницькій</t>
  </si>
  <si>
    <t>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</t>
  </si>
  <si>
    <t>Нове будівництво станції очищення господарсько-побутових стічних вод продуктивністю БІО-S-150 30м3/добу, в с. Пирогівці Хмельницького району, Хмельницької області</t>
  </si>
  <si>
    <t>Внески до статутного капіталу 
МКП "Хмельницькводоканал", в тому числі:</t>
  </si>
  <si>
    <t>Внески до статутного капіталу 
КП "Акведук", в тому числі:</t>
  </si>
  <si>
    <t>Внески до статутного капіталу 
ХКП "Спецкомунтранс", в тому числі:</t>
  </si>
  <si>
    <t>Нове будівництво нежитлового приміщення за адресою: вул.Заводська, 165 в м.Хмельницькому</t>
  </si>
  <si>
    <t>Проєкт Програми підтримки і розвитку  міського комунального підприємства «Хмельницьктеплокомуненерго» на 2023 – 2027 роки</t>
  </si>
  <si>
    <t>Проєкт Програми підтримки і розвитку  міського комунального підприємства «Хмельницькводоканал» на 2023 – 2027 роки</t>
  </si>
  <si>
    <t>Проєкт Програми підтримки і розвитку комунального підприємства по будівництву, ремонту та експлуатації доріг Хмельницької міської ради на 2023 – 2027 роки</t>
  </si>
  <si>
    <t>Проєкт Програми підтримки і розвитку комунального підприємства по  зеленому будівництву і благоустрою міста виконавчого комітету Хмельницької міської ради на 2023 – 2027 роки</t>
  </si>
  <si>
    <t>Проєкт Програми підтримки і розвитку спеціалізованого комунального підприємства «Хмельницька міська ритуальна служба»  на 2023 – 2027 роки</t>
  </si>
  <si>
    <t>Проєкт Програми підтримки і розвитку комунального підприємства «Акведук» Хмельницької міської ради на 2023-2027 роки</t>
  </si>
  <si>
    <t>Проєкт Програми підтримки і розвитку комунального підприємства «Парки і сквери міста Хмельницького» на 2023 – 2027 роки</t>
  </si>
  <si>
    <t>Проєкт Програми підтримки і розвитку КП «Елеватор» Хмельницької міської ради на 2023-2027 роки</t>
  </si>
  <si>
    <t>Програма підтримки та розвитку Хмельницького комунального підприємства «Спецкомунтранс»  на 2023-2027 роки</t>
  </si>
  <si>
    <t>Проєкт Програми підтримки та розвитку Хмельницького комунального підприємства «Міськсвітло»  на 2023-2027 роки</t>
  </si>
  <si>
    <t>Програма забезпечення підтримання громадського порядку в суді, припинення проявів неповаги до суду, охорони приміщень суду, органів та установ системи правосуддя, виконання функцій щодо державного забезпечення особистої безпеки суддів та членів їх сімей, працівників суду, забезпечення у суді безпеки учасників судового процесу на території Хмельницької міської територіальної громади на 2023-2024 роки</t>
  </si>
  <si>
    <t>Рішення 24-ї сесії Хмельницької міської ради від 10.02.2023 року №60</t>
  </si>
  <si>
    <t>1919000</t>
  </si>
  <si>
    <t>1919800</t>
  </si>
  <si>
    <t>Проєкт Програми підвищення рівня безпеки пасажирських перевезень на території Хмельницької міської територіальної громади на 2023 рік</t>
  </si>
  <si>
    <t>1117640</t>
  </si>
  <si>
    <t>Проєкт Програми сприяння розвитку волонтерства на території Хмельницької міської територіальної громади на 2023-2027 роки</t>
  </si>
  <si>
    <t>Нове будівництво зовнішніх мереж водопроводу в с. Шаровечка Хмельницького району Хмельницької області</t>
  </si>
  <si>
    <t>Дотації з державного бюджету місцевим бюджетам</t>
  </si>
  <si>
    <t>41020000</t>
  </si>
  <si>
    <t>Реконструкція приміщень НВО №1 по вул. Старокостянтинівське шосе, 3Б в м.Хмельницькому (коригування)</t>
  </si>
  <si>
    <t>2012 - 2023 роки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</si>
  <si>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</si>
  <si>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2018 - 2023 роки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</si>
  <si>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 (із змінами)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</si>
  <si>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</si>
  <si>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 xml:space="preserve">Керуючий справами </t>
  </si>
  <si>
    <t>Юлія САБІЙ</t>
  </si>
  <si>
    <t>Сергій ЯМЧУК</t>
  </si>
  <si>
    <t>Проєкт Програми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на 2023 – 2025 роки</t>
  </si>
  <si>
    <t>Управління капітального будівництва  Хмельницької міської ради (головний розпорядник)</t>
  </si>
  <si>
    <t>Проєкт Програми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«Родини Героїв» на 2023 – 2025 роки</t>
  </si>
  <si>
    <t xml:space="preserve">до рішення  №   233   від  23.03. 2023 року </t>
  </si>
  <si>
    <t>до рішення № 233  від 23.03. 2023 року</t>
  </si>
  <si>
    <t>до рішення № 233</t>
  </si>
  <si>
    <t>від 23.03. 2023</t>
  </si>
  <si>
    <t>до рішення  № № 233  від 23.03. 2023 року</t>
  </si>
  <si>
    <t>Додаток 4
до рішення № 233  від 23.03. 2023 року</t>
  </si>
  <si>
    <t xml:space="preserve">Додаток 6
до рішення № 233 від 23.03.2023
</t>
  </si>
  <si>
    <t>до рішення №  233</t>
  </si>
  <si>
    <t xml:space="preserve"> від  23.03.2023</t>
  </si>
  <si>
    <t>від 23.03.2023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</si>
</sst>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_-* #,##0.00_₴_-;\-* #,##0.00_₴_-;_-* &quot;-&quot;??_₴_-;_-@_-"/>
    <numFmt numFmtId="165" formatCode="#,##0.0"/>
    <numFmt numFmtId="166" formatCode="0.0"/>
    <numFmt numFmtId="167" formatCode="#,##0.00000"/>
    <numFmt numFmtId="168" formatCode="_-* #,##0.00_₴_-;\-* #,##0.00_₴_-;_-* \-??_₴_-;_-@_-"/>
  </numFmts>
  <fonts count="202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4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rgb="FF00FFCC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3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17" fillId="2" borderId="1" applyNumberFormat="0" applyAlignment="0" applyProtection="0"/>
    <xf numFmtId="0" fontId="25" fillId="3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35" fillId="0" borderId="0"/>
    <xf numFmtId="0" fontId="27" fillId="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>
      <alignment vertical="top"/>
    </xf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9" fillId="0" borderId="0"/>
    <xf numFmtId="0" fontId="35" fillId="0" borderId="0"/>
    <xf numFmtId="0" fontId="11" fillId="0" borderId="0"/>
    <xf numFmtId="0" fontId="38" fillId="0" borderId="0" applyNumberFormat="0" applyFont="0" applyFill="0" applyBorder="0" applyAlignment="0" applyProtection="0">
      <alignment vertical="top"/>
    </xf>
    <xf numFmtId="0" fontId="26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26" fillId="0" borderId="0"/>
    <xf numFmtId="0" fontId="23" fillId="0" borderId="6" applyNumberFormat="0" applyFill="0" applyAlignment="0" applyProtection="0"/>
    <xf numFmtId="0" fontId="28" fillId="4" borderId="0" applyNumberFormat="0" applyBorder="0" applyAlignment="0" applyProtection="0"/>
    <xf numFmtId="0" fontId="26" fillId="0" borderId="0"/>
    <xf numFmtId="0" fontId="24" fillId="0" borderId="0" applyNumberFormat="0" applyFill="0" applyBorder="0" applyAlignment="0" applyProtection="0"/>
    <xf numFmtId="0" fontId="9" fillId="0" borderId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2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22" borderId="0" applyNumberFormat="0" applyBorder="0" applyAlignment="0" applyProtection="0"/>
    <xf numFmtId="0" fontId="17" fillId="2" borderId="1" applyNumberFormat="0" applyAlignment="0" applyProtection="0"/>
    <xf numFmtId="0" fontId="47" fillId="23" borderId="11" applyNumberFormat="0" applyAlignment="0" applyProtection="0"/>
    <xf numFmtId="0" fontId="48" fillId="23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9" fillId="0" borderId="12" applyNumberFormat="0" applyFill="0" applyAlignment="0" applyProtection="0"/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51" fillId="8" borderId="0" applyNumberFormat="0" applyBorder="0" applyAlignment="0" applyProtection="0"/>
    <xf numFmtId="0" fontId="52" fillId="0" borderId="0" applyNumberFormat="0" applyFill="0" applyBorder="0" applyAlignment="0" applyProtection="0"/>
    <xf numFmtId="0" fontId="45" fillId="24" borderId="13" applyNumberFormat="0" applyFont="0" applyAlignment="0" applyProtection="0"/>
    <xf numFmtId="0" fontId="23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56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59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5" fillId="0" borderId="0"/>
    <xf numFmtId="0" fontId="17" fillId="4" borderId="1" applyNumberFormat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97" fillId="0" borderId="0" applyNumberFormat="0" applyFill="0" applyBorder="0" applyAlignment="0" applyProtection="0"/>
    <xf numFmtId="0" fontId="34" fillId="0" borderId="0"/>
    <xf numFmtId="0" fontId="45" fillId="0" borderId="0"/>
    <xf numFmtId="0" fontId="59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56" fillId="0" borderId="0"/>
    <xf numFmtId="0" fontId="38" fillId="0" borderId="0"/>
    <xf numFmtId="0" fontId="56" fillId="0" borderId="0"/>
    <xf numFmtId="0" fontId="11" fillId="0" borderId="0"/>
    <xf numFmtId="0" fontId="15" fillId="0" borderId="0"/>
    <xf numFmtId="0" fontId="38" fillId="0" borderId="0"/>
    <xf numFmtId="0" fontId="45" fillId="0" borderId="0"/>
    <xf numFmtId="0" fontId="45" fillId="0" borderId="0"/>
    <xf numFmtId="0" fontId="15" fillId="0" borderId="0"/>
    <xf numFmtId="0" fontId="15" fillId="0" borderId="0"/>
    <xf numFmtId="0" fontId="45" fillId="0" borderId="0"/>
    <xf numFmtId="0" fontId="9" fillId="0" borderId="0"/>
    <xf numFmtId="0" fontId="1" fillId="0" borderId="0"/>
    <xf numFmtId="0" fontId="1" fillId="0" borderId="0"/>
    <xf numFmtId="0" fontId="56" fillId="0" borderId="0"/>
    <xf numFmtId="0" fontId="96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9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 applyNumberFormat="0" applyAlignment="0" applyProtection="0"/>
    <xf numFmtId="0" fontId="1" fillId="0" borderId="0"/>
    <xf numFmtId="0" fontId="1" fillId="0" borderId="0"/>
    <xf numFmtId="0" fontId="23" fillId="0" borderId="6" applyNumberFormat="0" applyFill="0" applyAlignment="0" applyProtection="0"/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96" fillId="0" borderId="0"/>
    <xf numFmtId="0" fontId="9" fillId="0" borderId="0"/>
    <xf numFmtId="0" fontId="11" fillId="0" borderId="0"/>
    <xf numFmtId="0" fontId="24" fillId="0" borderId="0" applyNumberFormat="0" applyFill="0" applyBorder="0" applyAlignment="0" applyProtection="0"/>
  </cellStyleXfs>
  <cellXfs count="1003">
    <xf numFmtId="0" fontId="0" fillId="0" borderId="0" xfId="0"/>
    <xf numFmtId="0" fontId="15" fillId="0" borderId="0" xfId="39" applyFont="1"/>
    <xf numFmtId="0" fontId="30" fillId="0" borderId="0" xfId="0" applyFont="1" applyAlignment="1">
      <alignment horizontal="left" vertical="center"/>
    </xf>
    <xf numFmtId="0" fontId="30" fillId="0" borderId="0" xfId="39" applyFont="1"/>
    <xf numFmtId="0" fontId="64" fillId="0" borderId="0" xfId="0" applyFont="1"/>
    <xf numFmtId="0" fontId="72" fillId="0" borderId="0" xfId="0" applyFont="1"/>
    <xf numFmtId="0" fontId="73" fillId="0" borderId="0" xfId="0" applyFont="1"/>
    <xf numFmtId="0" fontId="78" fillId="0" borderId="0" xfId="35" applyFont="1"/>
    <xf numFmtId="0" fontId="79" fillId="0" borderId="0" xfId="35" applyFont="1" applyAlignment="1">
      <alignment horizontal="center" vertical="center"/>
    </xf>
    <xf numFmtId="0" fontId="78" fillId="0" borderId="0" xfId="35" applyFont="1" applyFill="1"/>
    <xf numFmtId="0" fontId="67" fillId="0" borderId="0" xfId="0" applyFont="1"/>
    <xf numFmtId="0" fontId="80" fillId="0" borderId="0" xfId="36" applyFont="1">
      <alignment vertical="top"/>
    </xf>
    <xf numFmtId="2" fontId="82" fillId="0" borderId="0" xfId="36" applyNumberFormat="1" applyFont="1" applyFill="1" applyAlignment="1">
      <alignment horizontal="center" vertical="top"/>
    </xf>
    <xf numFmtId="0" fontId="77" fillId="0" borderId="0" xfId="35" applyFont="1" applyFill="1" applyAlignment="1">
      <alignment horizontal="center" vertical="center"/>
    </xf>
    <xf numFmtId="0" fontId="67" fillId="0" borderId="0" xfId="36" applyFont="1">
      <alignment vertical="top"/>
    </xf>
    <xf numFmtId="0" fontId="63" fillId="0" borderId="0" xfId="0" applyFont="1" applyFill="1"/>
    <xf numFmtId="0" fontId="95" fillId="0" borderId="0" xfId="0" applyFont="1" applyAlignment="1">
      <alignment horizontal="left" vertical="center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4" fontId="29" fillId="0" borderId="0" xfId="36" applyNumberFormat="1" applyFont="1" applyFill="1" applyBorder="1" applyAlignment="1">
      <alignment horizontal="center" vertical="center" wrapText="1"/>
    </xf>
    <xf numFmtId="0" fontId="12" fillId="28" borderId="0" xfId="0" applyFont="1" applyFill="1" applyAlignment="1">
      <alignment vertical="center"/>
    </xf>
    <xf numFmtId="0" fontId="30" fillId="28" borderId="0" xfId="0" applyFont="1" applyFill="1" applyAlignment="1">
      <alignment vertical="center"/>
    </xf>
    <xf numFmtId="0" fontId="63" fillId="28" borderId="0" xfId="0" applyFont="1" applyFill="1"/>
    <xf numFmtId="0" fontId="0" fillId="28" borderId="0" xfId="0" applyFill="1"/>
    <xf numFmtId="0" fontId="30" fillId="28" borderId="0" xfId="0" applyFont="1" applyFill="1" applyAlignment="1">
      <alignment horizontal="right" vertical="center"/>
    </xf>
    <xf numFmtId="0" fontId="66" fillId="28" borderId="0" xfId="38" applyFont="1" applyFill="1" applyBorder="1" applyAlignment="1" applyProtection="1">
      <alignment horizontal="center" vertical="center" wrapText="1"/>
      <protection locked="0"/>
    </xf>
    <xf numFmtId="0" fontId="14" fillId="28" borderId="0" xfId="0" applyFont="1" applyFill="1"/>
    <xf numFmtId="0" fontId="64" fillId="28" borderId="0" xfId="0" applyFont="1" applyFill="1"/>
    <xf numFmtId="4" fontId="29" fillId="28" borderId="0" xfId="0" applyNumberFormat="1" applyFont="1" applyFill="1" applyAlignment="1">
      <alignment horizontal="left" vertical="center"/>
    </xf>
    <xf numFmtId="4" fontId="71" fillId="28" borderId="0" xfId="0" applyNumberFormat="1" applyFont="1" applyFill="1" applyAlignment="1">
      <alignment horizontal="left" vertical="center"/>
    </xf>
    <xf numFmtId="0" fontId="91" fillId="28" borderId="0" xfId="0" applyFont="1" applyFill="1"/>
    <xf numFmtId="4" fontId="76" fillId="28" borderId="0" xfId="0" applyNumberFormat="1" applyFont="1" applyFill="1" applyAlignment="1">
      <alignment horizontal="left" vertical="center"/>
    </xf>
    <xf numFmtId="4" fontId="62" fillId="28" borderId="0" xfId="0" applyNumberFormat="1" applyFont="1" applyFill="1" applyAlignment="1">
      <alignment horizontal="left" vertical="center"/>
    </xf>
    <xf numFmtId="4" fontId="65" fillId="28" borderId="0" xfId="0" applyNumberFormat="1" applyFont="1" applyFill="1" applyAlignment="1">
      <alignment horizontal="left" vertical="center"/>
    </xf>
    <xf numFmtId="4" fontId="93" fillId="28" borderId="0" xfId="0" applyNumberFormat="1" applyFont="1" applyFill="1" applyAlignment="1">
      <alignment horizontal="left" vertical="center"/>
    </xf>
    <xf numFmtId="0" fontId="36" fillId="28" borderId="0" xfId="0" applyFont="1" applyFill="1"/>
    <xf numFmtId="4" fontId="84" fillId="28" borderId="0" xfId="0" applyNumberFormat="1" applyFont="1" applyFill="1" applyAlignment="1">
      <alignment horizontal="left" vertical="center"/>
    </xf>
    <xf numFmtId="0" fontId="0" fillId="28" borderId="0" xfId="0" applyFont="1" applyFill="1"/>
    <xf numFmtId="4" fontId="66" fillId="28" borderId="0" xfId="0" applyNumberFormat="1" applyFont="1" applyFill="1" applyAlignment="1">
      <alignment horizontal="left" vertical="center"/>
    </xf>
    <xf numFmtId="0" fontId="72" fillId="28" borderId="0" xfId="0" applyFont="1" applyFill="1"/>
    <xf numFmtId="4" fontId="30" fillId="28" borderId="0" xfId="0" applyNumberFormat="1" applyFont="1" applyFill="1" applyAlignment="1">
      <alignment horizontal="left" vertical="center"/>
    </xf>
    <xf numFmtId="4" fontId="43" fillId="28" borderId="0" xfId="0" applyNumberFormat="1" applyFont="1" applyFill="1"/>
    <xf numFmtId="4" fontId="74" fillId="28" borderId="0" xfId="0" applyNumberFormat="1" applyFont="1" applyFill="1" applyAlignment="1">
      <alignment horizontal="left" vertical="center"/>
    </xf>
    <xf numFmtId="4" fontId="92" fillId="28" borderId="0" xfId="0" applyNumberFormat="1" applyFont="1" applyFill="1" applyAlignment="1">
      <alignment horizontal="left" vertical="center"/>
    </xf>
    <xf numFmtId="49" fontId="66" fillId="28" borderId="15" xfId="0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/>
    </xf>
    <xf numFmtId="4" fontId="31" fillId="28" borderId="0" xfId="0" applyNumberFormat="1" applyFont="1" applyFill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4" fontId="70" fillId="28" borderId="0" xfId="0" applyNumberFormat="1" applyFont="1" applyFill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32" fillId="28" borderId="0" xfId="0" applyNumberFormat="1" applyFont="1" applyFill="1" applyAlignment="1">
      <alignment horizontal="center" vertical="center" wrapText="1"/>
    </xf>
    <xf numFmtId="4" fontId="70" fillId="28" borderId="0" xfId="0" applyNumberFormat="1" applyFont="1" applyFill="1" applyAlignment="1">
      <alignment horizontal="left" vertical="center" wrapText="1"/>
    </xf>
    <xf numFmtId="4" fontId="83" fillId="28" borderId="0" xfId="0" applyNumberFormat="1" applyFont="1" applyFill="1" applyAlignment="1">
      <alignment horizontal="left" vertical="center" wrapText="1"/>
    </xf>
    <xf numFmtId="4" fontId="90" fillId="28" borderId="0" xfId="0" applyNumberFormat="1" applyFont="1" applyFill="1" applyAlignment="1">
      <alignment horizontal="left" vertical="center" wrapText="1"/>
    </xf>
    <xf numFmtId="4" fontId="85" fillId="28" borderId="0" xfId="0" applyNumberFormat="1" applyFont="1" applyFill="1" applyAlignment="1">
      <alignment horizontal="left" vertical="center" wrapText="1"/>
    </xf>
    <xf numFmtId="4" fontId="86" fillId="28" borderId="0" xfId="0" applyNumberFormat="1" applyFont="1" applyFill="1" applyAlignment="1">
      <alignment horizontal="center" vertical="center" wrapText="1"/>
    </xf>
    <xf numFmtId="4" fontId="53" fillId="28" borderId="0" xfId="0" applyNumberFormat="1" applyFont="1" applyFill="1" applyAlignment="1">
      <alignment vertical="center"/>
    </xf>
    <xf numFmtId="4" fontId="66" fillId="28" borderId="0" xfId="0" applyNumberFormat="1" applyFont="1" applyFill="1" applyAlignment="1">
      <alignment horizontal="center" vertical="center"/>
    </xf>
    <xf numFmtId="0" fontId="13" fillId="28" borderId="0" xfId="0" applyFont="1" applyFill="1" applyAlignment="1">
      <alignment vertical="center"/>
    </xf>
    <xf numFmtId="0" fontId="88" fillId="28" borderId="0" xfId="0" applyFont="1" applyFill="1" applyAlignment="1">
      <alignment vertical="center"/>
    </xf>
    <xf numFmtId="4" fontId="13" fillId="28" borderId="0" xfId="0" applyNumberFormat="1" applyFont="1" applyFill="1" applyAlignment="1">
      <alignment vertical="center"/>
    </xf>
    <xf numFmtId="4" fontId="12" fillId="28" borderId="0" xfId="0" applyNumberFormat="1" applyFont="1" applyFill="1" applyAlignment="1">
      <alignment vertical="center"/>
    </xf>
    <xf numFmtId="0" fontId="89" fillId="28" borderId="0" xfId="0" applyFont="1" applyFill="1" applyAlignment="1">
      <alignment vertical="center"/>
    </xf>
    <xf numFmtId="4" fontId="57" fillId="28" borderId="0" xfId="0" applyNumberFormat="1" applyFont="1" applyFill="1" applyAlignment="1">
      <alignment vertical="center"/>
    </xf>
    <xf numFmtId="167" fontId="37" fillId="28" borderId="0" xfId="0" applyNumberFormat="1" applyFont="1" applyFill="1" applyAlignment="1">
      <alignment vertical="center"/>
    </xf>
    <xf numFmtId="4" fontId="29" fillId="29" borderId="0" xfId="36" applyNumberFormat="1" applyFont="1" applyFill="1" applyBorder="1" applyAlignment="1">
      <alignment horizontal="center" vertical="center" wrapText="1"/>
    </xf>
    <xf numFmtId="4" fontId="75" fillId="28" borderId="0" xfId="0" applyNumberFormat="1" applyFont="1" applyFill="1" applyAlignment="1">
      <alignment vertical="center"/>
    </xf>
    <xf numFmtId="0" fontId="29" fillId="28" borderId="0" xfId="0" applyFont="1" applyFill="1" applyAlignment="1">
      <alignment horizontal="right" vertical="center"/>
    </xf>
    <xf numFmtId="0" fontId="57" fillId="28" borderId="0" xfId="0" applyFont="1" applyFill="1" applyAlignment="1">
      <alignment vertical="center"/>
    </xf>
    <xf numFmtId="4" fontId="87" fillId="28" borderId="0" xfId="0" applyNumberFormat="1" applyFont="1" applyFill="1" applyAlignment="1">
      <alignment vertical="center"/>
    </xf>
    <xf numFmtId="4" fontId="61" fillId="28" borderId="0" xfId="0" applyNumberFormat="1" applyFont="1" applyFill="1" applyAlignment="1">
      <alignment vertical="center"/>
    </xf>
    <xf numFmtId="4" fontId="37" fillId="28" borderId="0" xfId="0" applyNumberFormat="1" applyFont="1" applyFill="1" applyAlignment="1">
      <alignment vertical="center"/>
    </xf>
    <xf numFmtId="0" fontId="58" fillId="28" borderId="0" xfId="0" applyFont="1" applyFill="1"/>
    <xf numFmtId="10" fontId="37" fillId="28" borderId="0" xfId="0" applyNumberFormat="1" applyFont="1" applyFill="1" applyAlignment="1">
      <alignment vertical="center"/>
    </xf>
    <xf numFmtId="0" fontId="37" fillId="28" borderId="0" xfId="0" applyFont="1" applyFill="1" applyAlignment="1">
      <alignment vertical="center"/>
    </xf>
    <xf numFmtId="4" fontId="66" fillId="28" borderId="15" xfId="0" applyNumberFormat="1" applyFont="1" applyFill="1" applyBorder="1" applyAlignment="1">
      <alignment horizontal="center" vertical="center" wrapText="1"/>
    </xf>
    <xf numFmtId="0" fontId="39" fillId="28" borderId="0" xfId="36" applyFont="1" applyFill="1" applyAlignment="1">
      <alignment horizontal="center" vertical="top"/>
    </xf>
    <xf numFmtId="0" fontId="16" fillId="28" borderId="0" xfId="36" applyFont="1" applyFill="1" applyAlignment="1">
      <alignment horizontal="center" vertical="top"/>
    </xf>
    <xf numFmtId="2" fontId="81" fillId="28" borderId="0" xfId="36" applyNumberFormat="1" applyFont="1" applyFill="1" applyAlignment="1">
      <alignment horizontal="center" vertical="top"/>
    </xf>
    <xf numFmtId="0" fontId="12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30" fillId="0" borderId="16" xfId="38" applyFont="1" applyFill="1" applyBorder="1" applyAlignment="1" applyProtection="1">
      <alignment horizontal="center" wrapText="1"/>
      <protection locked="0"/>
    </xf>
    <xf numFmtId="0" fontId="30" fillId="0" borderId="0" xfId="38" applyFont="1" applyFill="1" applyBorder="1" applyAlignment="1" applyProtection="1">
      <alignment horizontal="center" vertical="top" wrapText="1"/>
      <protection locked="0"/>
    </xf>
    <xf numFmtId="4" fontId="15" fillId="0" borderId="15" xfId="36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39" fillId="0" borderId="0" xfId="36" applyFont="1" applyFill="1" applyAlignment="1">
      <alignment horizontal="center" vertical="center"/>
    </xf>
    <xf numFmtId="0" fontId="15" fillId="0" borderId="0" xfId="36" applyFont="1" applyFill="1" applyAlignment="1">
      <alignment horizontal="right" vertical="center"/>
    </xf>
    <xf numFmtId="4" fontId="42" fillId="0" borderId="15" xfId="36" applyNumberFormat="1" applyFont="1" applyFill="1" applyBorder="1" applyAlignment="1">
      <alignment horizontal="center" vertical="center" wrapText="1"/>
    </xf>
    <xf numFmtId="2" fontId="98" fillId="28" borderId="0" xfId="36" applyNumberFormat="1" applyFont="1" applyFill="1" applyAlignment="1">
      <alignment horizontal="center" vertical="top"/>
    </xf>
    <xf numFmtId="4" fontId="100" fillId="28" borderId="0" xfId="0" applyNumberFormat="1" applyFont="1" applyFill="1" applyAlignment="1">
      <alignment vertical="center"/>
    </xf>
    <xf numFmtId="0" fontId="99" fillId="0" borderId="0" xfId="0" applyFont="1" applyFill="1"/>
    <xf numFmtId="0" fontId="99" fillId="28" borderId="0" xfId="0" applyFont="1" applyFill="1"/>
    <xf numFmtId="4" fontId="102" fillId="28" borderId="0" xfId="0" applyNumberFormat="1" applyFont="1" applyFill="1"/>
    <xf numFmtId="4" fontId="101" fillId="28" borderId="0" xfId="0" applyNumberFormat="1" applyFont="1" applyFill="1" applyAlignment="1">
      <alignment horizontal="center" vertical="center"/>
    </xf>
    <xf numFmtId="4" fontId="103" fillId="29" borderId="15" xfId="0" applyNumberFormat="1" applyFont="1" applyFill="1" applyBorder="1" applyAlignment="1">
      <alignment horizontal="center" vertical="center"/>
    </xf>
    <xf numFmtId="4" fontId="105" fillId="28" borderId="0" xfId="0" applyNumberFormat="1" applyFont="1" applyFill="1" applyAlignment="1">
      <alignment vertical="center"/>
    </xf>
    <xf numFmtId="4" fontId="106" fillId="28" borderId="0" xfId="0" applyNumberFormat="1" applyFont="1" applyFill="1" applyAlignment="1">
      <alignment vertical="center"/>
    </xf>
    <xf numFmtId="0" fontId="107" fillId="28" borderId="0" xfId="0" applyFont="1" applyFill="1" applyAlignment="1">
      <alignment vertical="center"/>
    </xf>
    <xf numFmtId="0" fontId="108" fillId="28" borderId="0" xfId="0" applyFont="1" applyFill="1" applyAlignment="1">
      <alignment vertical="center"/>
    </xf>
    <xf numFmtId="165" fontId="109" fillId="28" borderId="0" xfId="0" applyNumberFormat="1" applyFont="1" applyFill="1" applyAlignment="1">
      <alignment horizontal="right" vertical="center" wrapText="1"/>
    </xf>
    <xf numFmtId="165" fontId="110" fillId="28" borderId="0" xfId="0" applyNumberFormat="1" applyFont="1" applyFill="1" applyAlignment="1">
      <alignment horizontal="right" vertical="center" wrapText="1"/>
    </xf>
    <xf numFmtId="165" fontId="100" fillId="28" borderId="0" xfId="0" applyNumberFormat="1" applyFont="1" applyFill="1" applyAlignment="1">
      <alignment horizontal="right" vertical="center" wrapText="1"/>
    </xf>
    <xf numFmtId="0" fontId="110" fillId="28" borderId="0" xfId="0" applyFont="1" applyFill="1" applyAlignment="1">
      <alignment vertical="center"/>
    </xf>
    <xf numFmtId="0" fontId="109" fillId="28" borderId="0" xfId="0" applyFont="1" applyFill="1" applyAlignment="1">
      <alignment vertical="center"/>
    </xf>
    <xf numFmtId="4" fontId="109" fillId="28" borderId="0" xfId="0" applyNumberFormat="1" applyFont="1" applyFill="1" applyAlignment="1">
      <alignment vertical="center"/>
    </xf>
    <xf numFmtId="2" fontId="111" fillId="28" borderId="0" xfId="0" applyNumberFormat="1" applyFont="1" applyFill="1" applyAlignment="1">
      <alignment horizontal="center" vertical="center"/>
    </xf>
    <xf numFmtId="4" fontId="104" fillId="29" borderId="14" xfId="0" applyNumberFormat="1" applyFont="1" applyFill="1" applyBorder="1" applyAlignment="1">
      <alignment horizontal="center" vertical="center" wrapText="1"/>
    </xf>
    <xf numFmtId="4" fontId="104" fillId="29" borderId="8" xfId="0" applyNumberFormat="1" applyFont="1" applyFill="1" applyBorder="1" applyAlignment="1">
      <alignment horizontal="center" vertical="center" wrapText="1"/>
    </xf>
    <xf numFmtId="0" fontId="104" fillId="28" borderId="0" xfId="0" applyFont="1" applyFill="1" applyAlignment="1">
      <alignment horizontal="center" vertical="center"/>
    </xf>
    <xf numFmtId="0" fontId="0" fillId="28" borderId="0" xfId="0" applyFill="1"/>
    <xf numFmtId="2" fontId="15" fillId="0" borderId="15" xfId="36" applyNumberFormat="1" applyFont="1" applyFill="1" applyBorder="1" applyAlignment="1">
      <alignment horizontal="center" vertical="center" wrapText="1"/>
    </xf>
    <xf numFmtId="4" fontId="15" fillId="0" borderId="15" xfId="36" applyNumberFormat="1" applyFont="1" applyFill="1" applyBorder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0" fontId="0" fillId="28" borderId="0" xfId="0" applyFill="1"/>
    <xf numFmtId="4" fontId="31" fillId="28" borderId="0" xfId="0" applyNumberFormat="1" applyFont="1" applyFill="1" applyAlignment="1">
      <alignment horizontal="left" vertical="center" wrapText="1"/>
    </xf>
    <xf numFmtId="0" fontId="40" fillId="0" borderId="0" xfId="0" applyFont="1"/>
    <xf numFmtId="0" fontId="15" fillId="0" borderId="0" xfId="39" applyFont="1" applyAlignment="1">
      <alignment vertical="center"/>
    </xf>
    <xf numFmtId="0" fontId="0" fillId="28" borderId="0" xfId="0" applyFill="1" applyAlignment="1"/>
    <xf numFmtId="10" fontId="106" fillId="28" borderId="0" xfId="0" applyNumberFormat="1" applyFont="1" applyFill="1" applyAlignment="1">
      <alignment vertical="center"/>
    </xf>
    <xf numFmtId="0" fontId="0" fillId="0" borderId="0" xfId="0"/>
    <xf numFmtId="0" fontId="39" fillId="0" borderId="0" xfId="36" applyFont="1" applyAlignment="1">
      <alignment horizontal="center" vertical="center"/>
    </xf>
    <xf numFmtId="0" fontId="81" fillId="0" borderId="0" xfId="36" applyFont="1">
      <alignment vertical="top"/>
    </xf>
    <xf numFmtId="0" fontId="63" fillId="0" borderId="0" xfId="0" applyFont="1"/>
    <xf numFmtId="0" fontId="9" fillId="0" borderId="0" xfId="0" applyFont="1" applyFill="1" applyBorder="1" applyAlignment="1">
      <alignment horizontal="center" vertical="center"/>
    </xf>
    <xf numFmtId="0" fontId="39" fillId="0" borderId="0" xfId="36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36" applyFont="1" applyAlignment="1">
      <alignment horizontal="center" vertical="top"/>
    </xf>
    <xf numFmtId="49" fontId="30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63" fillId="0" borderId="0" xfId="0" applyFont="1"/>
    <xf numFmtId="0" fontId="77" fillId="0" borderId="0" xfId="39" applyFont="1"/>
    <xf numFmtId="0" fontId="77" fillId="0" borderId="0" xfId="39" applyFont="1" applyFill="1"/>
    <xf numFmtId="0" fontId="69" fillId="0" borderId="0" xfId="39" applyFont="1" applyFill="1" applyAlignment="1">
      <alignment wrapText="1"/>
    </xf>
    <xf numFmtId="0" fontId="115" fillId="0" borderId="0" xfId="39" applyFont="1" applyFill="1" applyAlignment="1">
      <alignment wrapText="1"/>
    </xf>
    <xf numFmtId="0" fontId="116" fillId="0" borderId="0" xfId="39" applyFont="1" applyFill="1" applyAlignment="1">
      <alignment wrapText="1"/>
    </xf>
    <xf numFmtId="0" fontId="77" fillId="0" borderId="0" xfId="39" applyFont="1" applyFill="1" applyAlignment="1">
      <alignment wrapText="1"/>
    </xf>
    <xf numFmtId="0" fontId="119" fillId="0" borderId="0" xfId="39" applyFont="1" applyFill="1" applyAlignment="1">
      <alignment wrapText="1"/>
    </xf>
    <xf numFmtId="4" fontId="117" fillId="28" borderId="24" xfId="39" applyNumberFormat="1" applyFont="1" applyFill="1" applyBorder="1" applyAlignment="1">
      <alignment horizontal="center" vertical="center" wrapText="1"/>
    </xf>
    <xf numFmtId="4" fontId="118" fillId="28" borderId="24" xfId="39" applyNumberFormat="1" applyFont="1" applyFill="1" applyBorder="1" applyAlignment="1">
      <alignment horizontal="center" vertical="center" wrapText="1"/>
    </xf>
    <xf numFmtId="0" fontId="77" fillId="0" borderId="0" xfId="39" applyFont="1" applyAlignment="1">
      <alignment vertical="center"/>
    </xf>
    <xf numFmtId="0" fontId="112" fillId="0" borderId="0" xfId="39" applyFont="1"/>
    <xf numFmtId="4" fontId="77" fillId="0" borderId="0" xfId="39" applyNumberFormat="1" applyFont="1" applyFill="1"/>
    <xf numFmtId="0" fontId="112" fillId="0" borderId="0" xfId="0" applyFont="1" applyAlignment="1">
      <alignment horizontal="justify" vertical="center"/>
    </xf>
    <xf numFmtId="0" fontId="113" fillId="0" borderId="0" xfId="39" applyFont="1"/>
    <xf numFmtId="4" fontId="77" fillId="0" borderId="0" xfId="39" applyNumberFormat="1" applyFont="1"/>
    <xf numFmtId="4" fontId="63" fillId="28" borderId="0" xfId="0" applyNumberFormat="1" applyFont="1" applyFill="1"/>
    <xf numFmtId="4" fontId="63" fillId="0" borderId="0" xfId="0" applyNumberFormat="1" applyFont="1"/>
    <xf numFmtId="4" fontId="63" fillId="28" borderId="0" xfId="0" applyNumberFormat="1" applyFont="1" applyFill="1" applyAlignment="1">
      <alignment horizontal="center" vertical="center"/>
    </xf>
    <xf numFmtId="0" fontId="77" fillId="28" borderId="24" xfId="0" applyFont="1" applyFill="1" applyBorder="1" applyAlignment="1">
      <alignment horizontal="center" vertical="center" wrapText="1"/>
    </xf>
    <xf numFmtId="0" fontId="77" fillId="28" borderId="24" xfId="0" applyFont="1" applyFill="1" applyBorder="1" applyAlignment="1">
      <alignment horizontal="left" vertical="center" wrapText="1"/>
    </xf>
    <xf numFmtId="4" fontId="77" fillId="28" borderId="24" xfId="0" applyNumberFormat="1" applyFont="1" applyFill="1" applyBorder="1" applyAlignment="1">
      <alignment horizontal="center" vertical="center" wrapText="1"/>
    </xf>
    <xf numFmtId="4" fontId="64" fillId="28" borderId="0" xfId="0" applyNumberFormat="1" applyFont="1" applyFill="1"/>
    <xf numFmtId="4" fontId="64" fillId="0" borderId="0" xfId="0" applyNumberFormat="1" applyFont="1"/>
    <xf numFmtId="0" fontId="77" fillId="0" borderId="0" xfId="0" applyFont="1"/>
    <xf numFmtId="0" fontId="66" fillId="0" borderId="0" xfId="0" applyFont="1"/>
    <xf numFmtId="49" fontId="62" fillId="0" borderId="15" xfId="0" applyNumberFormat="1" applyFont="1" applyFill="1" applyBorder="1" applyAlignment="1">
      <alignment horizontal="center" vertical="center" wrapText="1"/>
    </xf>
    <xf numFmtId="49" fontId="66" fillId="28" borderId="0" xfId="0" applyNumberFormat="1" applyFont="1" applyFill="1" applyAlignment="1">
      <alignment horizontal="center" vertical="center" wrapText="1"/>
    </xf>
    <xf numFmtId="49" fontId="65" fillId="36" borderId="15" xfId="0" applyNumberFormat="1" applyFont="1" applyFill="1" applyBorder="1" applyAlignment="1">
      <alignment horizontal="center" vertical="center" wrapText="1"/>
    </xf>
    <xf numFmtId="0" fontId="65" fillId="36" borderId="15" xfId="38" applyFont="1" applyFill="1" applyBorder="1" applyAlignment="1" applyProtection="1">
      <alignment horizontal="center" vertical="center" wrapText="1"/>
      <protection locked="0"/>
    </xf>
    <xf numFmtId="4" fontId="65" fillId="36" borderId="15" xfId="0" applyNumberFormat="1" applyFont="1" applyFill="1" applyBorder="1" applyAlignment="1">
      <alignment horizontal="center" vertical="center" wrapText="1"/>
    </xf>
    <xf numFmtId="49" fontId="62" fillId="35" borderId="15" xfId="0" applyNumberFormat="1" applyFont="1" applyFill="1" applyBorder="1" applyAlignment="1">
      <alignment horizontal="center" vertical="center" wrapText="1"/>
    </xf>
    <xf numFmtId="0" fontId="62" fillId="35" borderId="15" xfId="38" applyFont="1" applyFill="1" applyBorder="1" applyAlignment="1" applyProtection="1">
      <alignment horizontal="center" vertical="center" wrapText="1"/>
      <protection locked="0"/>
    </xf>
    <xf numFmtId="4" fontId="62" fillId="35" borderId="15" xfId="38" applyNumberFormat="1" applyFont="1" applyFill="1" applyBorder="1" applyAlignment="1" applyProtection="1">
      <alignment horizontal="center" vertical="center" wrapText="1"/>
      <protection locked="0"/>
    </xf>
    <xf numFmtId="4" fontId="70" fillId="0" borderId="15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4" fontId="67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5" xfId="38" applyNumberFormat="1" applyFont="1" applyFill="1" applyBorder="1" applyAlignment="1">
      <alignment horizontal="center" vertical="center" wrapText="1"/>
    </xf>
    <xf numFmtId="4" fontId="70" fillId="0" borderId="15" xfId="38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0" fontId="114" fillId="28" borderId="0" xfId="0" applyFont="1" applyFill="1"/>
    <xf numFmtId="4" fontId="67" fillId="0" borderId="15" xfId="0" applyNumberFormat="1" applyFont="1" applyFill="1" applyBorder="1" applyAlignment="1">
      <alignment horizontal="center" vertical="center" wrapText="1"/>
    </xf>
    <xf numFmtId="0" fontId="117" fillId="28" borderId="0" xfId="0" applyFont="1" applyFill="1"/>
    <xf numFmtId="49" fontId="65" fillId="0" borderId="15" xfId="0" applyNumberFormat="1" applyFont="1" applyFill="1" applyBorder="1" applyAlignment="1">
      <alignment horizontal="center" vertical="center" wrapText="1"/>
    </xf>
    <xf numFmtId="4" fontId="83" fillId="0" borderId="15" xfId="0" applyNumberFormat="1" applyFont="1" applyFill="1" applyBorder="1" applyAlignment="1">
      <alignment horizontal="center" vertical="center" wrapText="1"/>
    </xf>
    <xf numFmtId="0" fontId="118" fillId="28" borderId="0" xfId="0" applyFont="1" applyFill="1"/>
    <xf numFmtId="0" fontId="77" fillId="28" borderId="0" xfId="0" applyFont="1" applyFill="1"/>
    <xf numFmtId="49" fontId="93" fillId="0" borderId="15" xfId="0" applyNumberFormat="1" applyFont="1" applyFill="1" applyBorder="1" applyAlignment="1">
      <alignment horizontal="center" vertical="center" wrapText="1"/>
    </xf>
    <xf numFmtId="4" fontId="120" fillId="0" borderId="15" xfId="0" applyNumberFormat="1" applyFont="1" applyFill="1" applyBorder="1" applyAlignment="1">
      <alignment horizontal="center" vertical="center" wrapText="1"/>
    </xf>
    <xf numFmtId="0" fontId="66" fillId="0" borderId="16" xfId="38" applyFont="1" applyFill="1" applyBorder="1" applyAlignment="1" applyProtection="1">
      <alignment horizontal="center" wrapText="1"/>
      <protection locked="0"/>
    </xf>
    <xf numFmtId="4" fontId="121" fillId="28" borderId="0" xfId="0" applyNumberFormat="1" applyFont="1" applyFill="1" applyAlignment="1">
      <alignment horizontal="center" vertical="center"/>
    </xf>
    <xf numFmtId="0" fontId="66" fillId="0" borderId="0" xfId="38" applyFont="1" applyFill="1" applyBorder="1" applyAlignment="1" applyProtection="1">
      <alignment horizontal="center" vertical="top" wrapText="1"/>
      <protection locked="0"/>
    </xf>
    <xf numFmtId="4" fontId="73" fillId="28" borderId="0" xfId="0" applyNumberFormat="1" applyFont="1" applyFill="1"/>
    <xf numFmtId="49" fontId="93" fillId="28" borderId="15" xfId="0" applyNumberFormat="1" applyFont="1" applyFill="1" applyBorder="1" applyAlignment="1">
      <alignment horizontal="center" vertical="center" wrapText="1"/>
    </xf>
    <xf numFmtId="4" fontId="120" fillId="28" borderId="15" xfId="0" applyNumberFormat="1" applyFont="1" applyFill="1" applyBorder="1" applyAlignment="1">
      <alignment horizontal="center" vertical="center" wrapText="1"/>
    </xf>
    <xf numFmtId="49" fontId="62" fillId="28" borderId="15" xfId="0" applyNumberFormat="1" applyFont="1" applyFill="1" applyBorder="1" applyAlignment="1">
      <alignment horizontal="center" vertical="center" wrapText="1"/>
    </xf>
    <xf numFmtId="49" fontId="65" fillId="28" borderId="15" xfId="0" applyNumberFormat="1" applyFont="1" applyFill="1" applyBorder="1" applyAlignment="1">
      <alignment horizontal="center" vertical="center" wrapText="1"/>
    </xf>
    <xf numFmtId="4" fontId="83" fillId="28" borderId="15" xfId="0" applyNumberFormat="1" applyFont="1" applyFill="1" applyBorder="1" applyAlignment="1">
      <alignment horizontal="center" vertical="center" wrapText="1"/>
    </xf>
    <xf numFmtId="0" fontId="124" fillId="28" borderId="0" xfId="0" applyFont="1" applyFill="1"/>
    <xf numFmtId="4" fontId="67" fillId="28" borderId="0" xfId="0" applyNumberFormat="1" applyFont="1" applyFill="1" applyAlignment="1">
      <alignment horizontal="center" vertical="center" wrapText="1"/>
    </xf>
    <xf numFmtId="0" fontId="66" fillId="0" borderId="15" xfId="0" applyFont="1" applyFill="1" applyBorder="1" applyAlignment="1">
      <alignment horizontal="center" vertical="center" wrapText="1"/>
    </xf>
    <xf numFmtId="4" fontId="7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93" fillId="0" borderId="15" xfId="38" applyFont="1" applyFill="1" applyBorder="1" applyAlignment="1" applyProtection="1">
      <alignment horizontal="center" vertical="center" wrapText="1"/>
      <protection locked="0"/>
    </xf>
    <xf numFmtId="0" fontId="66" fillId="28" borderId="15" xfId="38" applyFont="1" applyFill="1" applyBorder="1" applyAlignment="1" applyProtection="1">
      <alignment horizontal="center" vertical="center" wrapText="1"/>
      <protection locked="0"/>
    </xf>
    <xf numFmtId="0" fontId="66" fillId="0" borderId="0" xfId="38" applyFont="1" applyFill="1" applyBorder="1" applyAlignment="1" applyProtection="1">
      <alignment horizontal="center" wrapText="1"/>
      <protection locked="0"/>
    </xf>
    <xf numFmtId="0" fontId="66" fillId="0" borderId="17" xfId="38" applyFont="1" applyFill="1" applyBorder="1" applyAlignment="1" applyProtection="1">
      <alignment horizontal="center" vertical="top" wrapText="1"/>
      <protection locked="0"/>
    </xf>
    <xf numFmtId="4" fontId="120" fillId="28" borderId="0" xfId="0" applyNumberFormat="1" applyFont="1" applyFill="1" applyAlignment="1">
      <alignment horizontal="center" vertical="center" wrapText="1"/>
    </xf>
    <xf numFmtId="4" fontId="12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70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67" fillId="28" borderId="15" xfId="38" applyNumberFormat="1" applyFont="1" applyFill="1" applyBorder="1" applyAlignment="1" applyProtection="1">
      <alignment horizontal="center" vertical="center" wrapText="1"/>
      <protection locked="0"/>
    </xf>
    <xf numFmtId="0" fontId="112" fillId="28" borderId="0" xfId="0" applyFont="1" applyFill="1"/>
    <xf numFmtId="0" fontId="66" fillId="28" borderId="0" xfId="38" applyFont="1" applyFill="1" applyBorder="1" applyAlignment="1" applyProtection="1">
      <alignment horizontal="center" wrapText="1"/>
      <protection locked="0"/>
    </xf>
    <xf numFmtId="0" fontId="66" fillId="28" borderId="17" xfId="38" applyFont="1" applyFill="1" applyBorder="1" applyAlignment="1" applyProtection="1">
      <alignment horizontal="center" vertical="top" wrapText="1"/>
      <protection locked="0"/>
    </xf>
    <xf numFmtId="4" fontId="67" fillId="28" borderId="15" xfId="38" applyNumberFormat="1" applyFont="1" applyFill="1" applyBorder="1" applyAlignment="1">
      <alignment horizontal="center" vertical="center" wrapText="1"/>
    </xf>
    <xf numFmtId="4" fontId="65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5" fillId="0" borderId="15" xfId="0" applyFont="1" applyFill="1" applyBorder="1" applyAlignment="1">
      <alignment horizontal="center" vertical="center" wrapText="1"/>
    </xf>
    <xf numFmtId="0" fontId="93" fillId="0" borderId="15" xfId="0" applyFont="1" applyFill="1" applyBorder="1" applyAlignment="1">
      <alignment horizontal="center" vertical="center" wrapText="1"/>
    </xf>
    <xf numFmtId="0" fontId="125" fillId="0" borderId="0" xfId="0" applyFont="1" applyFill="1" applyAlignment="1">
      <alignment horizontal="left" vertical="center"/>
    </xf>
    <xf numFmtId="0" fontId="126" fillId="0" borderId="0" xfId="0" applyFont="1" applyFill="1" applyAlignment="1">
      <alignment horizontal="left" vertical="center"/>
    </xf>
    <xf numFmtId="0" fontId="77" fillId="0" borderId="0" xfId="35" applyFont="1"/>
    <xf numFmtId="0" fontId="77" fillId="0" borderId="0" xfId="35" applyFont="1" applyFill="1"/>
    <xf numFmtId="0" fontId="78" fillId="0" borderId="9" xfId="35" applyFont="1" applyFill="1" applyBorder="1"/>
    <xf numFmtId="0" fontId="78" fillId="0" borderId="10" xfId="35" applyFont="1" applyFill="1" applyBorder="1"/>
    <xf numFmtId="0" fontId="116" fillId="0" borderId="0" xfId="35" applyFont="1"/>
    <xf numFmtId="49" fontId="119" fillId="36" borderId="15" xfId="0" applyNumberFormat="1" applyFont="1" applyFill="1" applyBorder="1" applyAlignment="1">
      <alignment horizontal="center" vertical="center" wrapText="1"/>
    </xf>
    <xf numFmtId="0" fontId="119" fillId="36" borderId="15" xfId="38" applyFont="1" applyFill="1" applyBorder="1" applyAlignment="1" applyProtection="1">
      <alignment horizontal="center" vertical="center" wrapText="1"/>
      <protection locked="0"/>
    </xf>
    <xf numFmtId="4" fontId="119" fillId="36" borderId="15" xfId="0" applyNumberFormat="1" applyFont="1" applyFill="1" applyBorder="1" applyAlignment="1">
      <alignment horizontal="center" vertical="center" wrapText="1"/>
    </xf>
    <xf numFmtId="0" fontId="127" fillId="0" borderId="0" xfId="35" applyFont="1"/>
    <xf numFmtId="49" fontId="115" fillId="35" borderId="15" xfId="0" applyNumberFormat="1" applyFont="1" applyFill="1" applyBorder="1" applyAlignment="1">
      <alignment horizontal="center" vertical="center" wrapText="1"/>
    </xf>
    <xf numFmtId="0" fontId="115" fillId="35" borderId="15" xfId="38" applyFont="1" applyFill="1" applyBorder="1" applyAlignment="1" applyProtection="1">
      <alignment horizontal="center" vertical="center" wrapText="1"/>
      <protection locked="0"/>
    </xf>
    <xf numFmtId="4" fontId="115" fillId="35" borderId="15" xfId="0" applyNumberFormat="1" applyFont="1" applyFill="1" applyBorder="1" applyAlignment="1">
      <alignment horizontal="center" vertical="center" wrapText="1"/>
    </xf>
    <xf numFmtId="0" fontId="69" fillId="0" borderId="0" xfId="35" applyFont="1" applyAlignment="1">
      <alignment horizontal="center" vertical="center" wrapText="1"/>
    </xf>
    <xf numFmtId="4" fontId="115" fillId="0" borderId="0" xfId="35" applyNumberFormat="1" applyFont="1" applyAlignment="1">
      <alignment horizontal="center" vertical="center"/>
    </xf>
    <xf numFmtId="0" fontId="128" fillId="0" borderId="0" xfId="0" applyFont="1" applyAlignment="1">
      <alignment vertical="center"/>
    </xf>
    <xf numFmtId="4" fontId="129" fillId="0" borderId="0" xfId="0" applyNumberFormat="1" applyFont="1" applyAlignment="1">
      <alignment vertical="center"/>
    </xf>
    <xf numFmtId="4" fontId="130" fillId="0" borderId="0" xfId="0" applyNumberFormat="1" applyFont="1" applyAlignment="1">
      <alignment vertical="center"/>
    </xf>
    <xf numFmtId="0" fontId="130" fillId="0" borderId="0" xfId="0" applyFont="1" applyAlignment="1">
      <alignment vertical="center"/>
    </xf>
    <xf numFmtId="4" fontId="128" fillId="0" borderId="0" xfId="0" applyNumberFormat="1" applyFont="1" applyAlignment="1">
      <alignment vertical="center"/>
    </xf>
    <xf numFmtId="0" fontId="129" fillId="0" borderId="0" xfId="0" applyFont="1" applyAlignment="1">
      <alignment vertical="center"/>
    </xf>
    <xf numFmtId="0" fontId="131" fillId="0" borderId="0" xfId="35" applyFont="1"/>
    <xf numFmtId="0" fontId="67" fillId="0" borderId="0" xfId="35" applyFont="1"/>
    <xf numFmtId="0" fontId="132" fillId="0" borderId="0" xfId="35" applyFont="1"/>
    <xf numFmtId="0" fontId="88" fillId="0" borderId="0" xfId="0" applyFont="1" applyFill="1" applyAlignment="1">
      <alignment vertical="center"/>
    </xf>
    <xf numFmtId="0" fontId="133" fillId="27" borderId="0" xfId="0" applyFont="1" applyFill="1"/>
    <xf numFmtId="0" fontId="63" fillId="27" borderId="0" xfId="0" applyFont="1" applyFill="1"/>
    <xf numFmtId="0" fontId="66" fillId="0" borderId="0" xfId="0" applyFont="1" applyFill="1" applyAlignment="1">
      <alignment vertical="center"/>
    </xf>
    <xf numFmtId="0" fontId="64" fillId="27" borderId="0" xfId="0" applyFont="1" applyFill="1"/>
    <xf numFmtId="4" fontId="66" fillId="0" borderId="15" xfId="0" applyNumberFormat="1" applyFont="1" applyFill="1" applyBorder="1" applyAlignment="1">
      <alignment horizontal="center" vertical="center" wrapText="1"/>
    </xf>
    <xf numFmtId="0" fontId="134" fillId="27" borderId="0" xfId="0" applyFont="1" applyFill="1"/>
    <xf numFmtId="49" fontId="66" fillId="27" borderId="15" xfId="0" applyNumberFormat="1" applyFont="1" applyFill="1" applyBorder="1" applyAlignment="1">
      <alignment horizontal="center" vertical="center" wrapText="1"/>
    </xf>
    <xf numFmtId="4" fontId="66" fillId="27" borderId="15" xfId="0" applyNumberFormat="1" applyFont="1" applyFill="1" applyBorder="1" applyAlignment="1">
      <alignment horizontal="center" vertical="center" wrapText="1"/>
    </xf>
    <xf numFmtId="4" fontId="62" fillId="27" borderId="15" xfId="0" applyNumberFormat="1" applyFont="1" applyFill="1" applyBorder="1" applyAlignment="1">
      <alignment horizontal="center" vertical="center" wrapText="1"/>
    </xf>
    <xf numFmtId="49" fontId="66" fillId="27" borderId="15" xfId="0" applyNumberFormat="1" applyFont="1" applyFill="1" applyBorder="1" applyAlignment="1">
      <alignment horizontal="left" vertical="center" wrapText="1"/>
    </xf>
    <xf numFmtId="0" fontId="66" fillId="0" borderId="0" xfId="39" applyFont="1"/>
    <xf numFmtId="0" fontId="66" fillId="0" borderId="0" xfId="0" applyFont="1" applyAlignment="1">
      <alignment horizontal="left" vertical="center"/>
    </xf>
    <xf numFmtId="0" fontId="66" fillId="0" borderId="0" xfId="39" applyFont="1" applyFill="1"/>
    <xf numFmtId="0" fontId="66" fillId="0" borderId="0" xfId="0" applyFont="1" applyFill="1" applyAlignment="1">
      <alignment horizontal="left" vertical="center"/>
    </xf>
    <xf numFmtId="0" fontId="73" fillId="27" borderId="0" xfId="0" applyFont="1" applyFill="1"/>
    <xf numFmtId="0" fontId="88" fillId="27" borderId="0" xfId="0" applyFont="1" applyFill="1" applyAlignment="1">
      <alignment vertical="center"/>
    </xf>
    <xf numFmtId="0" fontId="77" fillId="28" borderId="0" xfId="35" applyFont="1" applyFill="1"/>
    <xf numFmtId="49" fontId="119" fillId="30" borderId="15" xfId="0" applyNumberFormat="1" applyFont="1" applyFill="1" applyBorder="1" applyAlignment="1">
      <alignment horizontal="center" vertical="center" wrapText="1"/>
    </xf>
    <xf numFmtId="0" fontId="119" fillId="30" borderId="15" xfId="38" applyFont="1" applyFill="1" applyBorder="1" applyAlignment="1" applyProtection="1">
      <alignment horizontal="center" vertical="center" wrapText="1"/>
      <protection locked="0"/>
    </xf>
    <xf numFmtId="4" fontId="119" fillId="30" borderId="15" xfId="0" applyNumberFormat="1" applyFont="1" applyFill="1" applyBorder="1" applyAlignment="1">
      <alignment horizontal="center" vertical="center" wrapText="1"/>
    </xf>
    <xf numFmtId="49" fontId="115" fillId="31" borderId="15" xfId="0" applyNumberFormat="1" applyFont="1" applyFill="1" applyBorder="1" applyAlignment="1">
      <alignment horizontal="center" vertical="center" wrapText="1"/>
    </xf>
    <xf numFmtId="0" fontId="115" fillId="31" borderId="15" xfId="38" applyFont="1" applyFill="1" applyBorder="1" applyAlignment="1" applyProtection="1">
      <alignment horizontal="center" vertical="center" wrapText="1"/>
      <protection locked="0"/>
    </xf>
    <xf numFmtId="4" fontId="115" fillId="31" borderId="15" xfId="0" applyNumberFormat="1" applyFont="1" applyFill="1" applyBorder="1" applyAlignment="1">
      <alignment horizontal="center" vertical="center" wrapText="1"/>
    </xf>
    <xf numFmtId="49" fontId="69" fillId="28" borderId="15" xfId="0" applyNumberFormat="1" applyFont="1" applyFill="1" applyBorder="1" applyAlignment="1">
      <alignment horizontal="center" vertical="center" wrapText="1"/>
    </xf>
    <xf numFmtId="0" fontId="69" fillId="28" borderId="15" xfId="18" applyFont="1" applyFill="1" applyBorder="1" applyAlignment="1">
      <alignment horizontal="center" vertical="center" wrapText="1"/>
    </xf>
    <xf numFmtId="0" fontId="115" fillId="28" borderId="15" xfId="35" applyFont="1" applyFill="1" applyBorder="1" applyAlignment="1">
      <alignment horizontal="center" vertical="center" wrapText="1"/>
    </xf>
    <xf numFmtId="4" fontId="115" fillId="28" borderId="15" xfId="35" applyNumberFormat="1" applyFont="1" applyFill="1" applyBorder="1" applyAlignment="1">
      <alignment horizontal="center" vertical="center" wrapText="1"/>
    </xf>
    <xf numFmtId="4" fontId="69" fillId="28" borderId="15" xfId="0" applyNumberFormat="1" applyFont="1" applyFill="1" applyBorder="1" applyAlignment="1">
      <alignment horizontal="center" vertical="center" wrapText="1"/>
    </xf>
    <xf numFmtId="165" fontId="69" fillId="28" borderId="15" xfId="30" applyNumberFormat="1" applyFont="1" applyFill="1" applyBorder="1" applyAlignment="1">
      <alignment horizontal="center" vertical="center"/>
    </xf>
    <xf numFmtId="4" fontId="69" fillId="28" borderId="15" xfId="30" applyNumberFormat="1" applyFont="1" applyFill="1" applyBorder="1" applyAlignment="1">
      <alignment horizontal="center" vertical="center"/>
    </xf>
    <xf numFmtId="9" fontId="69" fillId="28" borderId="15" xfId="0" applyNumberFormat="1" applyFont="1" applyFill="1" applyBorder="1" applyAlignment="1">
      <alignment horizontal="center" vertical="center" wrapText="1"/>
    </xf>
    <xf numFmtId="9" fontId="119" fillId="36" borderId="15" xfId="0" applyNumberFormat="1" applyFont="1" applyFill="1" applyBorder="1" applyAlignment="1">
      <alignment horizontal="center" vertical="center" wrapText="1"/>
    </xf>
    <xf numFmtId="9" fontId="115" fillId="35" borderId="15" xfId="0" applyNumberFormat="1" applyFont="1" applyFill="1" applyBorder="1" applyAlignment="1">
      <alignment horizontal="center" vertical="center" wrapText="1"/>
    </xf>
    <xf numFmtId="49" fontId="69" fillId="0" borderId="15" xfId="0" applyNumberFormat="1" applyFont="1" applyFill="1" applyBorder="1" applyAlignment="1">
      <alignment horizontal="center" vertical="center" wrapText="1"/>
    </xf>
    <xf numFmtId="165" fontId="69" fillId="0" borderId="15" xfId="30" applyNumberFormat="1" applyFont="1" applyFill="1" applyBorder="1" applyAlignment="1">
      <alignment horizontal="center" vertical="center" wrapText="1"/>
    </xf>
    <xf numFmtId="165" fontId="69" fillId="0" borderId="15" xfId="30" applyNumberFormat="1" applyFont="1" applyFill="1" applyBorder="1" applyAlignment="1">
      <alignment horizontal="center" vertical="center"/>
    </xf>
    <xf numFmtId="4" fontId="69" fillId="0" borderId="15" xfId="30" applyNumberFormat="1" applyFont="1" applyBorder="1" applyAlignment="1">
      <alignment horizontal="center" vertical="center"/>
    </xf>
    <xf numFmtId="4" fontId="69" fillId="0" borderId="15" xfId="0" applyNumberFormat="1" applyFont="1" applyFill="1" applyBorder="1" applyAlignment="1">
      <alignment horizontal="center" vertical="center" wrapText="1"/>
    </xf>
    <xf numFmtId="9" fontId="69" fillId="0" borderId="15" xfId="0" applyNumberFormat="1" applyFont="1" applyFill="1" applyBorder="1" applyAlignment="1">
      <alignment horizontal="center" vertical="center" wrapText="1"/>
    </xf>
    <xf numFmtId="0" fontId="135" fillId="28" borderId="0" xfId="35" applyFont="1" applyFill="1" applyAlignment="1">
      <alignment horizontal="left" vertical="center"/>
    </xf>
    <xf numFmtId="4" fontId="77" fillId="28" borderId="0" xfId="35" applyNumberFormat="1" applyFont="1" applyFill="1" applyAlignment="1">
      <alignment horizontal="left" vertical="center"/>
    </xf>
    <xf numFmtId="4" fontId="69" fillId="0" borderId="15" xfId="30" applyNumberFormat="1" applyFont="1" applyFill="1" applyBorder="1" applyAlignment="1">
      <alignment horizontal="center" vertical="center"/>
    </xf>
    <xf numFmtId="0" fontId="114" fillId="28" borderId="0" xfId="35" applyFont="1" applyFill="1" applyAlignment="1">
      <alignment horizontal="left" vertical="center"/>
    </xf>
    <xf numFmtId="0" fontId="69" fillId="0" borderId="15" xfId="100" applyFont="1" applyBorder="1" applyAlignment="1">
      <alignment horizontal="center" vertical="center" wrapText="1"/>
    </xf>
    <xf numFmtId="165" fontId="69" fillId="0" borderId="15" xfId="30" applyNumberFormat="1" applyFont="1" applyBorder="1" applyAlignment="1">
      <alignment horizontal="center" vertical="center"/>
    </xf>
    <xf numFmtId="4" fontId="69" fillId="0" borderId="15" xfId="0" applyNumberFormat="1" applyFont="1" applyBorder="1" applyAlignment="1">
      <alignment horizontal="center" vertical="center" wrapText="1"/>
    </xf>
    <xf numFmtId="9" fontId="69" fillId="0" borderId="15" xfId="0" applyNumberFormat="1" applyFont="1" applyBorder="1" applyAlignment="1">
      <alignment horizontal="center" vertical="center" wrapText="1"/>
    </xf>
    <xf numFmtId="9" fontId="119" fillId="30" borderId="15" xfId="0" applyNumberFormat="1" applyFont="1" applyFill="1" applyBorder="1" applyAlignment="1">
      <alignment horizontal="center" vertical="center" wrapText="1"/>
    </xf>
    <xf numFmtId="9" fontId="115" fillId="31" borderId="15" xfId="0" applyNumberFormat="1" applyFont="1" applyFill="1" applyBorder="1" applyAlignment="1">
      <alignment horizontal="center" vertical="center" wrapText="1"/>
    </xf>
    <xf numFmtId="0" fontId="69" fillId="28" borderId="15" xfId="100" applyFont="1" applyFill="1" applyBorder="1" applyAlignment="1">
      <alignment horizontal="center" vertical="center" wrapText="1"/>
    </xf>
    <xf numFmtId="49" fontId="119" fillId="32" borderId="15" xfId="0" applyNumberFormat="1" applyFont="1" applyFill="1" applyBorder="1" applyAlignment="1">
      <alignment horizontal="center" vertical="center" wrapText="1"/>
    </xf>
    <xf numFmtId="0" fontId="119" fillId="32" borderId="15" xfId="38" applyFont="1" applyFill="1" applyBorder="1" applyAlignment="1" applyProtection="1">
      <alignment horizontal="center" vertical="center" wrapText="1"/>
      <protection locked="0"/>
    </xf>
    <xf numFmtId="4" fontId="119" fillId="32" borderId="15" xfId="0" applyNumberFormat="1" applyFont="1" applyFill="1" applyBorder="1" applyAlignment="1">
      <alignment horizontal="center" vertical="center" wrapText="1"/>
    </xf>
    <xf numFmtId="9" fontId="119" fillId="32" borderId="15" xfId="0" applyNumberFormat="1" applyFont="1" applyFill="1" applyBorder="1" applyAlignment="1">
      <alignment horizontal="center" vertical="center" wrapText="1"/>
    </xf>
    <xf numFmtId="49" fontId="115" fillId="33" borderId="15" xfId="0" applyNumberFormat="1" applyFont="1" applyFill="1" applyBorder="1" applyAlignment="1">
      <alignment horizontal="center" vertical="center" wrapText="1"/>
    </xf>
    <xf numFmtId="0" fontId="115" fillId="33" borderId="15" xfId="38" applyFont="1" applyFill="1" applyBorder="1" applyAlignment="1" applyProtection="1">
      <alignment horizontal="center" vertical="center" wrapText="1"/>
      <protection locked="0"/>
    </xf>
    <xf numFmtId="4" fontId="115" fillId="33" borderId="15" xfId="0" applyNumberFormat="1" applyFont="1" applyFill="1" applyBorder="1" applyAlignment="1">
      <alignment horizontal="center" vertical="center" wrapText="1"/>
    </xf>
    <xf numFmtId="9" fontId="115" fillId="33" borderId="15" xfId="0" applyNumberFormat="1" applyFont="1" applyFill="1" applyBorder="1" applyAlignment="1">
      <alignment horizontal="center" vertical="center" wrapText="1"/>
    </xf>
    <xf numFmtId="9" fontId="69" fillId="0" borderId="15" xfId="30" applyNumberFormat="1" applyFont="1" applyFill="1" applyBorder="1" applyAlignment="1">
      <alignment horizontal="center" vertical="center"/>
    </xf>
    <xf numFmtId="0" fontId="69" fillId="0" borderId="15" xfId="18" applyFont="1" applyFill="1" applyBorder="1" applyAlignment="1">
      <alignment horizontal="center" vertical="center" wrapText="1"/>
    </xf>
    <xf numFmtId="0" fontId="118" fillId="28" borderId="0" xfId="35" applyFont="1" applyFill="1"/>
    <xf numFmtId="0" fontId="137" fillId="28" borderId="0" xfId="35" applyFont="1" applyFill="1" applyAlignment="1">
      <alignment vertical="center"/>
    </xf>
    <xf numFmtId="9" fontId="69" fillId="0" borderId="15" xfId="30" applyNumberFormat="1" applyFont="1" applyBorder="1" applyAlignment="1">
      <alignment horizontal="center" vertical="center"/>
    </xf>
    <xf numFmtId="49" fontId="69" fillId="0" borderId="15" xfId="0" applyNumberFormat="1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5" xfId="45" applyFont="1" applyBorder="1" applyAlignment="1">
      <alignment horizontal="center" vertical="center" wrapText="1"/>
    </xf>
    <xf numFmtId="4" fontId="112" fillId="28" borderId="0" xfId="35" applyNumberFormat="1" applyFont="1" applyFill="1" applyAlignment="1">
      <alignment horizontal="center" vertical="center"/>
    </xf>
    <xf numFmtId="0" fontId="112" fillId="0" borderId="0" xfId="35" applyFont="1"/>
    <xf numFmtId="0" fontId="77" fillId="0" borderId="0" xfId="35" applyFont="1" applyAlignment="1">
      <alignment horizontal="center" vertical="center"/>
    </xf>
    <xf numFmtId="0" fontId="77" fillId="6" borderId="0" xfId="35" applyFont="1" applyFill="1"/>
    <xf numFmtId="0" fontId="77" fillId="25" borderId="0" xfId="35" applyFont="1" applyFill="1"/>
    <xf numFmtId="0" fontId="118" fillId="0" borderId="0" xfId="35" applyFont="1"/>
    <xf numFmtId="0" fontId="77" fillId="26" borderId="0" xfId="35" applyFont="1" applyFill="1" applyAlignment="1">
      <alignment horizontal="center" vertical="center"/>
    </xf>
    <xf numFmtId="0" fontId="67" fillId="26" borderId="0" xfId="35" applyFont="1" applyFill="1" applyAlignment="1">
      <alignment horizontal="center" vertical="center"/>
    </xf>
    <xf numFmtId="4" fontId="83" fillId="29" borderId="14" xfId="0" applyNumberFormat="1" applyFont="1" applyFill="1" applyBorder="1" applyAlignment="1">
      <alignment horizontal="center" vertical="center" wrapText="1"/>
    </xf>
    <xf numFmtId="165" fontId="66" fillId="0" borderId="15" xfId="30" applyNumberFormat="1" applyFont="1" applyFill="1" applyBorder="1" applyAlignment="1">
      <alignment horizontal="center" vertical="center" wrapText="1"/>
    </xf>
    <xf numFmtId="4" fontId="66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29" borderId="0" xfId="0" applyNumberFormat="1" applyFont="1" applyFill="1" applyBorder="1" applyAlignment="1">
      <alignment horizontal="center" vertical="center" wrapText="1"/>
    </xf>
    <xf numFmtId="165" fontId="66" fillId="28" borderId="15" xfId="30" applyNumberFormat="1" applyFont="1" applyFill="1" applyBorder="1" applyAlignment="1">
      <alignment horizontal="center" vertical="center" wrapText="1"/>
    </xf>
    <xf numFmtId="4" fontId="66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139" fillId="28" borderId="0" xfId="0" applyNumberFormat="1" applyFont="1" applyFill="1" applyAlignment="1">
      <alignment horizontal="center" vertical="center" wrapText="1"/>
    </xf>
    <xf numFmtId="4" fontId="83" fillId="29" borderId="8" xfId="0" applyNumberFormat="1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/>
    </xf>
    <xf numFmtId="0" fontId="66" fillId="28" borderId="15" xfId="0" applyFont="1" applyFill="1" applyBorder="1" applyAlignment="1">
      <alignment horizontal="center" vertical="center" wrapText="1"/>
    </xf>
    <xf numFmtId="165" fontId="66" fillId="28" borderId="0" xfId="30" applyNumberFormat="1" applyFont="1" applyFill="1" applyBorder="1" applyAlignment="1">
      <alignment horizontal="center" vertical="center" wrapText="1"/>
    </xf>
    <xf numFmtId="165" fontId="66" fillId="26" borderId="15" xfId="30" applyNumberFormat="1" applyFont="1" applyFill="1" applyBorder="1" applyAlignment="1">
      <alignment horizontal="center" vertical="center" wrapText="1"/>
    </xf>
    <xf numFmtId="4" fontId="66" fillId="26" borderId="15" xfId="0" applyNumberFormat="1" applyFont="1" applyFill="1" applyBorder="1" applyAlignment="1">
      <alignment horizontal="center" vertical="center" wrapText="1"/>
    </xf>
    <xf numFmtId="4" fontId="66" fillId="28" borderId="0" xfId="30" applyNumberFormat="1" applyFont="1" applyFill="1" applyBorder="1" applyAlignment="1">
      <alignment horizontal="center" vertical="center" wrapText="1"/>
    </xf>
    <xf numFmtId="4" fontId="140" fillId="0" borderId="15" xfId="0" applyNumberFormat="1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4" fontId="140" fillId="28" borderId="15" xfId="0" applyNumberFormat="1" applyFont="1" applyFill="1" applyBorder="1" applyAlignment="1">
      <alignment horizontal="center" vertical="center" wrapText="1"/>
    </xf>
    <xf numFmtId="4" fontId="66" fillId="28" borderId="16" xfId="0" applyNumberFormat="1" applyFont="1" applyFill="1" applyBorder="1" applyAlignment="1">
      <alignment horizontal="center" vertical="center" wrapText="1"/>
    </xf>
    <xf numFmtId="4" fontId="65" fillId="28" borderId="0" xfId="38" applyNumberFormat="1" applyFont="1" applyFill="1" applyBorder="1" applyAlignment="1" applyProtection="1">
      <alignment horizontal="center" vertical="center" wrapText="1"/>
      <protection locked="0"/>
    </xf>
    <xf numFmtId="4" fontId="66" fillId="0" borderId="15" xfId="38" applyNumberFormat="1" applyFont="1" applyFill="1" applyBorder="1" applyAlignment="1">
      <alignment horizontal="center" vertical="center" wrapText="1"/>
    </xf>
    <xf numFmtId="4" fontId="66" fillId="28" borderId="15" xfId="38" applyNumberFormat="1" applyFont="1" applyFill="1" applyBorder="1" applyAlignment="1">
      <alignment horizontal="center" vertical="center" wrapText="1"/>
    </xf>
    <xf numFmtId="4" fontId="66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66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6" fillId="0" borderId="16" xfId="38" applyNumberFormat="1" applyFont="1" applyFill="1" applyBorder="1" applyAlignment="1">
      <alignment horizontal="center" vertical="center" wrapText="1"/>
    </xf>
    <xf numFmtId="165" fontId="140" fillId="0" borderId="15" xfId="30" applyNumberFormat="1" applyFont="1" applyFill="1" applyBorder="1" applyAlignment="1">
      <alignment horizontal="center" vertical="center" wrapText="1"/>
    </xf>
    <xf numFmtId="0" fontId="141" fillId="28" borderId="0" xfId="0" applyFont="1" applyFill="1" applyAlignment="1">
      <alignment horizontal="center" vertical="center"/>
    </xf>
    <xf numFmtId="0" fontId="142" fillId="28" borderId="0" xfId="0" applyFont="1" applyFill="1"/>
    <xf numFmtId="0" fontId="77" fillId="0" borderId="0" xfId="0" applyFont="1" applyFill="1"/>
    <xf numFmtId="0" fontId="88" fillId="0" borderId="0" xfId="0" applyFont="1" applyAlignment="1">
      <alignment vertical="center"/>
    </xf>
    <xf numFmtId="4" fontId="62" fillId="0" borderId="0" xfId="36" applyNumberFormat="1" applyFont="1" applyFill="1" applyBorder="1" applyAlignment="1">
      <alignment horizontal="center" vertical="center" wrapText="1"/>
    </xf>
    <xf numFmtId="4" fontId="62" fillId="0" borderId="0" xfId="0" applyNumberFormat="1" applyFont="1" applyAlignment="1">
      <alignment vertical="center"/>
    </xf>
    <xf numFmtId="4" fontId="143" fillId="0" borderId="0" xfId="0" applyNumberFormat="1" applyFont="1" applyAlignment="1">
      <alignment vertical="center"/>
    </xf>
    <xf numFmtId="4" fontId="144" fillId="0" borderId="0" xfId="0" applyNumberFormat="1" applyFont="1" applyAlignment="1">
      <alignment vertical="center"/>
    </xf>
    <xf numFmtId="0" fontId="143" fillId="0" borderId="0" xfId="0" applyFont="1" applyAlignment="1">
      <alignment vertical="center"/>
    </xf>
    <xf numFmtId="4" fontId="145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145" fillId="0" borderId="0" xfId="0" applyFont="1" applyAlignment="1">
      <alignment vertical="center"/>
    </xf>
    <xf numFmtId="0" fontId="146" fillId="0" borderId="0" xfId="0" applyFont="1"/>
    <xf numFmtId="0" fontId="144" fillId="0" borderId="0" xfId="0" applyFont="1" applyAlignment="1">
      <alignment vertical="center"/>
    </xf>
    <xf numFmtId="2" fontId="81" fillId="0" borderId="0" xfId="36" applyNumberFormat="1" applyFont="1" applyAlignment="1">
      <alignment horizontal="center" vertical="top"/>
    </xf>
    <xf numFmtId="2" fontId="112" fillId="0" borderId="15" xfId="36" applyNumberFormat="1" applyFont="1" applyFill="1" applyBorder="1" applyAlignment="1">
      <alignment horizontal="center" vertical="center" wrapText="1"/>
    </xf>
    <xf numFmtId="4" fontId="112" fillId="0" borderId="15" xfId="36" applyNumberFormat="1" applyFont="1" applyFill="1" applyBorder="1" applyAlignment="1">
      <alignment horizontal="center" vertical="center"/>
    </xf>
    <xf numFmtId="2" fontId="112" fillId="28" borderId="15" xfId="36" applyNumberFormat="1" applyFont="1" applyFill="1" applyBorder="1" applyAlignment="1">
      <alignment horizontal="center" vertical="center" wrapText="1"/>
    </xf>
    <xf numFmtId="2" fontId="147" fillId="28" borderId="15" xfId="36" applyNumberFormat="1" applyFont="1" applyFill="1" applyBorder="1" applyAlignment="1">
      <alignment horizontal="center" vertical="center" wrapText="1"/>
    </xf>
    <xf numFmtId="0" fontId="63" fillId="28" borderId="15" xfId="0" applyFont="1" applyFill="1" applyBorder="1" applyAlignment="1">
      <alignment horizontal="center"/>
    </xf>
    <xf numFmtId="4" fontId="112" fillId="28" borderId="15" xfId="36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2" fontId="68" fillId="0" borderId="0" xfId="36" applyNumberFormat="1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/>
    </xf>
    <xf numFmtId="4" fontId="68" fillId="0" borderId="0" xfId="36" applyNumberFormat="1" applyFont="1" applyFill="1" applyBorder="1" applyAlignment="1">
      <alignment horizontal="center" vertical="center" wrapText="1"/>
    </xf>
    <xf numFmtId="2" fontId="81" fillId="0" borderId="0" xfId="36" applyNumberFormat="1" applyFont="1" applyFill="1" applyAlignment="1">
      <alignment horizontal="center" vertical="top"/>
    </xf>
    <xf numFmtId="0" fontId="112" fillId="0" borderId="0" xfId="39" applyFont="1" applyFill="1"/>
    <xf numFmtId="0" fontId="138" fillId="0" borderId="0" xfId="36" applyFont="1">
      <alignment vertical="top"/>
    </xf>
    <xf numFmtId="2" fontId="138" fillId="0" borderId="0" xfId="36" applyNumberFormat="1" applyFont="1">
      <alignment vertical="top"/>
    </xf>
    <xf numFmtId="0" fontId="147" fillId="0" borderId="0" xfId="36" applyFont="1" applyAlignment="1">
      <alignment horizontal="center" vertical="top" wrapText="1"/>
    </xf>
    <xf numFmtId="2" fontId="147" fillId="0" borderId="0" xfId="36" applyNumberFormat="1" applyFont="1" applyAlignment="1">
      <alignment horizontal="center" vertical="top" wrapText="1"/>
    </xf>
    <xf numFmtId="166" fontId="112" fillId="0" borderId="0" xfId="36" applyNumberFormat="1" applyFont="1" applyAlignment="1">
      <alignment horizontal="center" vertical="top"/>
    </xf>
    <xf numFmtId="0" fontId="148" fillId="0" borderId="0" xfId="38" applyFont="1" applyAlignment="1" applyProtection="1">
      <alignment horizontal="left" vertical="center" wrapText="1"/>
      <protection locked="0"/>
    </xf>
    <xf numFmtId="0" fontId="147" fillId="0" borderId="0" xfId="36" applyFont="1" applyAlignment="1">
      <alignment horizontal="left" vertical="top" wrapText="1"/>
    </xf>
    <xf numFmtId="0" fontId="132" fillId="0" borderId="0" xfId="36" applyFont="1">
      <alignment vertical="top"/>
    </xf>
    <xf numFmtId="0" fontId="113" fillId="0" borderId="0" xfId="0" applyFont="1" applyAlignment="1"/>
    <xf numFmtId="0" fontId="113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32" fillId="0" borderId="0" xfId="0" applyFont="1"/>
    <xf numFmtId="0" fontId="38" fillId="0" borderId="0" xfId="36" applyFont="1">
      <alignment vertical="top"/>
    </xf>
    <xf numFmtId="0" fontId="149" fillId="0" borderId="0" xfId="36" applyFo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94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top"/>
    </xf>
    <xf numFmtId="0" fontId="38" fillId="0" borderId="0" xfId="36" applyFont="1" applyFill="1" applyAlignment="1">
      <alignment vertical="center"/>
    </xf>
    <xf numFmtId="0" fontId="11" fillId="0" borderId="0" xfId="0" applyFont="1"/>
    <xf numFmtId="0" fontId="0" fillId="0" borderId="0" xfId="0" applyFont="1"/>
    <xf numFmtId="0" fontId="16" fillId="0" borderId="0" xfId="0" applyFont="1" applyFill="1" applyAlignment="1"/>
    <xf numFmtId="0" fontId="16" fillId="0" borderId="0" xfId="0" applyFont="1" applyAlignment="1"/>
    <xf numFmtId="0" fontId="16" fillId="0" borderId="15" xfId="0" applyFont="1" applyFill="1" applyBorder="1" applyAlignment="1">
      <alignment horizontal="center" vertical="top" wrapText="1"/>
    </xf>
    <xf numFmtId="0" fontId="16" fillId="0" borderId="15" xfId="35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/>
    </xf>
    <xf numFmtId="4" fontId="15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71" fillId="0" borderId="15" xfId="0" applyNumberFormat="1" applyFont="1" applyFill="1" applyBorder="1" applyAlignment="1">
      <alignment horizontal="center" vertical="center" wrapText="1"/>
    </xf>
    <xf numFmtId="4" fontId="85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" fontId="85" fillId="0" borderId="15" xfId="0" applyNumberFormat="1" applyFont="1" applyFill="1" applyBorder="1" applyAlignment="1">
      <alignment horizontal="center" vertical="center" wrapText="1"/>
    </xf>
    <xf numFmtId="4" fontId="103" fillId="28" borderId="0" xfId="0" applyNumberFormat="1" applyFont="1" applyFill="1" applyAlignment="1">
      <alignment horizontal="center" vertical="center" wrapText="1"/>
    </xf>
    <xf numFmtId="0" fontId="151" fillId="0" borderId="0" xfId="0" applyFont="1" applyFill="1" applyAlignment="1">
      <alignment vertical="center"/>
    </xf>
    <xf numFmtId="0" fontId="15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right" vertical="center"/>
    </xf>
    <xf numFmtId="0" fontId="29" fillId="0" borderId="15" xfId="0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left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1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5" xfId="0" applyFont="1" applyFill="1" applyBorder="1" applyAlignment="1">
      <alignment horizontal="center" vertical="top" wrapText="1"/>
    </xf>
    <xf numFmtId="165" fontId="30" fillId="0" borderId="15" xfId="30" applyNumberFormat="1" applyFont="1" applyFill="1" applyBorder="1" applyAlignment="1">
      <alignment horizontal="center" vertical="center" wrapText="1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54" fillId="28" borderId="0" xfId="0" applyFont="1" applyFill="1"/>
    <xf numFmtId="0" fontId="155" fillId="28" borderId="0" xfId="0" applyFont="1" applyFill="1"/>
    <xf numFmtId="0" fontId="99" fillId="0" borderId="0" xfId="0" applyFont="1"/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4" fontId="15" fillId="37" borderId="15" xfId="0" applyNumberFormat="1" applyFont="1" applyFill="1" applyBorder="1" applyAlignment="1">
      <alignment horizontal="center" vertical="center"/>
    </xf>
    <xf numFmtId="0" fontId="156" fillId="0" borderId="15" xfId="0" applyFont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 vertical="top"/>
    </xf>
    <xf numFmtId="0" fontId="157" fillId="0" borderId="0" xfId="0" applyFont="1"/>
    <xf numFmtId="0" fontId="158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1" fillId="0" borderId="0" xfId="0" applyFont="1" applyFill="1" applyAlignment="1">
      <alignment horizontal="right"/>
    </xf>
    <xf numFmtId="0" fontId="163" fillId="0" borderId="24" xfId="0" applyFont="1" applyFill="1" applyBorder="1" applyAlignment="1">
      <alignment horizontal="center" vertical="center" wrapText="1"/>
    </xf>
    <xf numFmtId="0" fontId="164" fillId="0" borderId="24" xfId="0" applyFont="1" applyFill="1" applyBorder="1" applyAlignment="1">
      <alignment horizontal="center" vertical="top" wrapText="1"/>
    </xf>
    <xf numFmtId="0" fontId="11" fillId="0" borderId="0" xfId="39" applyFont="1"/>
    <xf numFmtId="0" fontId="165" fillId="0" borderId="0" xfId="39" applyFont="1" applyAlignment="1">
      <alignment horizontal="center" vertical="center"/>
    </xf>
    <xf numFmtId="0" fontId="11" fillId="0" borderId="0" xfId="39" applyFont="1" applyFill="1"/>
    <xf numFmtId="0" fontId="165" fillId="0" borderId="0" xfId="39" applyFont="1" applyFill="1" applyAlignment="1">
      <alignment horizontal="center" vertical="center"/>
    </xf>
    <xf numFmtId="0" fontId="166" fillId="0" borderId="0" xfId="39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64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ont="1" applyFill="1" applyAlignment="1">
      <alignment vertical="center" wrapText="1"/>
    </xf>
    <xf numFmtId="0" fontId="157" fillId="0" borderId="24" xfId="39" applyFont="1" applyFill="1" applyBorder="1" applyAlignment="1">
      <alignment horizontal="center" vertical="center" wrapText="1"/>
    </xf>
    <xf numFmtId="0" fontId="165" fillId="0" borderId="0" xfId="39" applyFont="1" applyFill="1" applyAlignment="1">
      <alignment wrapText="1"/>
    </xf>
    <xf numFmtId="4" fontId="90" fillId="0" borderId="15" xfId="0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5" xfId="38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66" fillId="28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9" fillId="0" borderId="0" xfId="0" applyFont="1" applyFill="1" applyBorder="1" applyAlignment="1">
      <alignment horizontal="center" vertical="center"/>
    </xf>
    <xf numFmtId="4" fontId="29" fillId="34" borderId="7" xfId="36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>
      <alignment horizontal="center" vertical="center" wrapText="1"/>
    </xf>
    <xf numFmtId="49" fontId="30" fillId="28" borderId="15" xfId="0" applyNumberFormat="1" applyFont="1" applyFill="1" applyBorder="1" applyAlignment="1">
      <alignment horizontal="center" vertical="center" wrapText="1"/>
    </xf>
    <xf numFmtId="165" fontId="30" fillId="28" borderId="15" xfId="30" applyNumberFormat="1" applyFont="1" applyFill="1" applyBorder="1" applyAlignment="1">
      <alignment horizontal="center" vertical="center" wrapText="1"/>
    </xf>
    <xf numFmtId="4" fontId="30" fillId="28" borderId="15" xfId="0" applyNumberFormat="1" applyFont="1" applyFill="1" applyBorder="1" applyAlignment="1">
      <alignment horizontal="center" vertical="center" wrapText="1"/>
    </xf>
    <xf numFmtId="49" fontId="169" fillId="0" borderId="15" xfId="0" applyNumberFormat="1" applyFont="1" applyFill="1" applyBorder="1" applyAlignment="1">
      <alignment horizontal="center" vertical="center" wrapText="1"/>
    </xf>
    <xf numFmtId="49" fontId="169" fillId="0" borderId="16" xfId="0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4" fontId="170" fillId="27" borderId="15" xfId="0" applyNumberFormat="1" applyFont="1" applyFill="1" applyBorder="1" applyAlignment="1">
      <alignment horizontal="center" vertical="center" wrapText="1"/>
    </xf>
    <xf numFmtId="4" fontId="170" fillId="28" borderId="0" xfId="0" applyNumberFormat="1" applyFont="1" applyFill="1" applyAlignment="1">
      <alignment horizontal="left" vertical="center"/>
    </xf>
    <xf numFmtId="49" fontId="71" fillId="38" borderId="15" xfId="0" applyNumberFormat="1" applyFont="1" applyFill="1" applyBorder="1" applyAlignment="1">
      <alignment horizontal="center" vertical="center" wrapText="1"/>
    </xf>
    <xf numFmtId="0" fontId="71" fillId="38" borderId="15" xfId="38" applyFont="1" applyFill="1" applyBorder="1" applyAlignment="1" applyProtection="1">
      <alignment horizontal="center" vertical="center" wrapText="1"/>
      <protection locked="0"/>
    </xf>
    <xf numFmtId="4" fontId="71" fillId="38" borderId="15" xfId="0" applyNumberFormat="1" applyFont="1" applyFill="1" applyBorder="1" applyAlignment="1">
      <alignment horizontal="center" vertical="center" wrapText="1"/>
    </xf>
    <xf numFmtId="4" fontId="71" fillId="38" borderId="15" xfId="38" applyNumberFormat="1" applyFont="1" applyFill="1" applyBorder="1" applyAlignment="1" applyProtection="1">
      <alignment horizontal="center" vertical="center" wrapText="1"/>
      <protection locked="0"/>
    </xf>
    <xf numFmtId="49" fontId="29" fillId="39" borderId="15" xfId="0" applyNumberFormat="1" applyFont="1" applyFill="1" applyBorder="1" applyAlignment="1">
      <alignment horizontal="center" vertical="center" wrapText="1"/>
    </xf>
    <xf numFmtId="0" fontId="29" fillId="39" borderId="15" xfId="38" applyFont="1" applyFill="1" applyBorder="1" applyAlignment="1" applyProtection="1">
      <alignment horizontal="center" vertical="center" wrapText="1"/>
      <protection locked="0"/>
    </xf>
    <xf numFmtId="4" fontId="29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6" xfId="0" applyNumberFormat="1" applyFont="1" applyFill="1" applyBorder="1" applyAlignment="1">
      <alignment horizontal="center" vertical="center" wrapText="1"/>
    </xf>
    <xf numFmtId="4" fontId="32" fillId="28" borderId="15" xfId="0" applyNumberFormat="1" applyFont="1" applyFill="1" applyBorder="1" applyAlignment="1">
      <alignment horizontal="center" vertical="center" wrapText="1"/>
    </xf>
    <xf numFmtId="4" fontId="90" fillId="28" borderId="15" xfId="0" applyNumberFormat="1" applyFont="1" applyFill="1" applyBorder="1" applyAlignment="1">
      <alignment horizontal="center" vertical="center" wrapText="1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9" fontId="165" fillId="0" borderId="15" xfId="0" applyNumberFormat="1" applyFont="1" applyFill="1" applyBorder="1" applyAlignment="1">
      <alignment horizontal="center" vertical="center" wrapText="1"/>
    </xf>
    <xf numFmtId="0" fontId="11" fillId="0" borderId="0" xfId="35" applyFont="1" applyAlignment="1">
      <alignment horizontal="center" vertical="center"/>
    </xf>
    <xf numFmtId="0" fontId="165" fillId="0" borderId="0" xfId="35" applyFont="1" applyAlignment="1">
      <alignment horizontal="center" vertical="center" wrapText="1"/>
    </xf>
    <xf numFmtId="0" fontId="158" fillId="0" borderId="0" xfId="35" applyFont="1" applyAlignment="1">
      <alignment horizontal="center" vertical="center" wrapText="1"/>
    </xf>
    <xf numFmtId="0" fontId="165" fillId="0" borderId="15" xfId="0" applyFont="1" applyFill="1" applyBorder="1" applyAlignment="1">
      <alignment horizontal="center" vertical="center" wrapText="1"/>
    </xf>
    <xf numFmtId="0" fontId="165" fillId="0" borderId="15" xfId="35" applyFont="1" applyFill="1" applyBorder="1" applyAlignment="1">
      <alignment horizontal="center" vertical="center" wrapText="1"/>
    </xf>
    <xf numFmtId="0" fontId="165" fillId="0" borderId="15" xfId="18" applyFont="1" applyBorder="1" applyAlignment="1">
      <alignment horizontal="center" vertical="center" wrapText="1"/>
    </xf>
    <xf numFmtId="165" fontId="165" fillId="0" borderId="15" xfId="30" applyNumberFormat="1" applyFont="1" applyBorder="1" applyAlignment="1">
      <alignment horizontal="center" vertical="center"/>
    </xf>
    <xf numFmtId="4" fontId="165" fillId="0" borderId="15" xfId="30" applyNumberFormat="1" applyFont="1" applyBorder="1" applyAlignment="1">
      <alignment horizontal="center" vertical="center"/>
    </xf>
    <xf numFmtId="0" fontId="11" fillId="0" borderId="0" xfId="35" applyFont="1"/>
    <xf numFmtId="4" fontId="165" fillId="0" borderId="15" xfId="0" applyNumberFormat="1" applyFont="1" applyFill="1" applyBorder="1" applyAlignment="1">
      <alignment horizontal="center" vertical="center" wrapText="1"/>
    </xf>
    <xf numFmtId="9" fontId="165" fillId="0" borderId="15" xfId="0" applyNumberFormat="1" applyFont="1" applyFill="1" applyBorder="1" applyAlignment="1">
      <alignment horizontal="center" vertical="center" wrapText="1"/>
    </xf>
    <xf numFmtId="165" fontId="165" fillId="0" borderId="15" xfId="30" applyNumberFormat="1" applyFont="1" applyFill="1" applyBorder="1" applyAlignment="1">
      <alignment horizontal="center" vertical="center" wrapText="1"/>
    </xf>
    <xf numFmtId="165" fontId="165" fillId="0" borderId="15" xfId="30" applyNumberFormat="1" applyFont="1" applyFill="1" applyBorder="1" applyAlignment="1">
      <alignment horizontal="center" vertical="center"/>
    </xf>
    <xf numFmtId="49" fontId="30" fillId="0" borderId="16" xfId="0" applyNumberFormat="1" applyFont="1" applyFill="1" applyBorder="1" applyAlignment="1">
      <alignment horizontal="center" vertical="center" wrapText="1"/>
    </xf>
    <xf numFmtId="49" fontId="169" fillId="28" borderId="0" xfId="0" applyNumberFormat="1" applyFont="1" applyFill="1" applyBorder="1" applyAlignment="1">
      <alignment horizontal="center" wrapText="1"/>
    </xf>
    <xf numFmtId="49" fontId="169" fillId="28" borderId="17" xfId="0" applyNumberFormat="1" applyFont="1" applyFill="1" applyBorder="1" applyAlignment="1">
      <alignment horizontal="center" vertical="top" wrapText="1"/>
    </xf>
    <xf numFmtId="4" fontId="31" fillId="28" borderId="15" xfId="0" applyNumberFormat="1" applyFont="1" applyFill="1" applyBorder="1" applyAlignment="1">
      <alignment horizontal="center" vertical="center" wrapText="1"/>
    </xf>
    <xf numFmtId="4" fontId="32" fillId="28" borderId="15" xfId="0" applyNumberFormat="1" applyFont="1" applyFill="1" applyBorder="1" applyAlignment="1">
      <alignment horizontal="center" vertical="center"/>
    </xf>
    <xf numFmtId="49" fontId="169" fillId="28" borderId="15" xfId="0" applyNumberFormat="1" applyFont="1" applyFill="1" applyBorder="1" applyAlignment="1">
      <alignment horizontal="center" vertical="center" wrapText="1"/>
    </xf>
    <xf numFmtId="0" fontId="30" fillId="28" borderId="15" xfId="0" applyFont="1" applyFill="1" applyBorder="1" applyAlignment="1">
      <alignment horizontal="center" vertical="center" wrapText="1"/>
    </xf>
    <xf numFmtId="4" fontId="103" fillId="29" borderId="14" xfId="0" applyNumberFormat="1" applyFont="1" applyFill="1" applyBorder="1" applyAlignment="1">
      <alignment horizontal="center" vertical="center" wrapText="1"/>
    </xf>
    <xf numFmtId="4" fontId="103" fillId="29" borderId="8" xfId="0" applyNumberFormat="1" applyFont="1" applyFill="1" applyBorder="1" applyAlignment="1">
      <alignment horizontal="center" vertical="center" wrapText="1"/>
    </xf>
    <xf numFmtId="49" fontId="173" fillId="38" borderId="15" xfId="0" applyNumberFormat="1" applyFont="1" applyFill="1" applyBorder="1" applyAlignment="1">
      <alignment horizontal="center" vertical="center" wrapText="1"/>
    </xf>
    <xf numFmtId="0" fontId="173" fillId="38" borderId="15" xfId="38" applyFont="1" applyFill="1" applyBorder="1" applyAlignment="1" applyProtection="1">
      <alignment horizontal="center" vertical="center" wrapText="1"/>
      <protection locked="0"/>
    </xf>
    <xf numFmtId="4" fontId="173" fillId="38" borderId="15" xfId="0" applyNumberFormat="1" applyFont="1" applyFill="1" applyBorder="1" applyAlignment="1">
      <alignment horizontal="center" vertical="center" wrapText="1"/>
    </xf>
    <xf numFmtId="9" fontId="173" fillId="38" borderId="15" xfId="0" applyNumberFormat="1" applyFont="1" applyFill="1" applyBorder="1" applyAlignment="1">
      <alignment horizontal="center" vertical="center" wrapText="1"/>
    </xf>
    <xf numFmtId="49" fontId="174" fillId="39" borderId="15" xfId="0" applyNumberFormat="1" applyFont="1" applyFill="1" applyBorder="1" applyAlignment="1">
      <alignment horizontal="center" vertical="center" wrapText="1"/>
    </xf>
    <xf numFmtId="0" fontId="174" fillId="39" borderId="15" xfId="38" applyFont="1" applyFill="1" applyBorder="1" applyAlignment="1" applyProtection="1">
      <alignment horizontal="center" vertical="center" wrapText="1"/>
      <protection locked="0"/>
    </xf>
    <xf numFmtId="4" fontId="174" fillId="39" borderId="15" xfId="0" applyNumberFormat="1" applyFont="1" applyFill="1" applyBorder="1" applyAlignment="1">
      <alignment horizontal="center" vertical="center" wrapText="1"/>
    </xf>
    <xf numFmtId="9" fontId="174" fillId="39" borderId="15" xfId="0" applyNumberFormat="1" applyFont="1" applyFill="1" applyBorder="1" applyAlignment="1">
      <alignment horizontal="center" vertical="center" wrapText="1"/>
    </xf>
    <xf numFmtId="4" fontId="90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Fill="1" applyBorder="1" applyAlignment="1">
      <alignment horizontal="center" vertical="center"/>
    </xf>
    <xf numFmtId="0" fontId="175" fillId="0" borderId="0" xfId="35" applyFont="1" applyFill="1"/>
    <xf numFmtId="0" fontId="11" fillId="0" borderId="0" xfId="35" applyFont="1" applyFill="1"/>
    <xf numFmtId="0" fontId="164" fillId="0" borderId="0" xfId="35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5" fillId="0" borderId="0" xfId="35" applyFont="1" applyFill="1" applyAlignment="1">
      <alignment horizontal="center"/>
    </xf>
    <xf numFmtId="0" fontId="164" fillId="0" borderId="0" xfId="35" applyFont="1" applyFill="1" applyAlignment="1">
      <alignment horizontal="right"/>
    </xf>
    <xf numFmtId="0" fontId="158" fillId="0" borderId="0" xfId="35" applyFont="1" applyFill="1" applyAlignment="1">
      <alignment horizontal="center" vertical="center" wrapText="1"/>
    </xf>
    <xf numFmtId="0" fontId="158" fillId="0" borderId="0" xfId="35" applyFont="1" applyFill="1" applyAlignment="1">
      <alignment horizontal="center"/>
    </xf>
    <xf numFmtId="0" fontId="11" fillId="0" borderId="0" xfId="35" applyFont="1" applyFill="1" applyBorder="1" applyAlignment="1">
      <alignment horizontal="right" vertical="center"/>
    </xf>
    <xf numFmtId="0" fontId="176" fillId="0" borderId="15" xfId="35" applyFont="1" applyFill="1" applyBorder="1" applyAlignment="1">
      <alignment horizontal="center" vertical="top" wrapText="1"/>
    </xf>
    <xf numFmtId="0" fontId="157" fillId="0" borderId="15" xfId="35" applyFont="1" applyFill="1" applyBorder="1" applyAlignment="1">
      <alignment horizontal="center" vertical="center" wrapText="1"/>
    </xf>
    <xf numFmtId="0" fontId="157" fillId="0" borderId="15" xfId="0" applyFont="1" applyFill="1" applyBorder="1" applyAlignment="1">
      <alignment horizontal="center" vertical="center"/>
    </xf>
    <xf numFmtId="4" fontId="173" fillId="38" borderId="15" xfId="38" applyNumberFormat="1" applyFont="1" applyFill="1" applyBorder="1" applyAlignment="1" applyProtection="1">
      <alignment horizontal="center" vertical="center" wrapText="1"/>
      <protection locked="0"/>
    </xf>
    <xf numFmtId="4" fontId="174" fillId="39" borderId="15" xfId="38" applyNumberFormat="1" applyFont="1" applyFill="1" applyBorder="1" applyAlignment="1" applyProtection="1">
      <alignment horizontal="center" vertical="center" wrapText="1"/>
      <protection locked="0"/>
    </xf>
    <xf numFmtId="49" fontId="174" fillId="0" borderId="15" xfId="0" applyNumberFormat="1" applyFont="1" applyFill="1" applyBorder="1" applyAlignment="1">
      <alignment horizontal="center" vertical="center" wrapText="1"/>
    </xf>
    <xf numFmtId="0" fontId="174" fillId="0" borderId="15" xfId="38" applyFont="1" applyFill="1" applyBorder="1" applyAlignment="1" applyProtection="1">
      <alignment horizontal="center" vertical="center" wrapText="1"/>
      <protection locked="0"/>
    </xf>
    <xf numFmtId="4" fontId="174" fillId="0" borderId="15" xfId="0" applyNumberFormat="1" applyFont="1" applyFill="1" applyBorder="1" applyAlignment="1">
      <alignment horizontal="center" vertical="center" wrapText="1"/>
    </xf>
    <xf numFmtId="49" fontId="173" fillId="0" borderId="15" xfId="0" applyNumberFormat="1" applyFont="1" applyFill="1" applyBorder="1" applyAlignment="1">
      <alignment horizontal="center" vertical="center" wrapText="1"/>
    </xf>
    <xf numFmtId="0" fontId="173" fillId="0" borderId="15" xfId="38" applyFont="1" applyFill="1" applyBorder="1" applyAlignment="1" applyProtection="1">
      <alignment horizontal="center" vertical="center" wrapText="1"/>
      <protection locked="0"/>
    </xf>
    <xf numFmtId="4" fontId="173" fillId="0" borderId="15" xfId="0" applyNumberFormat="1" applyFont="1" applyFill="1" applyBorder="1" applyAlignment="1">
      <alignment horizontal="center" vertical="center" wrapText="1"/>
    </xf>
    <xf numFmtId="49" fontId="165" fillId="0" borderId="15" xfId="35" applyNumberFormat="1" applyFont="1" applyFill="1" applyBorder="1" applyAlignment="1">
      <alignment horizontal="center" vertical="center" wrapText="1"/>
    </xf>
    <xf numFmtId="49" fontId="177" fillId="0" borderId="15" xfId="0" applyNumberFormat="1" applyFont="1" applyFill="1" applyBorder="1" applyAlignment="1">
      <alignment horizontal="center" vertical="center" wrapText="1"/>
    </xf>
    <xf numFmtId="0" fontId="177" fillId="0" borderId="15" xfId="38" applyFont="1" applyFill="1" applyBorder="1" applyAlignment="1" applyProtection="1">
      <alignment horizontal="center" vertical="center" wrapText="1"/>
      <protection locked="0"/>
    </xf>
    <xf numFmtId="4" fontId="177" fillId="0" borderId="15" xfId="0" applyNumberFormat="1" applyFont="1" applyFill="1" applyBorder="1" applyAlignment="1">
      <alignment horizontal="center" vertical="center" wrapText="1"/>
    </xf>
    <xf numFmtId="4" fontId="165" fillId="0" borderId="15" xfId="35" applyNumberFormat="1" applyFont="1" applyFill="1" applyBorder="1" applyAlignment="1">
      <alignment horizontal="center" vertical="center"/>
    </xf>
    <xf numFmtId="0" fontId="174" fillId="0" borderId="0" xfId="0" applyFont="1" applyFill="1" applyBorder="1" applyAlignment="1">
      <alignment horizontal="center" vertical="center"/>
    </xf>
    <xf numFmtId="0" fontId="174" fillId="0" borderId="0" xfId="0" applyFont="1" applyFill="1" applyBorder="1" applyAlignment="1">
      <alignment horizontal="left" vertical="center"/>
    </xf>
    <xf numFmtId="4" fontId="174" fillId="0" borderId="0" xfId="0" applyNumberFormat="1" applyFont="1" applyFill="1" applyBorder="1" applyAlignment="1">
      <alignment horizontal="center" vertical="center"/>
    </xf>
    <xf numFmtId="0" fontId="165" fillId="0" borderId="0" xfId="39" applyFont="1"/>
    <xf numFmtId="0" fontId="178" fillId="0" borderId="0" xfId="0" applyFont="1"/>
    <xf numFmtId="0" fontId="165" fillId="0" borderId="0" xfId="0" applyFont="1" applyAlignment="1">
      <alignment horizontal="left" vertical="center"/>
    </xf>
    <xf numFmtId="0" fontId="165" fillId="0" borderId="0" xfId="0" applyFont="1" applyFill="1" applyBorder="1" applyAlignment="1">
      <alignment horizontal="center" vertical="center"/>
    </xf>
    <xf numFmtId="0" fontId="29" fillId="0" borderId="15" xfId="38" applyFont="1" applyFill="1" applyBorder="1" applyAlignment="1" applyProtection="1">
      <alignment horizontal="center" vertical="center" wrapText="1"/>
      <protection locked="0"/>
    </xf>
    <xf numFmtId="49" fontId="169" fillId="0" borderId="15" xfId="0" applyNumberFormat="1" applyFont="1" applyFill="1" applyBorder="1" applyAlignment="1">
      <alignment horizontal="center" vertical="center"/>
    </xf>
    <xf numFmtId="4" fontId="30" fillId="0" borderId="15" xfId="38" applyNumberFormat="1" applyFont="1" applyFill="1" applyBorder="1" applyAlignment="1">
      <alignment horizontal="center" vertical="center" wrapText="1"/>
    </xf>
    <xf numFmtId="0" fontId="165" fillId="0" borderId="15" xfId="18" applyFont="1" applyFill="1" applyBorder="1" applyAlignment="1">
      <alignment horizontal="center" vertical="center" wrapText="1"/>
    </xf>
    <xf numFmtId="4" fontId="165" fillId="0" borderId="15" xfId="30" applyNumberFormat="1" applyFont="1" applyFill="1" applyBorder="1" applyAlignment="1">
      <alignment horizontal="center" vertical="center"/>
    </xf>
    <xf numFmtId="4" fontId="29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69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65" fillId="0" borderId="15" xfId="100" applyFont="1" applyBorder="1" applyAlignment="1">
      <alignment horizontal="center" vertical="center" wrapText="1"/>
    </xf>
    <xf numFmtId="4" fontId="181" fillId="0" borderId="15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0" fontId="63" fillId="0" borderId="0" xfId="0" applyFont="1"/>
    <xf numFmtId="49" fontId="30" fillId="0" borderId="1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4" fontId="66" fillId="0" borderId="15" xfId="38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28" borderId="16" xfId="0" applyNumberFormat="1" applyFont="1" applyFill="1" applyBorder="1" applyAlignment="1">
      <alignment horizontal="center" wrapText="1"/>
    </xf>
    <xf numFmtId="49" fontId="30" fillId="28" borderId="0" xfId="0" applyNumberFormat="1" applyFont="1" applyFill="1" applyBorder="1" applyAlignment="1">
      <alignment horizontal="center" vertical="center" wrapText="1"/>
    </xf>
    <xf numFmtId="49" fontId="30" fillId="28" borderId="17" xfId="0" applyNumberFormat="1" applyFont="1" applyFill="1" applyBorder="1" applyAlignment="1">
      <alignment horizontal="center" vertical="top" wrapText="1"/>
    </xf>
    <xf numFmtId="0" fontId="169" fillId="0" borderId="15" xfId="38" applyFont="1" applyFill="1" applyBorder="1" applyAlignment="1" applyProtection="1">
      <alignment horizontal="center" vertical="center" wrapText="1"/>
      <protection locked="0"/>
    </xf>
    <xf numFmtId="4" fontId="30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38" applyNumberFormat="1" applyFont="1" applyFill="1" applyBorder="1" applyAlignment="1">
      <alignment horizontal="center" vertical="center" wrapText="1"/>
    </xf>
    <xf numFmtId="0" fontId="29" fillId="0" borderId="17" xfId="38" applyFont="1" applyFill="1" applyBorder="1" applyAlignment="1" applyProtection="1">
      <alignment horizontal="center" vertical="top" wrapText="1"/>
      <protection locked="0"/>
    </xf>
    <xf numFmtId="49" fontId="165" fillId="0" borderId="15" xfId="0" applyNumberFormat="1" applyFont="1" applyBorder="1" applyAlignment="1">
      <alignment horizontal="center" vertical="center" wrapText="1"/>
    </xf>
    <xf numFmtId="9" fontId="165" fillId="0" borderId="15" xfId="30" applyNumberFormat="1" applyFont="1" applyBorder="1" applyAlignment="1">
      <alignment horizontal="center" vertical="center"/>
    </xf>
    <xf numFmtId="49" fontId="165" fillId="0" borderId="15" xfId="18" applyNumberFormat="1" applyFont="1" applyBorder="1" applyAlignment="1">
      <alignment horizontal="center" vertical="center" wrapText="1"/>
    </xf>
    <xf numFmtId="0" fontId="165" fillId="0" borderId="15" xfId="92" applyFont="1" applyBorder="1" applyAlignment="1">
      <alignment horizontal="center" vertical="center" wrapText="1"/>
    </xf>
    <xf numFmtId="0" fontId="165" fillId="0" borderId="15" xfId="84" applyFont="1" applyBorder="1" applyAlignment="1">
      <alignment horizontal="center" vertical="center" wrapText="1"/>
    </xf>
    <xf numFmtId="0" fontId="165" fillId="0" borderId="15" xfId="40" applyFont="1" applyBorder="1" applyAlignment="1">
      <alignment horizontal="center" vertical="center" wrapText="1"/>
    </xf>
    <xf numFmtId="0" fontId="155" fillId="28" borderId="0" xfId="35" applyFont="1" applyFill="1" applyAlignment="1">
      <alignment horizontal="center" vertical="center"/>
    </xf>
    <xf numFmtId="4" fontId="182" fillId="28" borderId="0" xfId="35" applyNumberFormat="1" applyFont="1" applyFill="1"/>
    <xf numFmtId="0" fontId="165" fillId="0" borderId="0" xfId="0" applyFont="1"/>
    <xf numFmtId="0" fontId="165" fillId="0" borderId="0" xfId="0" applyFont="1" applyFill="1" applyAlignment="1">
      <alignment horizontal="left" vertical="center"/>
    </xf>
    <xf numFmtId="0" fontId="165" fillId="0" borderId="0" xfId="39" applyFont="1" applyFill="1"/>
    <xf numFmtId="0" fontId="11" fillId="0" borderId="0" xfId="35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71" fillId="0" borderId="15" xfId="0" applyFont="1" applyFill="1" applyBorder="1" applyAlignment="1">
      <alignment horizontal="center" vertical="center" wrapText="1"/>
    </xf>
    <xf numFmtId="49" fontId="30" fillId="27" borderId="15" xfId="0" applyNumberFormat="1" applyFont="1" applyFill="1" applyBorder="1" applyAlignment="1">
      <alignment horizontal="center" vertical="center" wrapText="1"/>
    </xf>
    <xf numFmtId="49" fontId="30" fillId="27" borderId="15" xfId="0" applyNumberFormat="1" applyFont="1" applyFill="1" applyBorder="1" applyAlignment="1">
      <alignment horizontal="left" vertical="center" wrapText="1"/>
    </xf>
    <xf numFmtId="4" fontId="30" fillId="27" borderId="15" xfId="0" applyNumberFormat="1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4" fontId="30" fillId="0" borderId="19" xfId="0" applyNumberFormat="1" applyFont="1" applyFill="1" applyBorder="1" applyAlignment="1">
      <alignment horizontal="center" vertical="center" wrapText="1"/>
    </xf>
    <xf numFmtId="49" fontId="30" fillId="39" borderId="19" xfId="0" applyNumberFormat="1" applyFont="1" applyFill="1" applyBorder="1" applyAlignment="1">
      <alignment horizontal="center" vertical="center" wrapText="1"/>
    </xf>
    <xf numFmtId="49" fontId="30" fillId="39" borderId="19" xfId="0" applyNumberFormat="1" applyFont="1" applyFill="1" applyBorder="1" applyAlignment="1">
      <alignment horizontal="left" vertical="center" wrapText="1"/>
    </xf>
    <xf numFmtId="4" fontId="30" fillId="39" borderId="19" xfId="0" applyNumberFormat="1" applyFont="1" applyFill="1" applyBorder="1" applyAlignment="1">
      <alignment horizontal="center" vertical="center" wrapText="1"/>
    </xf>
    <xf numFmtId="0" fontId="186" fillId="27" borderId="0" xfId="0" applyFont="1" applyFill="1"/>
    <xf numFmtId="4" fontId="170" fillId="0" borderId="15" xfId="0" applyNumberFormat="1" applyFont="1" applyFill="1" applyBorder="1" applyAlignment="1">
      <alignment horizontal="center" vertical="center" wrapText="1"/>
    </xf>
    <xf numFmtId="0" fontId="186" fillId="0" borderId="0" xfId="0" applyFont="1" applyFill="1"/>
    <xf numFmtId="4" fontId="85" fillId="0" borderId="15" xfId="0" applyNumberFormat="1" applyFont="1" applyFill="1" applyBorder="1" applyAlignment="1">
      <alignment horizontal="center" vertical="center"/>
    </xf>
    <xf numFmtId="0" fontId="157" fillId="0" borderId="24" xfId="0" applyFont="1" applyFill="1" applyBorder="1" applyAlignment="1">
      <alignment horizontal="center" vertical="center" wrapText="1"/>
    </xf>
    <xf numFmtId="0" fontId="157" fillId="0" borderId="24" xfId="0" applyFont="1" applyFill="1" applyBorder="1" applyAlignment="1">
      <alignment horizontal="left" vertical="center" wrapText="1"/>
    </xf>
    <xf numFmtId="4" fontId="157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87" fillId="0" borderId="24" xfId="0" applyFont="1" applyFill="1" applyBorder="1" applyAlignment="1">
      <alignment horizontal="center" vertical="center" wrapText="1"/>
    </xf>
    <xf numFmtId="0" fontId="187" fillId="0" borderId="24" xfId="0" applyFont="1" applyFill="1" applyBorder="1" applyAlignment="1">
      <alignment horizontal="left" vertical="center" wrapText="1"/>
    </xf>
    <xf numFmtId="4" fontId="187" fillId="0" borderId="24" xfId="0" applyNumberFormat="1" applyFont="1" applyFill="1" applyBorder="1" applyAlignment="1">
      <alignment horizontal="center" vertical="center" wrapText="1"/>
    </xf>
    <xf numFmtId="4" fontId="99" fillId="28" borderId="0" xfId="0" applyNumberFormat="1" applyFont="1" applyFill="1"/>
    <xf numFmtId="4" fontId="99" fillId="28" borderId="0" xfId="0" applyNumberFormat="1" applyFont="1" applyFill="1" applyAlignment="1">
      <alignment horizontal="center" vertical="center"/>
    </xf>
    <xf numFmtId="0" fontId="188" fillId="0" borderId="24" xfId="0" applyFont="1" applyFill="1" applyBorder="1" applyAlignment="1">
      <alignment horizontal="center" vertical="center" wrapText="1"/>
    </xf>
    <xf numFmtId="0" fontId="188" fillId="0" borderId="24" xfId="0" applyFont="1" applyFill="1" applyBorder="1" applyAlignment="1">
      <alignment horizontal="left" vertical="center" wrapText="1"/>
    </xf>
    <xf numFmtId="4" fontId="188" fillId="0" borderId="24" xfId="0" applyNumberFormat="1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4" fontId="5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0" fontId="193" fillId="0" borderId="24" xfId="39" applyFont="1" applyFill="1" applyBorder="1" applyAlignment="1">
      <alignment horizontal="center" vertical="center" wrapText="1"/>
    </xf>
    <xf numFmtId="0" fontId="193" fillId="0" borderId="24" xfId="39" applyFont="1" applyFill="1" applyBorder="1" applyAlignment="1">
      <alignment vertical="center" wrapText="1"/>
    </xf>
    <xf numFmtId="4" fontId="194" fillId="0" borderId="24" xfId="39" applyNumberFormat="1" applyFont="1" applyFill="1" applyBorder="1" applyAlignment="1">
      <alignment horizontal="center" vertical="center" wrapText="1"/>
    </xf>
    <xf numFmtId="4" fontId="193" fillId="0" borderId="24" xfId="39" applyNumberFormat="1" applyFont="1" applyFill="1" applyBorder="1" applyAlignment="1">
      <alignment horizontal="center" vertical="center" wrapText="1"/>
    </xf>
    <xf numFmtId="0" fontId="195" fillId="0" borderId="24" xfId="39" applyFont="1" applyFill="1" applyBorder="1" applyAlignment="1">
      <alignment horizontal="center" vertical="center" wrapText="1"/>
    </xf>
    <xf numFmtId="0" fontId="195" fillId="0" borderId="24" xfId="39" applyFont="1" applyFill="1" applyBorder="1" applyAlignment="1">
      <alignment vertical="center" wrapText="1"/>
    </xf>
    <xf numFmtId="4" fontId="195" fillId="0" borderId="24" xfId="39" applyNumberFormat="1" applyFont="1" applyFill="1" applyBorder="1" applyAlignment="1">
      <alignment horizontal="center" vertical="center" wrapText="1"/>
    </xf>
    <xf numFmtId="0" fontId="193" fillId="0" borderId="24" xfId="37" applyFont="1" applyFill="1" applyBorder="1" applyAlignment="1">
      <alignment horizontal="justify" vertical="center" wrapText="1"/>
    </xf>
    <xf numFmtId="0" fontId="194" fillId="0" borderId="24" xfId="39" applyFont="1" applyFill="1" applyBorder="1" applyAlignment="1">
      <alignment horizontal="center" vertical="center" wrapText="1"/>
    </xf>
    <xf numFmtId="0" fontId="194" fillId="0" borderId="24" xfId="37" applyFont="1" applyFill="1" applyBorder="1" applyAlignment="1">
      <alignment horizontal="center" vertical="center" wrapText="1"/>
    </xf>
    <xf numFmtId="0" fontId="195" fillId="0" borderId="24" xfId="37" applyFont="1" applyFill="1" applyBorder="1" applyAlignment="1">
      <alignment horizontal="justify" vertical="center" wrapText="1"/>
    </xf>
    <xf numFmtId="0" fontId="193" fillId="0" borderId="24" xfId="37" applyFont="1" applyFill="1" applyBorder="1" applyAlignment="1">
      <alignment horizontal="left" vertical="center" wrapText="1"/>
    </xf>
    <xf numFmtId="0" fontId="195" fillId="0" borderId="24" xfId="37" applyFont="1" applyFill="1" applyBorder="1" applyAlignment="1">
      <alignment horizontal="left" vertical="center" wrapText="1"/>
    </xf>
    <xf numFmtId="4" fontId="196" fillId="0" borderId="24" xfId="39" applyNumberFormat="1" applyFont="1" applyFill="1" applyBorder="1" applyAlignment="1">
      <alignment horizontal="center" vertical="center" wrapText="1"/>
    </xf>
    <xf numFmtId="0" fontId="194" fillId="0" borderId="24" xfId="37" applyFont="1" applyFill="1" applyBorder="1" applyAlignment="1">
      <alignment horizontal="justify" vertical="center" wrapText="1"/>
    </xf>
    <xf numFmtId="0" fontId="193" fillId="0" borderId="24" xfId="37" applyFont="1" applyFill="1" applyBorder="1" applyAlignment="1">
      <alignment vertical="center" wrapText="1"/>
    </xf>
    <xf numFmtId="0" fontId="195" fillId="0" borderId="24" xfId="37" applyFont="1" applyFill="1" applyBorder="1" applyAlignment="1">
      <alignment vertical="center" wrapText="1"/>
    </xf>
    <xf numFmtId="0" fontId="194" fillId="0" borderId="24" xfId="37" applyFont="1" applyFill="1" applyBorder="1" applyAlignment="1">
      <alignment vertical="center" wrapText="1"/>
    </xf>
    <xf numFmtId="0" fontId="193" fillId="0" borderId="24" xfId="0" applyFont="1" applyFill="1" applyBorder="1" applyAlignment="1">
      <alignment horizontal="justify" vertical="center"/>
    </xf>
    <xf numFmtId="0" fontId="194" fillId="0" borderId="24" xfId="39" applyFont="1" applyFill="1" applyBorder="1" applyAlignment="1">
      <alignment vertical="center" wrapText="1"/>
    </xf>
    <xf numFmtId="4" fontId="194" fillId="28" borderId="24" xfId="39" applyNumberFormat="1" applyFont="1" applyFill="1" applyBorder="1" applyAlignment="1">
      <alignment horizontal="center" vertical="center" wrapText="1"/>
    </xf>
    <xf numFmtId="4" fontId="193" fillId="28" borderId="24" xfId="39" applyNumberFormat="1" applyFont="1" applyFill="1" applyBorder="1" applyAlignment="1">
      <alignment horizontal="center" vertical="center" wrapText="1"/>
    </xf>
    <xf numFmtId="4" fontId="150" fillId="0" borderId="0" xfId="39" applyNumberFormat="1" applyFont="1" applyFill="1"/>
    <xf numFmtId="0" fontId="155" fillId="0" borderId="0" xfId="39" applyFont="1" applyFill="1"/>
    <xf numFmtId="4" fontId="157" fillId="0" borderId="24" xfId="0" applyNumberFormat="1" applyFont="1" applyFill="1" applyBorder="1" applyAlignment="1">
      <alignment horizontal="left" vertical="center" wrapText="1"/>
    </xf>
    <xf numFmtId="4" fontId="187" fillId="0" borderId="24" xfId="0" applyNumberFormat="1" applyFont="1" applyFill="1" applyBorder="1" applyAlignment="1">
      <alignment horizontal="left" vertical="center" wrapText="1"/>
    </xf>
    <xf numFmtId="0" fontId="187" fillId="28" borderId="24" xfId="0" applyFont="1" applyFill="1" applyBorder="1" applyAlignment="1">
      <alignment horizontal="center" vertical="center" wrapText="1"/>
    </xf>
    <xf numFmtId="0" fontId="187" fillId="28" borderId="24" xfId="0" applyFont="1" applyFill="1" applyBorder="1" applyAlignment="1">
      <alignment horizontal="left" vertical="center" wrapText="1"/>
    </xf>
    <xf numFmtId="4" fontId="187" fillId="28" borderId="24" xfId="0" applyNumberFormat="1" applyFont="1" applyFill="1" applyBorder="1" applyAlignment="1">
      <alignment horizontal="center" vertical="center" wrapText="1"/>
    </xf>
    <xf numFmtId="0" fontId="11" fillId="28" borderId="24" xfId="0" applyFont="1" applyFill="1" applyBorder="1" applyAlignment="1">
      <alignment horizontal="center" vertical="center" wrapText="1"/>
    </xf>
    <xf numFmtId="0" fontId="11" fillId="28" borderId="24" xfId="0" applyFont="1" applyFill="1" applyBorder="1" applyAlignment="1">
      <alignment horizontal="left" vertical="center" wrapText="1"/>
    </xf>
    <xf numFmtId="4" fontId="150" fillId="28" borderId="15" xfId="0" applyNumberFormat="1" applyFont="1" applyFill="1" applyBorder="1" applyAlignment="1">
      <alignment horizontal="center" vertical="center"/>
    </xf>
    <xf numFmtId="0" fontId="77" fillId="28" borderId="0" xfId="35" applyFont="1" applyFill="1" applyBorder="1"/>
    <xf numFmtId="4" fontId="185" fillId="28" borderId="15" xfId="35" applyNumberFormat="1" applyFont="1" applyFill="1" applyBorder="1" applyAlignment="1">
      <alignment horizontal="left" vertical="center"/>
    </xf>
    <xf numFmtId="4" fontId="29" fillId="0" borderId="22" xfId="0" applyNumberFormat="1" applyFont="1" applyFill="1" applyBorder="1" applyAlignment="1">
      <alignment horizontal="center" vertical="center" wrapText="1"/>
    </xf>
    <xf numFmtId="4" fontId="30" fillId="0" borderId="22" xfId="0" applyNumberFormat="1" applyFont="1" applyFill="1" applyBorder="1" applyAlignment="1">
      <alignment horizontal="center" vertical="center" wrapText="1"/>
    </xf>
    <xf numFmtId="4" fontId="30" fillId="27" borderId="22" xfId="0" applyNumberFormat="1" applyFont="1" applyFill="1" applyBorder="1" applyAlignment="1">
      <alignment horizontal="center" vertical="center" wrapText="1"/>
    </xf>
    <xf numFmtId="49" fontId="29" fillId="35" borderId="15" xfId="0" applyNumberFormat="1" applyFont="1" applyFill="1" applyBorder="1" applyAlignment="1">
      <alignment horizontal="center" vertical="center" wrapText="1"/>
    </xf>
    <xf numFmtId="4" fontId="29" fillId="35" borderId="22" xfId="0" applyNumberFormat="1" applyFont="1" applyFill="1" applyBorder="1" applyAlignment="1">
      <alignment horizontal="center" vertical="center" wrapText="1"/>
    </xf>
    <xf numFmtId="49" fontId="30" fillId="35" borderId="15" xfId="0" applyNumberFormat="1" applyFont="1" applyFill="1" applyBorder="1" applyAlignment="1">
      <alignment horizontal="center" vertical="center" wrapText="1"/>
    </xf>
    <xf numFmtId="4" fontId="30" fillId="35" borderId="22" xfId="0" applyNumberFormat="1" applyFont="1" applyFill="1" applyBorder="1" applyAlignment="1">
      <alignment horizontal="center" vertical="center" wrapText="1"/>
    </xf>
    <xf numFmtId="4" fontId="30" fillId="35" borderId="15" xfId="0" applyNumberFormat="1" applyFont="1" applyFill="1" applyBorder="1" applyAlignment="1">
      <alignment horizontal="center" vertical="center" wrapText="1"/>
    </xf>
    <xf numFmtId="2" fontId="76" fillId="40" borderId="15" xfId="0" applyNumberFormat="1" applyFont="1" applyFill="1" applyBorder="1" applyAlignment="1">
      <alignment horizontal="center" vertical="center"/>
    </xf>
    <xf numFmtId="4" fontId="86" fillId="40" borderId="15" xfId="0" applyNumberFormat="1" applyFont="1" applyFill="1" applyBorder="1" applyAlignment="1">
      <alignment horizontal="center" vertical="center"/>
    </xf>
    <xf numFmtId="0" fontId="194" fillId="40" borderId="24" xfId="39" applyFont="1" applyFill="1" applyBorder="1" applyAlignment="1">
      <alignment horizontal="center" vertical="center" wrapText="1"/>
    </xf>
    <xf numFmtId="0" fontId="194" fillId="40" borderId="24" xfId="37" applyFont="1" applyFill="1" applyBorder="1" applyAlignment="1">
      <alignment horizontal="center" vertical="center" wrapText="1"/>
    </xf>
    <xf numFmtId="4" fontId="194" fillId="40" borderId="24" xfId="39" applyNumberFormat="1" applyFont="1" applyFill="1" applyBorder="1" applyAlignment="1">
      <alignment horizontal="center" vertical="center" wrapText="1"/>
    </xf>
    <xf numFmtId="0" fontId="194" fillId="39" borderId="24" xfId="39" applyFont="1" applyFill="1" applyBorder="1" applyAlignment="1">
      <alignment horizontal="center" vertical="center" wrapText="1"/>
    </xf>
    <xf numFmtId="4" fontId="194" fillId="39" borderId="24" xfId="39" applyNumberFormat="1" applyFont="1" applyFill="1" applyBorder="1" applyAlignment="1">
      <alignment horizontal="center" vertical="center" wrapText="1"/>
    </xf>
    <xf numFmtId="0" fontId="157" fillId="41" borderId="24" xfId="0" applyFont="1" applyFill="1" applyBorder="1" applyAlignment="1">
      <alignment horizontal="center" vertical="center" wrapText="1"/>
    </xf>
    <xf numFmtId="0" fontId="157" fillId="41" borderId="24" xfId="0" applyFont="1" applyFill="1" applyBorder="1" applyAlignment="1">
      <alignment horizontal="left" vertical="center" wrapText="1"/>
    </xf>
    <xf numFmtId="4" fontId="157" fillId="41" borderId="24" xfId="0" applyNumberFormat="1" applyFont="1" applyFill="1" applyBorder="1" applyAlignment="1">
      <alignment horizontal="center" vertical="center" wrapText="1"/>
    </xf>
    <xf numFmtId="2" fontId="174" fillId="40" borderId="15" xfId="0" applyNumberFormat="1" applyFont="1" applyFill="1" applyBorder="1" applyAlignment="1">
      <alignment horizontal="center" vertical="center"/>
    </xf>
    <xf numFmtId="4" fontId="174" fillId="40" borderId="15" xfId="0" applyNumberFormat="1" applyFont="1" applyFill="1" applyBorder="1" applyAlignment="1">
      <alignment horizontal="center" vertical="center"/>
    </xf>
    <xf numFmtId="4" fontId="165" fillId="40" borderId="15" xfId="0" applyNumberFormat="1" applyFont="1" applyFill="1" applyBorder="1" applyAlignment="1">
      <alignment horizontal="center" vertical="center"/>
    </xf>
    <xf numFmtId="0" fontId="29" fillId="40" borderId="15" xfId="0" applyFont="1" applyFill="1" applyBorder="1" applyAlignment="1">
      <alignment horizontal="center" vertical="center"/>
    </xf>
    <xf numFmtId="0" fontId="29" fillId="40" borderId="15" xfId="0" applyFont="1" applyFill="1" applyBorder="1" applyAlignment="1">
      <alignment horizontal="left" vertical="center"/>
    </xf>
    <xf numFmtId="4" fontId="29" fillId="40" borderId="15" xfId="0" applyNumberFormat="1" applyFont="1" applyFill="1" applyBorder="1" applyAlignment="1">
      <alignment horizontal="center" vertical="center"/>
    </xf>
    <xf numFmtId="43" fontId="39" fillId="40" borderId="15" xfId="0" applyNumberFormat="1" applyFont="1" applyFill="1" applyBorder="1" applyAlignment="1">
      <alignment horizontal="center" vertical="center"/>
    </xf>
    <xf numFmtId="43" fontId="39" fillId="40" borderId="15" xfId="36" applyNumberFormat="1" applyFont="1" applyFill="1" applyBorder="1" applyAlignment="1">
      <alignment horizontal="center" vertical="center" wrapText="1"/>
    </xf>
    <xf numFmtId="2" fontId="16" fillId="40" borderId="15" xfId="0" applyNumberFormat="1" applyFont="1" applyFill="1" applyBorder="1" applyAlignment="1">
      <alignment horizontal="center" vertical="center"/>
    </xf>
    <xf numFmtId="4" fontId="16" fillId="40" borderId="15" xfId="0" applyNumberFormat="1" applyFont="1" applyFill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155" fillId="28" borderId="0" xfId="0" applyFont="1" applyFill="1" applyBorder="1" applyAlignment="1"/>
    <xf numFmtId="0" fontId="77" fillId="28" borderId="0" xfId="0" applyFont="1" applyFill="1" applyBorder="1" applyAlignment="1"/>
    <xf numFmtId="2" fontId="39" fillId="39" borderId="15" xfId="36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157" fillId="0" borderId="24" xfId="37" applyFont="1" applyFill="1" applyBorder="1" applyAlignment="1">
      <alignment horizontal="center" vertical="center" wrapText="1"/>
    </xf>
    <xf numFmtId="0" fontId="11" fillId="0" borderId="24" xfId="39" applyFont="1" applyFill="1" applyBorder="1" applyAlignment="1">
      <alignment horizontal="center" vertical="center" wrapText="1"/>
    </xf>
    <xf numFmtId="0" fontId="11" fillId="0" borderId="24" xfId="37" applyFont="1" applyFill="1" applyBorder="1" applyAlignment="1">
      <alignment horizontal="justify" vertical="center" wrapText="1"/>
    </xf>
    <xf numFmtId="0" fontId="157" fillId="0" borderId="24" xfId="39" applyFont="1" applyFill="1" applyBorder="1" applyAlignment="1">
      <alignment vertical="center" wrapText="1"/>
    </xf>
    <xf numFmtId="0" fontId="11" fillId="0" borderId="24" xfId="39" applyFont="1" applyFill="1" applyBorder="1" applyAlignment="1">
      <alignment vertical="center" wrapText="1"/>
    </xf>
    <xf numFmtId="0" fontId="11" fillId="28" borderId="24" xfId="39" applyFont="1" applyFill="1" applyBorder="1" applyAlignment="1">
      <alignment horizontal="center" vertical="center" wrapText="1"/>
    </xf>
    <xf numFmtId="0" fontId="11" fillId="28" borderId="24" xfId="39" applyFont="1" applyFill="1" applyBorder="1" applyAlignment="1">
      <alignment vertical="center" wrapText="1"/>
    </xf>
    <xf numFmtId="0" fontId="188" fillId="0" borderId="24" xfId="39" applyFont="1" applyFill="1" applyBorder="1" applyAlignment="1">
      <alignment vertical="center" wrapText="1"/>
    </xf>
    <xf numFmtId="0" fontId="188" fillId="28" borderId="24" xfId="39" applyFont="1" applyFill="1" applyBorder="1" applyAlignment="1">
      <alignment vertical="center" wrapText="1"/>
    </xf>
    <xf numFmtId="0" fontId="157" fillId="40" borderId="24" xfId="39" applyFont="1" applyFill="1" applyBorder="1" applyAlignment="1">
      <alignment horizontal="center" vertical="center" wrapText="1"/>
    </xf>
    <xf numFmtId="0" fontId="157" fillId="40" borderId="24" xfId="37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71" fillId="0" borderId="17" xfId="38" applyFont="1" applyFill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9" fontId="165" fillId="0" borderId="15" xfId="18" applyNumberFormat="1" applyFont="1" applyFill="1" applyBorder="1" applyAlignment="1">
      <alignment horizontal="center" vertical="center" wrapText="1"/>
    </xf>
    <xf numFmtId="0" fontId="165" fillId="0" borderId="15" xfId="84" applyFont="1" applyFill="1" applyBorder="1" applyAlignment="1">
      <alignment horizontal="center" vertical="center" wrapText="1"/>
    </xf>
    <xf numFmtId="9" fontId="165" fillId="0" borderId="15" xfId="3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0" fontId="63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3" fillId="0" borderId="0" xfId="0" applyFont="1"/>
    <xf numFmtId="0" fontId="15" fillId="0" borderId="0" xfId="0" applyFont="1" applyAlignment="1">
      <alignment horizontal="right" vertical="center"/>
    </xf>
    <xf numFmtId="0" fontId="11" fillId="0" borderId="0" xfId="0" applyFont="1" applyFill="1" applyAlignment="1">
      <alignment horizontal="center" vertical="top"/>
    </xf>
    <xf numFmtId="4" fontId="114" fillId="0" borderId="24" xfId="0" applyNumberFormat="1" applyFont="1" applyFill="1" applyBorder="1" applyAlignment="1">
      <alignment horizontal="center" vertical="center" wrapText="1"/>
    </xf>
    <xf numFmtId="4" fontId="77" fillId="0" borderId="24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15" fillId="37" borderId="15" xfId="0" applyFont="1" applyFill="1" applyBorder="1" applyAlignment="1">
      <alignment horizontal="center" vertical="center" wrapText="1"/>
    </xf>
    <xf numFmtId="0" fontId="156" fillId="37" borderId="15" xfId="0" applyFont="1" applyFill="1" applyBorder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4" fontId="170" fillId="27" borderId="0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30" fillId="0" borderId="0" xfId="38" applyFont="1" applyFill="1" applyBorder="1" applyAlignment="1" applyProtection="1">
      <alignment horizontal="center" wrapText="1"/>
      <protection locked="0"/>
    </xf>
    <xf numFmtId="0" fontId="30" fillId="0" borderId="17" xfId="38" applyFont="1" applyFill="1" applyBorder="1" applyAlignment="1" applyProtection="1">
      <alignment horizontal="center" vertical="top" wrapText="1"/>
      <protection locked="0"/>
    </xf>
    <xf numFmtId="4" fontId="69" fillId="0" borderId="16" xfId="30" applyNumberFormat="1" applyFont="1" applyBorder="1" applyAlignment="1">
      <alignment horizontal="center" vertical="center"/>
    </xf>
    <xf numFmtId="0" fontId="197" fillId="28" borderId="0" xfId="35" applyFont="1" applyFill="1" applyAlignment="1">
      <alignment vertical="center"/>
    </xf>
    <xf numFmtId="0" fontId="165" fillId="0" borderId="15" xfId="45" applyFont="1" applyBorder="1" applyAlignment="1">
      <alignment horizontal="center" vertical="center" wrapText="1"/>
    </xf>
    <xf numFmtId="49" fontId="177" fillId="0" borderId="15" xfId="0" applyNumberFormat="1" applyFont="1" applyBorder="1" applyAlignment="1">
      <alignment horizontal="center" vertical="center" wrapText="1"/>
    </xf>
    <xf numFmtId="0" fontId="177" fillId="0" borderId="15" xfId="100" applyFont="1" applyBorder="1" applyAlignment="1">
      <alignment horizontal="center" vertical="center" wrapText="1"/>
    </xf>
    <xf numFmtId="4" fontId="198" fillId="0" borderId="15" xfId="30" applyNumberFormat="1" applyFont="1" applyBorder="1" applyAlignment="1">
      <alignment horizontal="center" vertical="center"/>
    </xf>
    <xf numFmtId="9" fontId="198" fillId="0" borderId="15" xfId="30" applyNumberFormat="1" applyFont="1" applyBorder="1" applyAlignment="1">
      <alignment horizontal="center" vertical="center"/>
    </xf>
    <xf numFmtId="4" fontId="165" fillId="0" borderId="20" xfId="30" applyNumberFormat="1" applyFont="1" applyBorder="1" applyAlignment="1">
      <alignment horizontal="center" vertical="center"/>
    </xf>
    <xf numFmtId="4" fontId="165" fillId="0" borderId="16" xfId="30" applyNumberFormat="1" applyFont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4" fontId="199" fillId="0" borderId="15" xfId="0" applyNumberFormat="1" applyFont="1" applyFill="1" applyBorder="1" applyAlignment="1">
      <alignment horizontal="center" vertical="center" wrapText="1"/>
    </xf>
    <xf numFmtId="0" fontId="99" fillId="0" borderId="0" xfId="0" applyFont="1" applyBorder="1" applyAlignment="1"/>
    <xf numFmtId="49" fontId="30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165" fillId="42" borderId="15" xfId="30" applyNumberFormat="1" applyFont="1" applyFill="1" applyBorder="1" applyAlignment="1">
      <alignment horizontal="center" vertical="center"/>
    </xf>
    <xf numFmtId="4" fontId="77" fillId="28" borderId="0" xfId="35" applyNumberFormat="1" applyFont="1" applyFill="1"/>
    <xf numFmtId="49" fontId="30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0" fontId="15" fillId="0" borderId="0" xfId="39" applyFont="1" applyAlignment="1">
      <alignment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95" fillId="0" borderId="0" xfId="0" applyFont="1" applyAlignment="1">
      <alignment horizontal="justify" vertical="center"/>
    </xf>
    <xf numFmtId="0" fontId="200" fillId="0" borderId="0" xfId="0" applyFont="1" applyAlignment="1">
      <alignment horizontal="justify" vertical="center"/>
    </xf>
    <xf numFmtId="0" fontId="200" fillId="0" borderId="0" xfId="0" applyFont="1" applyAlignment="1">
      <alignment horizontal="left" vertical="center"/>
    </xf>
    <xf numFmtId="0" fontId="30" fillId="0" borderId="0" xfId="39" applyFont="1" applyAlignment="1">
      <alignment vertical="center"/>
    </xf>
    <xf numFmtId="0" fontId="201" fillId="0" borderId="0" xfId="0" applyFont="1" applyAlignment="1">
      <alignment horizontal="justify" vertical="center"/>
    </xf>
    <xf numFmtId="0" fontId="201" fillId="0" borderId="0" xfId="0" applyFont="1" applyAlignment="1">
      <alignment horizontal="left" vertical="center"/>
    </xf>
    <xf numFmtId="0" fontId="165" fillId="0" borderId="0" xfId="39" applyFont="1" applyAlignment="1">
      <alignment vertical="center"/>
    </xf>
    <xf numFmtId="4" fontId="30" fillId="0" borderId="15" xfId="0" applyNumberFormat="1" applyFont="1" applyFill="1" applyBorder="1" applyAlignment="1">
      <alignment horizontal="center" vertical="center" wrapText="1"/>
    </xf>
    <xf numFmtId="0" fontId="166" fillId="0" borderId="0" xfId="39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67" fillId="0" borderId="0" xfId="39" applyFont="1" applyFill="1" applyAlignment="1">
      <alignment horizontal="center" vertical="center"/>
    </xf>
    <xf numFmtId="0" fontId="60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40" fillId="0" borderId="0" xfId="0" applyFont="1" applyFill="1" applyAlignment="1"/>
    <xf numFmtId="0" fontId="157" fillId="0" borderId="24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5" fillId="0" borderId="0" xfId="39" applyFont="1" applyAlignment="1">
      <alignment vertical="center" wrapText="1"/>
    </xf>
    <xf numFmtId="0" fontId="0" fillId="0" borderId="0" xfId="0" applyAlignment="1"/>
    <xf numFmtId="0" fontId="66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58" fillId="0" borderId="0" xfId="0" applyFont="1" applyFill="1" applyAlignment="1">
      <alignment horizontal="center" vertical="center" wrapText="1"/>
    </xf>
    <xf numFmtId="0" fontId="159" fillId="0" borderId="0" xfId="0" applyFont="1" applyFill="1" applyAlignment="1">
      <alignment horizontal="center"/>
    </xf>
    <xf numFmtId="0" fontId="16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1" fillId="0" borderId="0" xfId="0" applyFont="1" applyFill="1" applyAlignment="1">
      <alignment horizontal="center" vertical="top"/>
    </xf>
    <xf numFmtId="0" fontId="162" fillId="0" borderId="0" xfId="0" applyFont="1" applyFill="1" applyAlignment="1">
      <alignment horizontal="center" vertical="top"/>
    </xf>
    <xf numFmtId="0" fontId="163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57" fillId="39" borderId="24" xfId="0" applyFont="1" applyFill="1" applyBorder="1" applyAlignment="1">
      <alignment horizontal="left" vertical="center" wrapText="1"/>
    </xf>
    <xf numFmtId="0" fontId="0" fillId="39" borderId="24" xfId="0" applyFont="1" applyFill="1" applyBorder="1" applyAlignment="1">
      <alignment wrapText="1"/>
    </xf>
    <xf numFmtId="0" fontId="30" fillId="0" borderId="0" xfId="39" applyFont="1" applyAlignment="1">
      <alignment vertical="center" wrapText="1"/>
    </xf>
    <xf numFmtId="0" fontId="33" fillId="0" borderId="0" xfId="0" applyFont="1" applyAlignment="1"/>
    <xf numFmtId="4" fontId="31" fillId="28" borderId="16" xfId="0" applyNumberFormat="1" applyFont="1" applyFill="1" applyBorder="1" applyAlignment="1">
      <alignment horizontal="center" vertical="center" wrapText="1"/>
    </xf>
    <xf numFmtId="0" fontId="0" fillId="28" borderId="18" xfId="0" applyFont="1" applyFill="1" applyBorder="1" applyAlignment="1">
      <alignment horizontal="center" vertical="center" wrapText="1"/>
    </xf>
    <xf numFmtId="0" fontId="0" fillId="28" borderId="17" xfId="0" applyFont="1" applyFill="1" applyBorder="1" applyAlignment="1">
      <alignment horizontal="center" vertical="center" wrapText="1"/>
    </xf>
    <xf numFmtId="4" fontId="32" fillId="28" borderId="16" xfId="0" applyNumberFormat="1" applyFont="1" applyFill="1" applyBorder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49" fontId="30" fillId="28" borderId="16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" fontId="66" fillId="0" borderId="15" xfId="0" applyNumberFormat="1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center" vertical="center" wrapText="1"/>
    </xf>
    <xf numFmtId="4" fontId="63" fillId="0" borderId="15" xfId="0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/>
    </xf>
    <xf numFmtId="4" fontId="62" fillId="0" borderId="15" xfId="0" applyNumberFormat="1" applyFont="1" applyFill="1" applyBorder="1" applyAlignment="1">
      <alignment horizontal="center" vertical="center" wrapText="1"/>
    </xf>
    <xf numFmtId="4" fontId="64" fillId="0" borderId="15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left" vertical="center" wrapText="1"/>
    </xf>
    <xf numFmtId="0" fontId="63" fillId="28" borderId="23" xfId="0" applyFont="1" applyFill="1" applyBorder="1" applyAlignment="1"/>
    <xf numFmtId="4" fontId="62" fillId="28" borderId="15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4" fontId="66" fillId="28" borderId="15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4" fontId="90" fillId="28" borderId="16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9" fontId="169" fillId="28" borderId="16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152" fillId="0" borderId="0" xfId="0" applyFont="1" applyFill="1" applyAlignment="1">
      <alignment horizontal="center"/>
    </xf>
    <xf numFmtId="0" fontId="153" fillId="0" borderId="0" xfId="0" applyFont="1" applyFill="1" applyAlignment="1">
      <alignment horizontal="center"/>
    </xf>
    <xf numFmtId="0" fontId="29" fillId="0" borderId="1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29" fillId="0" borderId="15" xfId="0" applyFont="1" applyFill="1" applyBorder="1" applyAlignment="1">
      <alignment horizontal="center" vertical="top" wrapText="1"/>
    </xf>
    <xf numFmtId="0" fontId="30" fillId="0" borderId="0" xfId="0" applyFont="1" applyFill="1" applyAlignment="1">
      <alignment horizontal="center" vertical="top"/>
    </xf>
    <xf numFmtId="0" fontId="33" fillId="0" borderId="0" xfId="0" applyFont="1" applyFill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0" fontId="190" fillId="0" borderId="0" xfId="0" applyFont="1" applyFill="1" applyAlignment="1">
      <alignment horizontal="left" vertical="center"/>
    </xf>
    <xf numFmtId="0" fontId="192" fillId="0" borderId="0" xfId="0" applyFont="1" applyFill="1" applyAlignment="1">
      <alignment horizontal="left" vertical="center"/>
    </xf>
    <xf numFmtId="0" fontId="30" fillId="28" borderId="0" xfId="0" applyFont="1" applyFill="1"/>
    <xf numFmtId="4" fontId="32" fillId="0" borderId="16" xfId="0" applyNumberFormat="1" applyFont="1" applyFill="1" applyBorder="1" applyAlignment="1">
      <alignment horizontal="center" vertical="center"/>
    </xf>
    <xf numFmtId="4" fontId="32" fillId="0" borderId="17" xfId="0" applyNumberFormat="1" applyFont="1" applyFill="1" applyBorder="1" applyAlignment="1">
      <alignment horizontal="center" vertical="center"/>
    </xf>
    <xf numFmtId="4" fontId="29" fillId="0" borderId="16" xfId="0" applyNumberFormat="1" applyFont="1" applyFill="1" applyBorder="1" applyAlignment="1">
      <alignment horizontal="center" vertical="center" wrapText="1"/>
    </xf>
    <xf numFmtId="4" fontId="29" fillId="0" borderId="17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7" xfId="0" applyNumberFormat="1" applyFont="1" applyFill="1" applyBorder="1" applyAlignment="1">
      <alignment horizontal="center" vertical="center" wrapText="1"/>
    </xf>
    <xf numFmtId="0" fontId="176" fillId="0" borderId="15" xfId="35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69" fillId="0" borderId="0" xfId="0" applyFont="1"/>
    <xf numFmtId="0" fontId="165" fillId="0" borderId="0" xfId="35" applyFont="1" applyFill="1" applyAlignment="1">
      <alignment horizontal="center" vertical="center" wrapText="1"/>
    </xf>
    <xf numFmtId="0" fontId="158" fillId="0" borderId="0" xfId="35" applyFont="1" applyFill="1" applyAlignment="1">
      <alignment horizontal="center" vertical="center" wrapText="1"/>
    </xf>
    <xf numFmtId="0" fontId="157" fillId="0" borderId="15" xfId="35" applyFont="1" applyFill="1" applyBorder="1" applyAlignment="1">
      <alignment horizontal="center" vertical="top" wrapText="1"/>
    </xf>
    <xf numFmtId="0" fontId="165" fillId="0" borderId="0" xfId="0" applyFont="1" applyFill="1"/>
    <xf numFmtId="0" fontId="94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78" fillId="0" borderId="0" xfId="35" applyFont="1"/>
    <xf numFmtId="0" fontId="63" fillId="0" borderId="0" xfId="0" applyFont="1"/>
    <xf numFmtId="0" fontId="157" fillId="0" borderId="15" xfId="0" applyFont="1" applyFill="1" applyBorder="1" applyAlignment="1">
      <alignment horizontal="center" vertical="top" wrapText="1"/>
    </xf>
    <xf numFmtId="0" fontId="157" fillId="0" borderId="15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0" fontId="201" fillId="0" borderId="0" xfId="0" applyFont="1" applyAlignment="1">
      <alignment horizontal="justify" vertical="center"/>
    </xf>
    <xf numFmtId="49" fontId="30" fillId="0" borderId="19" xfId="0" applyNumberFormat="1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66" fillId="0" borderId="0" xfId="0" applyFont="1" applyFill="1"/>
    <xf numFmtId="49" fontId="29" fillId="39" borderId="19" xfId="0" applyNumberFormat="1" applyFont="1" applyFill="1" applyBorder="1" applyAlignment="1">
      <alignment horizontal="center" vertical="center" wrapText="1"/>
    </xf>
    <xf numFmtId="0" fontId="14" fillId="39" borderId="21" xfId="0" applyFont="1" applyFill="1" applyBorder="1" applyAlignment="1">
      <alignment horizontal="center" vertical="center" wrapText="1"/>
    </xf>
    <xf numFmtId="0" fontId="14" fillId="39" borderId="22" xfId="0" applyFont="1" applyFill="1" applyBorder="1" applyAlignment="1">
      <alignment horizontal="center" vertical="center" wrapText="1"/>
    </xf>
    <xf numFmtId="49" fontId="29" fillId="35" borderId="19" xfId="0" applyNumberFormat="1" applyFont="1" applyFill="1" applyBorder="1" applyAlignment="1">
      <alignment horizontal="left" vertical="center" wrapText="1"/>
    </xf>
    <xf numFmtId="0" fontId="14" fillId="35" borderId="22" xfId="0" applyFont="1" applyFill="1" applyBorder="1" applyAlignment="1">
      <alignment horizontal="left" vertical="center" wrapText="1"/>
    </xf>
    <xf numFmtId="49" fontId="30" fillId="39" borderId="19" xfId="0" applyNumberFormat="1" applyFont="1" applyFill="1" applyBorder="1" applyAlignment="1">
      <alignment horizontal="left" vertical="center" wrapText="1"/>
    </xf>
    <xf numFmtId="49" fontId="30" fillId="39" borderId="22" xfId="0" applyNumberFormat="1" applyFont="1" applyFill="1" applyBorder="1" applyAlignment="1">
      <alignment horizontal="left" vertical="center" wrapText="1"/>
    </xf>
    <xf numFmtId="49" fontId="30" fillId="35" borderId="19" xfId="0" applyNumberFormat="1" applyFont="1" applyFill="1" applyBorder="1" applyAlignment="1">
      <alignment horizontal="left" vertical="center" wrapText="1"/>
    </xf>
    <xf numFmtId="0" fontId="0" fillId="35" borderId="2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00" fillId="0" borderId="0" xfId="0" applyFont="1" applyAlignment="1">
      <alignment horizontal="justify" vertical="center"/>
    </xf>
    <xf numFmtId="0" fontId="66" fillId="0" borderId="0" xfId="39" applyFont="1" applyFill="1" applyAlignment="1">
      <alignment vertical="top" wrapText="1"/>
    </xf>
    <xf numFmtId="0" fontId="63" fillId="0" borderId="0" xfId="0" applyFont="1" applyAlignment="1">
      <alignment vertical="top" wrapText="1"/>
    </xf>
    <xf numFmtId="49" fontId="30" fillId="27" borderId="19" xfId="0" applyNumberFormat="1" applyFont="1" applyFill="1" applyBorder="1" applyAlignment="1">
      <alignment horizontal="left" vertical="center" wrapText="1"/>
    </xf>
    <xf numFmtId="0" fontId="0" fillId="27" borderId="22" xfId="0" applyFont="1" applyFill="1" applyBorder="1" applyAlignment="1">
      <alignment horizontal="left" vertical="center" wrapText="1"/>
    </xf>
    <xf numFmtId="49" fontId="29" fillId="35" borderId="22" xfId="0" applyNumberFormat="1" applyFont="1" applyFill="1" applyBorder="1" applyAlignment="1">
      <alignment horizontal="left" vertical="center" wrapText="1"/>
    </xf>
    <xf numFmtId="49" fontId="29" fillId="0" borderId="19" xfId="0" applyNumberFormat="1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49" fontId="30" fillId="0" borderId="26" xfId="0" applyNumberFormat="1" applyFont="1" applyFill="1" applyBorder="1" applyAlignment="1">
      <alignment horizontal="left" wrapText="1"/>
    </xf>
    <xf numFmtId="0" fontId="0" fillId="0" borderId="27" xfId="0" applyFont="1" applyFill="1" applyBorder="1" applyAlignment="1">
      <alignment horizontal="left" wrapText="1"/>
    </xf>
    <xf numFmtId="49" fontId="30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66" fillId="27" borderId="0" xfId="0" applyFont="1" applyFill="1" applyAlignment="1">
      <alignment horizontal="center" vertical="center"/>
    </xf>
    <xf numFmtId="0" fontId="66" fillId="27" borderId="0" xfId="0" applyFont="1" applyFill="1" applyAlignment="1">
      <alignment vertical="center"/>
    </xf>
    <xf numFmtId="0" fontId="29" fillId="0" borderId="19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49" fontId="29" fillId="0" borderId="22" xfId="0" applyNumberFormat="1" applyFont="1" applyFill="1" applyBorder="1" applyAlignment="1">
      <alignment horizontal="left" vertical="center" wrapText="1"/>
    </xf>
    <xf numFmtId="49" fontId="30" fillId="0" borderId="22" xfId="0" applyNumberFormat="1" applyFont="1" applyFill="1" applyBorder="1" applyAlignment="1">
      <alignment horizontal="left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0" fontId="178" fillId="0" borderId="0" xfId="0" applyFont="1" applyAlignment="1"/>
    <xf numFmtId="0" fontId="18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8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2" fillId="0" borderId="0" xfId="35" applyFont="1" applyAlignment="1">
      <alignment horizontal="center" vertical="center"/>
    </xf>
    <xf numFmtId="0" fontId="165" fillId="0" borderId="0" xfId="35" applyFont="1" applyAlignment="1">
      <alignment horizontal="center" vertical="center" wrapText="1"/>
    </xf>
    <xf numFmtId="0" fontId="172" fillId="0" borderId="0" xfId="35" applyFont="1" applyAlignment="1">
      <alignment horizontal="center" vertical="center" wrapText="1"/>
    </xf>
    <xf numFmtId="0" fontId="158" fillId="0" borderId="0" xfId="35" applyFont="1" applyAlignment="1">
      <alignment horizontal="center" vertical="center" wrapText="1"/>
    </xf>
    <xf numFmtId="0" fontId="94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4" fontId="103" fillId="29" borderId="23" xfId="0" applyNumberFormat="1" applyFont="1" applyFill="1" applyBorder="1" applyAlignment="1">
      <alignment horizontal="center" vertical="center" wrapText="1"/>
    </xf>
    <xf numFmtId="0" fontId="99" fillId="0" borderId="23" xfId="0" applyFont="1" applyBorder="1" applyAlignment="1"/>
    <xf numFmtId="0" fontId="33" fillId="0" borderId="17" xfId="0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4" fontId="66" fillId="0" borderId="17" xfId="0" applyNumberFormat="1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" fontId="83" fillId="29" borderId="23" xfId="0" applyNumberFormat="1" applyFont="1" applyFill="1" applyBorder="1" applyAlignment="1">
      <alignment horizontal="center" vertical="center" wrapText="1"/>
    </xf>
    <xf numFmtId="0" fontId="77" fillId="28" borderId="23" xfId="0" applyFont="1" applyFill="1" applyBorder="1" applyAlignment="1"/>
    <xf numFmtId="0" fontId="30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top"/>
    </xf>
    <xf numFmtId="4" fontId="104" fillId="29" borderId="23" xfId="0" applyNumberFormat="1" applyFont="1" applyFill="1" applyBorder="1" applyAlignment="1">
      <alignment horizontal="center" vertical="center" wrapText="1"/>
    </xf>
    <xf numFmtId="0" fontId="155" fillId="28" borderId="23" xfId="0" applyFont="1" applyFill="1" applyBorder="1" applyAlignment="1"/>
    <xf numFmtId="49" fontId="66" fillId="0" borderId="16" xfId="0" applyNumberFormat="1" applyFont="1" applyFill="1" applyBorder="1" applyAlignment="1">
      <alignment horizontal="center" vertical="center" wrapText="1"/>
    </xf>
    <xf numFmtId="49" fontId="66" fillId="0" borderId="17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16" xfId="3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4" fontId="66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Font="1" applyFill="1" applyBorder="1" applyAlignment="1">
      <alignment horizontal="center" vertical="center" wrapText="1"/>
    </xf>
    <xf numFmtId="4" fontId="66" fillId="0" borderId="16" xfId="38" applyNumberFormat="1" applyFont="1" applyFill="1" applyBorder="1" applyAlignment="1">
      <alignment horizontal="center" vertical="center" wrapText="1"/>
    </xf>
    <xf numFmtId="4" fontId="66" fillId="28" borderId="16" xfId="0" applyNumberFormat="1" applyFont="1" applyFill="1" applyBorder="1" applyAlignment="1">
      <alignment horizontal="center" vertical="center" wrapText="1"/>
    </xf>
    <xf numFmtId="0" fontId="63" fillId="28" borderId="17" xfId="0" applyFont="1" applyFill="1" applyBorder="1" applyAlignment="1">
      <alignment horizontal="center" vertical="center" wrapText="1"/>
    </xf>
    <xf numFmtId="49" fontId="66" fillId="28" borderId="16" xfId="0" applyNumberFormat="1" applyFont="1" applyFill="1" applyBorder="1" applyAlignment="1">
      <alignment horizontal="center" vertical="center" wrapText="1"/>
    </xf>
    <xf numFmtId="0" fontId="66" fillId="28" borderId="17" xfId="0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2" fontId="41" fillId="0" borderId="15" xfId="36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/>
    </xf>
    <xf numFmtId="2" fontId="147" fillId="0" borderId="15" xfId="36" applyNumberFormat="1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center"/>
    </xf>
    <xf numFmtId="2" fontId="39" fillId="39" borderId="15" xfId="36" applyNumberFormat="1" applyFont="1" applyFill="1" applyBorder="1" applyAlignment="1">
      <alignment horizontal="center" vertical="center"/>
    </xf>
    <xf numFmtId="0" fontId="9" fillId="39" borderId="15" xfId="0" applyFont="1" applyFill="1" applyBorder="1" applyAlignment="1">
      <alignment horizontal="center"/>
    </xf>
    <xf numFmtId="43" fontId="39" fillId="40" borderId="15" xfId="36" applyNumberFormat="1" applyFont="1" applyFill="1" applyBorder="1" applyAlignment="1">
      <alignment horizontal="left" vertical="center" wrapText="1"/>
    </xf>
    <xf numFmtId="43" fontId="9" fillId="40" borderId="15" xfId="0" applyNumberFormat="1" applyFon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9" fillId="0" borderId="0" xfId="36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9" fillId="0" borderId="0" xfId="36" applyFont="1" applyAlignment="1">
      <alignment horizontal="center" vertical="top"/>
    </xf>
    <xf numFmtId="0" fontId="9" fillId="0" borderId="0" xfId="0" applyFont="1" applyAlignment="1">
      <alignment vertical="top"/>
    </xf>
    <xf numFmtId="0" fontId="39" fillId="0" borderId="0" xfId="36" applyFont="1" applyAlignment="1">
      <alignment horizontal="center" vertical="center"/>
    </xf>
    <xf numFmtId="0" fontId="9" fillId="0" borderId="0" xfId="0" applyFont="1" applyAlignment="1">
      <alignment vertical="center"/>
    </xf>
    <xf numFmtId="0" fontId="81" fillId="0" borderId="0" xfId="36" applyFont="1">
      <alignment vertical="top"/>
    </xf>
    <xf numFmtId="0" fontId="112" fillId="0" borderId="0" xfId="36" applyFont="1" applyAlignment="1">
      <alignment horizontal="center" vertical="center" wrapText="1"/>
    </xf>
    <xf numFmtId="0" fontId="138" fillId="0" borderId="0" xfId="36" applyFont="1" applyAlignment="1">
      <alignment horizontal="left" vertical="top" wrapText="1"/>
    </xf>
    <xf numFmtId="2" fontId="39" fillId="0" borderId="15" xfId="36" applyNumberFormat="1" applyFont="1" applyFill="1" applyBorder="1" applyAlignment="1">
      <alignment horizontal="center" vertical="center" wrapText="1"/>
    </xf>
    <xf numFmtId="2" fontId="41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2" fontId="81" fillId="28" borderId="23" xfId="36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4" fillId="0" borderId="0" xfId="0" applyFont="1" applyFill="1" applyAlignment="1">
      <alignment horizontal="center"/>
    </xf>
  </cellXfs>
  <cellStyles count="190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CCFF99"/>
      <color rgb="FF00FFCC"/>
      <color rgb="FFCCCCFF"/>
      <color rgb="FFFFAFAF"/>
      <color rgb="FFFFABAB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8"/>
  <sheetViews>
    <sheetView view="pageBreakPreview" zoomScaleNormal="100" zoomScaleSheetLayoutView="100" workbookViewId="0">
      <selection activeCell="A5" sqref="A5:F5"/>
    </sheetView>
  </sheetViews>
  <sheetFormatPr defaultColWidth="6.85546875" defaultRowHeight="12.75" x14ac:dyDescent="0.2"/>
  <cols>
    <col min="1" max="1" width="10.140625" style="137" customWidth="1"/>
    <col min="2" max="2" width="40.42578125" style="137" customWidth="1"/>
    <col min="3" max="4" width="17.28515625" style="137" customWidth="1"/>
    <col min="5" max="5" width="15.7109375" style="137" customWidth="1"/>
    <col min="6" max="6" width="14.5703125" style="137" customWidth="1"/>
    <col min="7" max="10" width="10.85546875" style="138" bestFit="1" customWidth="1"/>
    <col min="11" max="252" width="7.85546875" style="137" customWidth="1"/>
    <col min="253" max="16384" width="6.85546875" style="137"/>
  </cols>
  <sheetData>
    <row r="1" spans="1:7" ht="15.75" x14ac:dyDescent="0.2">
      <c r="A1" s="440"/>
      <c r="B1" s="440"/>
      <c r="C1" s="440"/>
      <c r="D1" s="791" t="s">
        <v>56</v>
      </c>
      <c r="E1" s="792"/>
      <c r="F1" s="792"/>
      <c r="G1" s="792"/>
    </row>
    <row r="2" spans="1:7" ht="15.75" x14ac:dyDescent="0.2">
      <c r="A2" s="440"/>
      <c r="B2" s="440"/>
      <c r="C2" s="441"/>
      <c r="D2" s="791" t="s">
        <v>1488</v>
      </c>
      <c r="E2" s="793"/>
      <c r="F2" s="793"/>
      <c r="G2" s="793"/>
    </row>
    <row r="3" spans="1:7" ht="6" hidden="1" customHeight="1" x14ac:dyDescent="0.2">
      <c r="A3" s="442"/>
      <c r="B3" s="442"/>
      <c r="C3" s="443"/>
      <c r="D3" s="794"/>
      <c r="E3" s="795"/>
      <c r="F3" s="795"/>
      <c r="G3" s="795"/>
    </row>
    <row r="4" spans="1:7" ht="12.75" customHeight="1" x14ac:dyDescent="0.2">
      <c r="A4" s="784"/>
      <c r="B4" s="784"/>
      <c r="C4" s="784"/>
      <c r="D4" s="784"/>
      <c r="E4" s="784"/>
      <c r="F4" s="442"/>
      <c r="G4" s="442"/>
    </row>
    <row r="5" spans="1:7" ht="20.25" x14ac:dyDescent="0.2">
      <c r="A5" s="784" t="s">
        <v>1154</v>
      </c>
      <c r="B5" s="785"/>
      <c r="C5" s="785"/>
      <c r="D5" s="785"/>
      <c r="E5" s="785"/>
      <c r="F5" s="785"/>
      <c r="G5" s="442"/>
    </row>
    <row r="6" spans="1:7" ht="20.25" x14ac:dyDescent="0.2">
      <c r="A6" s="784" t="s">
        <v>1322</v>
      </c>
      <c r="B6" s="785"/>
      <c r="C6" s="785"/>
      <c r="D6" s="785"/>
      <c r="E6" s="785"/>
      <c r="F6" s="785"/>
      <c r="G6" s="442"/>
    </row>
    <row r="7" spans="1:7" ht="20.25" x14ac:dyDescent="0.2">
      <c r="A7" s="444"/>
      <c r="B7" s="445"/>
      <c r="C7" s="445"/>
      <c r="D7" s="445"/>
      <c r="E7" s="445"/>
      <c r="F7" s="445"/>
      <c r="G7" s="442"/>
    </row>
    <row r="8" spans="1:7" ht="20.25" x14ac:dyDescent="0.2">
      <c r="A8" s="786">
        <v>2256400000</v>
      </c>
      <c r="B8" s="787"/>
      <c r="C8" s="787"/>
      <c r="D8" s="787"/>
      <c r="E8" s="787"/>
      <c r="F8" s="787"/>
      <c r="G8" s="442"/>
    </row>
    <row r="9" spans="1:7" ht="15.75" x14ac:dyDescent="0.2">
      <c r="A9" s="788" t="s">
        <v>497</v>
      </c>
      <c r="B9" s="789"/>
      <c r="C9" s="789"/>
      <c r="D9" s="789"/>
      <c r="E9" s="789"/>
      <c r="F9" s="789"/>
      <c r="G9" s="442"/>
    </row>
    <row r="10" spans="1:7" ht="20.25" x14ac:dyDescent="0.2">
      <c r="A10" s="444"/>
      <c r="B10" s="446"/>
      <c r="C10" s="446"/>
      <c r="D10" s="446"/>
      <c r="E10" s="446"/>
      <c r="F10" s="446"/>
      <c r="G10" s="442"/>
    </row>
    <row r="11" spans="1:7" ht="13.5" thickBot="1" x14ac:dyDescent="0.25">
      <c r="A11" s="442"/>
      <c r="B11" s="447"/>
      <c r="C11" s="447"/>
      <c r="D11" s="447"/>
      <c r="E11" s="447"/>
      <c r="F11" s="448" t="s">
        <v>410</v>
      </c>
      <c r="G11" s="442"/>
    </row>
    <row r="12" spans="1:7" ht="14.25" thickTop="1" thickBot="1" x14ac:dyDescent="0.25">
      <c r="A12" s="790" t="s">
        <v>57</v>
      </c>
      <c r="B12" s="790" t="s">
        <v>1323</v>
      </c>
      <c r="C12" s="790" t="s">
        <v>389</v>
      </c>
      <c r="D12" s="790" t="s">
        <v>12</v>
      </c>
      <c r="E12" s="790" t="s">
        <v>52</v>
      </c>
      <c r="F12" s="790"/>
      <c r="G12" s="449"/>
    </row>
    <row r="13" spans="1:7" ht="39.75" thickTop="1" thickBot="1" x14ac:dyDescent="0.3">
      <c r="A13" s="790"/>
      <c r="B13" s="790"/>
      <c r="C13" s="790"/>
      <c r="D13" s="790"/>
      <c r="E13" s="450" t="s">
        <v>390</v>
      </c>
      <c r="F13" s="450" t="s">
        <v>432</v>
      </c>
      <c r="G13" s="451"/>
    </row>
    <row r="14" spans="1:7" ht="16.5" thickTop="1" thickBot="1" x14ac:dyDescent="0.3">
      <c r="A14" s="450">
        <v>1</v>
      </c>
      <c r="B14" s="450">
        <v>2</v>
      </c>
      <c r="C14" s="450">
        <v>3</v>
      </c>
      <c r="D14" s="450">
        <v>4</v>
      </c>
      <c r="E14" s="450">
        <v>5</v>
      </c>
      <c r="F14" s="450">
        <v>6</v>
      </c>
      <c r="G14" s="451"/>
    </row>
    <row r="15" spans="1:7" ht="25.5" customHeight="1" thickTop="1" thickBot="1" x14ac:dyDescent="0.25">
      <c r="A15" s="669">
        <v>10000000</v>
      </c>
      <c r="B15" s="669" t="s">
        <v>58</v>
      </c>
      <c r="C15" s="670">
        <f t="shared" ref="C15:C20" si="0">SUM(D15,E15)</f>
        <v>3160709100</v>
      </c>
      <c r="D15" s="670">
        <f>SUM(D16,D29,D37,D58,D24)</f>
        <v>3159359100</v>
      </c>
      <c r="E15" s="670">
        <f>SUM(E16,E29,E37,E58,E24)</f>
        <v>1350000</v>
      </c>
      <c r="F15" s="670">
        <f>SUM(F16,F29,F37,F58,F24)</f>
        <v>0</v>
      </c>
      <c r="G15" s="140"/>
    </row>
    <row r="16" spans="1:7" ht="31.7" customHeight="1" thickTop="1" thickBot="1" x14ac:dyDescent="0.25">
      <c r="A16" s="630">
        <v>11000000</v>
      </c>
      <c r="B16" s="630" t="s">
        <v>59</v>
      </c>
      <c r="C16" s="624">
        <f>SUM(D16,E16)</f>
        <v>2257159100</v>
      </c>
      <c r="D16" s="624">
        <f>SUM(D17,D22)</f>
        <v>2257159100</v>
      </c>
      <c r="E16" s="624"/>
      <c r="F16" s="624"/>
      <c r="G16" s="141"/>
    </row>
    <row r="17" spans="1:7" ht="24.75" customHeight="1" thickTop="1" thickBot="1" x14ac:dyDescent="0.25">
      <c r="A17" s="626">
        <v>11010000</v>
      </c>
      <c r="B17" s="627" t="s">
        <v>60</v>
      </c>
      <c r="C17" s="628">
        <f t="shared" si="0"/>
        <v>2256159100</v>
      </c>
      <c r="D17" s="628">
        <f>SUM(D18:D21)</f>
        <v>2256159100</v>
      </c>
      <c r="E17" s="628"/>
      <c r="F17" s="628"/>
      <c r="G17" s="141"/>
    </row>
    <row r="18" spans="1:7" ht="39.75" thickTop="1" thickBot="1" x14ac:dyDescent="0.25">
      <c r="A18" s="622">
        <v>11010100</v>
      </c>
      <c r="B18" s="623" t="s">
        <v>61</v>
      </c>
      <c r="C18" s="624">
        <f t="shared" si="0"/>
        <v>1173299900</v>
      </c>
      <c r="D18" s="625">
        <v>1173299900</v>
      </c>
      <c r="E18" s="625"/>
      <c r="F18" s="625"/>
      <c r="G18" s="141"/>
    </row>
    <row r="19" spans="1:7" ht="65.25" thickTop="1" thickBot="1" x14ac:dyDescent="0.25">
      <c r="A19" s="622">
        <v>11010200</v>
      </c>
      <c r="B19" s="623" t="s">
        <v>62</v>
      </c>
      <c r="C19" s="624">
        <f t="shared" si="0"/>
        <v>1022159100</v>
      </c>
      <c r="D19" s="625">
        <v>1022159100</v>
      </c>
      <c r="E19" s="625"/>
      <c r="F19" s="625"/>
      <c r="G19" s="141"/>
    </row>
    <row r="20" spans="1:7" ht="39.75" thickTop="1" thickBot="1" x14ac:dyDescent="0.25">
      <c r="A20" s="622">
        <v>11010400</v>
      </c>
      <c r="B20" s="623" t="s">
        <v>63</v>
      </c>
      <c r="C20" s="624">
        <f t="shared" si="0"/>
        <v>40200100</v>
      </c>
      <c r="D20" s="625">
        <v>40200100</v>
      </c>
      <c r="E20" s="625"/>
      <c r="F20" s="625"/>
      <c r="G20" s="141"/>
    </row>
    <row r="21" spans="1:7" ht="39.75" thickTop="1" thickBot="1" x14ac:dyDescent="0.3">
      <c r="A21" s="622">
        <v>11010500</v>
      </c>
      <c r="B21" s="623" t="s">
        <v>64</v>
      </c>
      <c r="C21" s="624">
        <f t="shared" ref="C21:C100" si="1">SUM(D21,E21)</f>
        <v>20500000</v>
      </c>
      <c r="D21" s="625">
        <v>20500000</v>
      </c>
      <c r="E21" s="625"/>
      <c r="F21" s="625"/>
      <c r="G21" s="139"/>
    </row>
    <row r="22" spans="1:7" ht="28.5" customHeight="1" thickTop="1" thickBot="1" x14ac:dyDescent="0.25">
      <c r="A22" s="626">
        <v>11020000</v>
      </c>
      <c r="B22" s="627" t="s">
        <v>65</v>
      </c>
      <c r="C22" s="628">
        <f>SUM(D22,E22)</f>
        <v>1000000</v>
      </c>
      <c r="D22" s="628">
        <f>D23</f>
        <v>1000000</v>
      </c>
      <c r="E22" s="628"/>
      <c r="F22" s="628"/>
      <c r="G22" s="140"/>
    </row>
    <row r="23" spans="1:7" ht="27" thickTop="1" thickBot="1" x14ac:dyDescent="0.3">
      <c r="A23" s="622">
        <v>11020200</v>
      </c>
      <c r="B23" s="629" t="s">
        <v>66</v>
      </c>
      <c r="C23" s="624">
        <f>SUM(D23,E23)</f>
        <v>1000000</v>
      </c>
      <c r="D23" s="625">
        <v>1000000</v>
      </c>
      <c r="E23" s="625"/>
      <c r="F23" s="625"/>
      <c r="G23" s="139"/>
    </row>
    <row r="24" spans="1:7" ht="27" thickTop="1" thickBot="1" x14ac:dyDescent="0.3">
      <c r="A24" s="630">
        <v>13000000</v>
      </c>
      <c r="B24" s="631" t="s">
        <v>534</v>
      </c>
      <c r="C24" s="624">
        <f>D24+E24</f>
        <v>1200000</v>
      </c>
      <c r="D24" s="624">
        <f>SUM(D25,D27)</f>
        <v>1200000</v>
      </c>
      <c r="E24" s="625"/>
      <c r="F24" s="625"/>
      <c r="G24" s="139"/>
    </row>
    <row r="25" spans="1:7" ht="28.5" thickTop="1" thickBot="1" x14ac:dyDescent="0.3">
      <c r="A25" s="626">
        <v>13010000</v>
      </c>
      <c r="B25" s="632" t="s">
        <v>535</v>
      </c>
      <c r="C25" s="628">
        <f>D25+E25</f>
        <v>1155000</v>
      </c>
      <c r="D25" s="628">
        <f>SUM(D26)</f>
        <v>1155000</v>
      </c>
      <c r="E25" s="628"/>
      <c r="F25" s="628"/>
      <c r="G25" s="139"/>
    </row>
    <row r="26" spans="1:7" ht="65.25" thickTop="1" thickBot="1" x14ac:dyDescent="0.3">
      <c r="A26" s="622">
        <v>13010200</v>
      </c>
      <c r="B26" s="633" t="s">
        <v>536</v>
      </c>
      <c r="C26" s="624">
        <f t="shared" ref="C26:C29" si="2">D26+E26</f>
        <v>1155000</v>
      </c>
      <c r="D26" s="625">
        <v>1155000</v>
      </c>
      <c r="E26" s="625"/>
      <c r="F26" s="625"/>
      <c r="G26" s="139"/>
    </row>
    <row r="27" spans="1:7" ht="16.5" thickTop="1" thickBot="1" x14ac:dyDescent="0.3">
      <c r="A27" s="626">
        <v>13030000</v>
      </c>
      <c r="B27" s="634" t="s">
        <v>537</v>
      </c>
      <c r="C27" s="628">
        <f>D27+E27</f>
        <v>45000</v>
      </c>
      <c r="D27" s="628">
        <f>SUM(D28)</f>
        <v>45000</v>
      </c>
      <c r="E27" s="628"/>
      <c r="F27" s="628"/>
      <c r="G27" s="139"/>
    </row>
    <row r="28" spans="1:7" ht="39.75" thickTop="1" thickBot="1" x14ac:dyDescent="0.3">
      <c r="A28" s="622">
        <v>13030100</v>
      </c>
      <c r="B28" s="633" t="s">
        <v>538</v>
      </c>
      <c r="C28" s="624">
        <f t="shared" si="2"/>
        <v>45000</v>
      </c>
      <c r="D28" s="625">
        <v>45000</v>
      </c>
      <c r="E28" s="625"/>
      <c r="F28" s="625"/>
      <c r="G28" s="139"/>
    </row>
    <row r="29" spans="1:7" ht="26.45" customHeight="1" thickTop="1" thickBot="1" x14ac:dyDescent="0.3">
      <c r="A29" s="630">
        <v>14000000</v>
      </c>
      <c r="B29" s="631" t="s">
        <v>539</v>
      </c>
      <c r="C29" s="624">
        <f t="shared" si="2"/>
        <v>220250000</v>
      </c>
      <c r="D29" s="624">
        <f>SUM(D30,D32,D34)</f>
        <v>220250000</v>
      </c>
      <c r="E29" s="624"/>
      <c r="F29" s="625"/>
      <c r="G29" s="139"/>
    </row>
    <row r="30" spans="1:7" ht="30" customHeight="1" thickTop="1" thickBot="1" x14ac:dyDescent="0.3">
      <c r="A30" s="626">
        <v>14020000</v>
      </c>
      <c r="B30" s="632" t="s">
        <v>634</v>
      </c>
      <c r="C30" s="628">
        <f>SUM(D30,E30)</f>
        <v>9920600</v>
      </c>
      <c r="D30" s="628">
        <f>SUM(D31,E31)</f>
        <v>9920600</v>
      </c>
      <c r="E30" s="628"/>
      <c r="F30" s="635"/>
      <c r="G30" s="139"/>
    </row>
    <row r="31" spans="1:7" ht="16.5" thickTop="1" thickBot="1" x14ac:dyDescent="0.3">
      <c r="A31" s="622">
        <v>14021900</v>
      </c>
      <c r="B31" s="629" t="s">
        <v>633</v>
      </c>
      <c r="C31" s="625">
        <f>SUM(D31,E31)</f>
        <v>9920600</v>
      </c>
      <c r="D31" s="625">
        <v>9920600</v>
      </c>
      <c r="E31" s="624"/>
      <c r="F31" s="625"/>
      <c r="G31" s="139"/>
    </row>
    <row r="32" spans="1:7" ht="42" thickTop="1" thickBot="1" x14ac:dyDescent="0.3">
      <c r="A32" s="626">
        <v>14030000</v>
      </c>
      <c r="B32" s="632" t="s">
        <v>635</v>
      </c>
      <c r="C32" s="628">
        <f>SUM(D32,E32)</f>
        <v>50079400</v>
      </c>
      <c r="D32" s="628">
        <f>SUM(D33,E33)</f>
        <v>50079400</v>
      </c>
      <c r="E32" s="628"/>
      <c r="F32" s="635"/>
      <c r="G32" s="139"/>
    </row>
    <row r="33" spans="1:7" ht="16.5" thickTop="1" thickBot="1" x14ac:dyDescent="0.3">
      <c r="A33" s="622">
        <v>14031900</v>
      </c>
      <c r="B33" s="629" t="s">
        <v>633</v>
      </c>
      <c r="C33" s="625">
        <f>SUM(D33,E33)</f>
        <v>50079400</v>
      </c>
      <c r="D33" s="625">
        <v>50079400</v>
      </c>
      <c r="E33" s="624"/>
      <c r="F33" s="625"/>
      <c r="G33" s="139"/>
    </row>
    <row r="34" spans="1:7" ht="42" thickTop="1" thickBot="1" x14ac:dyDescent="0.3">
      <c r="A34" s="626">
        <v>14040000</v>
      </c>
      <c r="B34" s="632" t="s">
        <v>1261</v>
      </c>
      <c r="C34" s="628">
        <f>SUM(C35:C36)</f>
        <v>160250000</v>
      </c>
      <c r="D34" s="628">
        <f>SUM(D35:D36)</f>
        <v>160250000</v>
      </c>
      <c r="E34" s="628"/>
      <c r="F34" s="635"/>
      <c r="G34" s="139"/>
    </row>
    <row r="35" spans="1:7" ht="103.5" thickTop="1" thickBot="1" x14ac:dyDescent="0.25">
      <c r="A35" s="622">
        <v>14040100</v>
      </c>
      <c r="B35" s="629" t="s">
        <v>1282</v>
      </c>
      <c r="C35" s="625">
        <f>SUM(D35,E35)</f>
        <v>55050000</v>
      </c>
      <c r="D35" s="625">
        <v>55050000</v>
      </c>
      <c r="E35" s="624"/>
      <c r="F35" s="625"/>
      <c r="G35" s="142"/>
    </row>
    <row r="36" spans="1:7" ht="65.25" thickTop="1" thickBot="1" x14ac:dyDescent="0.25">
      <c r="A36" s="622">
        <v>14040200</v>
      </c>
      <c r="B36" s="629" t="s">
        <v>1260</v>
      </c>
      <c r="C36" s="625">
        <f>SUM(D36,E36)</f>
        <v>105200000</v>
      </c>
      <c r="D36" s="625">
        <v>105200000</v>
      </c>
      <c r="E36" s="624"/>
      <c r="F36" s="625"/>
      <c r="G36" s="142"/>
    </row>
    <row r="37" spans="1:7" ht="29.25" customHeight="1" thickTop="1" thickBot="1" x14ac:dyDescent="0.3">
      <c r="A37" s="630">
        <v>18000000</v>
      </c>
      <c r="B37" s="630" t="s">
        <v>67</v>
      </c>
      <c r="C37" s="624">
        <f t="shared" si="1"/>
        <v>680750000</v>
      </c>
      <c r="D37" s="624">
        <f>SUM(D38,D51,D54,D49)</f>
        <v>680750000</v>
      </c>
      <c r="E37" s="624"/>
      <c r="F37" s="624"/>
      <c r="G37" s="139"/>
    </row>
    <row r="38" spans="1:7" ht="16.5" thickTop="1" thickBot="1" x14ac:dyDescent="0.3">
      <c r="A38" s="626">
        <v>18010000</v>
      </c>
      <c r="B38" s="632" t="s">
        <v>68</v>
      </c>
      <c r="C38" s="628">
        <f>SUM(D38,E38)</f>
        <v>237500000</v>
      </c>
      <c r="D38" s="628">
        <f>SUM(D39:D48)</f>
        <v>237500000</v>
      </c>
      <c r="E38" s="628"/>
      <c r="F38" s="628"/>
      <c r="G38" s="139"/>
    </row>
    <row r="39" spans="1:7" ht="52.5" thickTop="1" thickBot="1" x14ac:dyDescent="0.3">
      <c r="A39" s="622">
        <v>18010100</v>
      </c>
      <c r="B39" s="629" t="s">
        <v>69</v>
      </c>
      <c r="C39" s="624">
        <f t="shared" si="1"/>
        <v>295000</v>
      </c>
      <c r="D39" s="625">
        <v>295000</v>
      </c>
      <c r="E39" s="625"/>
      <c r="F39" s="625"/>
      <c r="G39" s="139"/>
    </row>
    <row r="40" spans="1:7" ht="52.5" thickTop="1" thickBot="1" x14ac:dyDescent="0.3">
      <c r="A40" s="622">
        <v>18010200</v>
      </c>
      <c r="B40" s="629" t="s">
        <v>70</v>
      </c>
      <c r="C40" s="624">
        <f t="shared" si="1"/>
        <v>12597500</v>
      </c>
      <c r="D40" s="625">
        <v>12597500</v>
      </c>
      <c r="E40" s="625"/>
      <c r="F40" s="625"/>
      <c r="G40" s="139"/>
    </row>
    <row r="41" spans="1:7" ht="52.5" thickTop="1" thickBot="1" x14ac:dyDescent="0.3">
      <c r="A41" s="622">
        <v>18010300</v>
      </c>
      <c r="B41" s="629" t="s">
        <v>71</v>
      </c>
      <c r="C41" s="624">
        <f t="shared" si="1"/>
        <v>7200000</v>
      </c>
      <c r="D41" s="625">
        <v>7200000</v>
      </c>
      <c r="E41" s="625"/>
      <c r="F41" s="625"/>
      <c r="G41" s="139"/>
    </row>
    <row r="42" spans="1:7" ht="52.5" thickTop="1" thickBot="1" x14ac:dyDescent="0.3">
      <c r="A42" s="622">
        <v>18010400</v>
      </c>
      <c r="B42" s="629" t="s">
        <v>72</v>
      </c>
      <c r="C42" s="624">
        <f t="shared" si="1"/>
        <v>30507500</v>
      </c>
      <c r="D42" s="625">
        <v>30507500</v>
      </c>
      <c r="E42" s="625"/>
      <c r="F42" s="625"/>
      <c r="G42" s="139"/>
    </row>
    <row r="43" spans="1:7" ht="16.5" thickTop="1" thickBot="1" x14ac:dyDescent="0.3">
      <c r="A43" s="622">
        <v>18010500</v>
      </c>
      <c r="B43" s="629" t="s">
        <v>73</v>
      </c>
      <c r="C43" s="624">
        <f t="shared" si="1"/>
        <v>38050000</v>
      </c>
      <c r="D43" s="625">
        <v>38050000</v>
      </c>
      <c r="E43" s="625"/>
      <c r="F43" s="625"/>
      <c r="G43" s="139"/>
    </row>
    <row r="44" spans="1:7" ht="16.5" thickTop="1" thickBot="1" x14ac:dyDescent="0.3">
      <c r="A44" s="622">
        <v>18010600</v>
      </c>
      <c r="B44" s="629" t="s">
        <v>74</v>
      </c>
      <c r="C44" s="624">
        <f t="shared" si="1"/>
        <v>113600000</v>
      </c>
      <c r="D44" s="625">
        <v>113600000</v>
      </c>
      <c r="E44" s="625"/>
      <c r="F44" s="625"/>
      <c r="G44" s="139"/>
    </row>
    <row r="45" spans="1:7" ht="16.5" thickTop="1" thickBot="1" x14ac:dyDescent="0.3">
      <c r="A45" s="622">
        <v>18010700</v>
      </c>
      <c r="B45" s="629" t="s">
        <v>75</v>
      </c>
      <c r="C45" s="624">
        <f t="shared" si="1"/>
        <v>1705000</v>
      </c>
      <c r="D45" s="625">
        <v>1705000</v>
      </c>
      <c r="E45" s="625"/>
      <c r="F45" s="625"/>
      <c r="G45" s="139"/>
    </row>
    <row r="46" spans="1:7" ht="16.5" thickTop="1" thickBot="1" x14ac:dyDescent="0.3">
      <c r="A46" s="622">
        <v>18010900</v>
      </c>
      <c r="B46" s="629" t="s">
        <v>76</v>
      </c>
      <c r="C46" s="624">
        <f t="shared" si="1"/>
        <v>33145000</v>
      </c>
      <c r="D46" s="625">
        <v>33145000</v>
      </c>
      <c r="E46" s="625"/>
      <c r="F46" s="625"/>
      <c r="G46" s="139"/>
    </row>
    <row r="47" spans="1:7" ht="15.75" thickTop="1" thickBot="1" x14ac:dyDescent="0.25">
      <c r="A47" s="622">
        <v>18011000</v>
      </c>
      <c r="B47" s="629" t="s">
        <v>77</v>
      </c>
      <c r="C47" s="624">
        <f t="shared" si="1"/>
        <v>115000</v>
      </c>
      <c r="D47" s="625">
        <v>115000</v>
      </c>
      <c r="E47" s="625"/>
      <c r="F47" s="625"/>
      <c r="G47" s="140"/>
    </row>
    <row r="48" spans="1:7" ht="16.5" thickTop="1" thickBot="1" x14ac:dyDescent="0.3">
      <c r="A48" s="622">
        <v>18011100</v>
      </c>
      <c r="B48" s="629" t="s">
        <v>78</v>
      </c>
      <c r="C48" s="624">
        <f t="shared" si="1"/>
        <v>285000</v>
      </c>
      <c r="D48" s="625">
        <v>285000</v>
      </c>
      <c r="E48" s="625"/>
      <c r="F48" s="625"/>
      <c r="G48" s="139"/>
    </row>
    <row r="49" spans="1:7" ht="28.5" thickTop="1" thickBot="1" x14ac:dyDescent="0.3">
      <c r="A49" s="626">
        <v>18020000</v>
      </c>
      <c r="B49" s="632" t="s">
        <v>1205</v>
      </c>
      <c r="C49" s="628">
        <f t="shared" si="1"/>
        <v>250000</v>
      </c>
      <c r="D49" s="628">
        <f>SUM(D50,E50)</f>
        <v>250000</v>
      </c>
      <c r="E49" s="628"/>
      <c r="F49" s="628"/>
      <c r="G49" s="139"/>
    </row>
    <row r="50" spans="1:7" ht="27" thickTop="1" thickBot="1" x14ac:dyDescent="0.3">
      <c r="A50" s="622">
        <v>180201000</v>
      </c>
      <c r="B50" s="629" t="s">
        <v>1206</v>
      </c>
      <c r="C50" s="624">
        <f t="shared" si="1"/>
        <v>250000</v>
      </c>
      <c r="D50" s="625">
        <v>250000</v>
      </c>
      <c r="E50" s="625"/>
      <c r="F50" s="625"/>
      <c r="G50" s="139"/>
    </row>
    <row r="51" spans="1:7" ht="16.5" thickTop="1" thickBot="1" x14ac:dyDescent="0.3">
      <c r="A51" s="626">
        <v>18030000</v>
      </c>
      <c r="B51" s="632" t="s">
        <v>79</v>
      </c>
      <c r="C51" s="628">
        <f>SUM(D51,E51)</f>
        <v>1500000</v>
      </c>
      <c r="D51" s="628">
        <f>SUM(D52:D53)</f>
        <v>1500000</v>
      </c>
      <c r="E51" s="628"/>
      <c r="F51" s="628"/>
      <c r="G51" s="139"/>
    </row>
    <row r="52" spans="1:7" ht="27" thickTop="1" thickBot="1" x14ac:dyDescent="0.3">
      <c r="A52" s="622">
        <v>18030100</v>
      </c>
      <c r="B52" s="629" t="s">
        <v>80</v>
      </c>
      <c r="C52" s="624">
        <f>SUM(D52,E52)</f>
        <v>950200</v>
      </c>
      <c r="D52" s="625">
        <v>950200</v>
      </c>
      <c r="E52" s="625"/>
      <c r="F52" s="625"/>
      <c r="G52" s="139"/>
    </row>
    <row r="53" spans="1:7" ht="27" thickTop="1" thickBot="1" x14ac:dyDescent="0.3">
      <c r="A53" s="622">
        <v>18030200</v>
      </c>
      <c r="B53" s="629" t="s">
        <v>81</v>
      </c>
      <c r="C53" s="624">
        <f>SUM(D53,E53)</f>
        <v>549800</v>
      </c>
      <c r="D53" s="625">
        <v>549800</v>
      </c>
      <c r="E53" s="625"/>
      <c r="F53" s="625"/>
      <c r="G53" s="139"/>
    </row>
    <row r="54" spans="1:7" ht="16.5" thickTop="1" thickBot="1" x14ac:dyDescent="0.3">
      <c r="A54" s="626">
        <v>18050000</v>
      </c>
      <c r="B54" s="632" t="s">
        <v>82</v>
      </c>
      <c r="C54" s="628">
        <f>SUM(D54,E54)</f>
        <v>441500000</v>
      </c>
      <c r="D54" s="628">
        <f>SUM(D55:D57)</f>
        <v>441500000</v>
      </c>
      <c r="E54" s="635"/>
      <c r="F54" s="635"/>
      <c r="G54" s="139"/>
    </row>
    <row r="55" spans="1:7" ht="16.5" thickTop="1" thickBot="1" x14ac:dyDescent="0.3">
      <c r="A55" s="622">
        <v>18050300</v>
      </c>
      <c r="B55" s="623" t="s">
        <v>1066</v>
      </c>
      <c r="C55" s="624">
        <f t="shared" si="1"/>
        <v>87215000</v>
      </c>
      <c r="D55" s="625">
        <v>87215000</v>
      </c>
      <c r="E55" s="625"/>
      <c r="F55" s="625"/>
      <c r="G55" s="139"/>
    </row>
    <row r="56" spans="1:7" ht="15.75" thickTop="1" thickBot="1" x14ac:dyDescent="0.25">
      <c r="A56" s="622">
        <v>18050400</v>
      </c>
      <c r="B56" s="629" t="s">
        <v>83</v>
      </c>
      <c r="C56" s="624">
        <f t="shared" si="1"/>
        <v>350285000</v>
      </c>
      <c r="D56" s="625">
        <v>350285000</v>
      </c>
      <c r="E56" s="625"/>
      <c r="F56" s="625"/>
      <c r="G56" s="140"/>
    </row>
    <row r="57" spans="1:7" ht="65.25" thickTop="1" thickBot="1" x14ac:dyDescent="0.25">
      <c r="A57" s="622">
        <v>18050500</v>
      </c>
      <c r="B57" s="629" t="s">
        <v>547</v>
      </c>
      <c r="C57" s="624">
        <f t="shared" si="1"/>
        <v>4000000</v>
      </c>
      <c r="D57" s="625">
        <v>4000000</v>
      </c>
      <c r="E57" s="625"/>
      <c r="F57" s="625"/>
      <c r="G57" s="140"/>
    </row>
    <row r="58" spans="1:7" ht="31.7" customHeight="1" thickTop="1" thickBot="1" x14ac:dyDescent="0.25">
      <c r="A58" s="630">
        <v>19000000</v>
      </c>
      <c r="B58" s="636" t="s">
        <v>540</v>
      </c>
      <c r="C58" s="624">
        <f t="shared" si="1"/>
        <v>1350000</v>
      </c>
      <c r="D58" s="624"/>
      <c r="E58" s="624">
        <f>SUM(E60:E62)</f>
        <v>1350000</v>
      </c>
      <c r="F58" s="625"/>
      <c r="G58" s="140"/>
    </row>
    <row r="59" spans="1:7" ht="16.5" thickTop="1" thickBot="1" x14ac:dyDescent="0.3">
      <c r="A59" s="626">
        <v>1901000</v>
      </c>
      <c r="B59" s="627" t="s">
        <v>84</v>
      </c>
      <c r="C59" s="628">
        <f t="shared" ref="C59:C63" si="3">SUM(D59,E59)</f>
        <v>1350000</v>
      </c>
      <c r="D59" s="628">
        <f>SUM(D60:D62)</f>
        <v>0</v>
      </c>
      <c r="E59" s="628">
        <f>SUM(E60:E62)</f>
        <v>1350000</v>
      </c>
      <c r="F59" s="628"/>
      <c r="G59" s="139"/>
    </row>
    <row r="60" spans="1:7" ht="52.5" thickTop="1" thickBot="1" x14ac:dyDescent="0.3">
      <c r="A60" s="622">
        <v>19010100</v>
      </c>
      <c r="B60" s="623" t="s">
        <v>541</v>
      </c>
      <c r="C60" s="624">
        <f t="shared" si="3"/>
        <v>225100</v>
      </c>
      <c r="D60" s="625"/>
      <c r="E60" s="625">
        <v>225100</v>
      </c>
      <c r="F60" s="625"/>
      <c r="G60" s="139"/>
    </row>
    <row r="61" spans="1:7" ht="27" thickTop="1" thickBot="1" x14ac:dyDescent="0.25">
      <c r="A61" s="622">
        <v>19010200</v>
      </c>
      <c r="B61" s="623" t="s">
        <v>1368</v>
      </c>
      <c r="C61" s="624">
        <f t="shared" si="3"/>
        <v>195200</v>
      </c>
      <c r="D61" s="625"/>
      <c r="E61" s="625">
        <v>195200</v>
      </c>
      <c r="F61" s="625"/>
      <c r="G61" s="142"/>
    </row>
    <row r="62" spans="1:7" ht="52.5" thickTop="1" thickBot="1" x14ac:dyDescent="0.3">
      <c r="A62" s="622">
        <v>19010300</v>
      </c>
      <c r="B62" s="623" t="s">
        <v>1369</v>
      </c>
      <c r="C62" s="624">
        <f t="shared" si="3"/>
        <v>929700</v>
      </c>
      <c r="D62" s="625"/>
      <c r="E62" s="625">
        <v>929700</v>
      </c>
      <c r="F62" s="625"/>
      <c r="G62" s="139"/>
    </row>
    <row r="63" spans="1:7" ht="30" customHeight="1" thickTop="1" thickBot="1" x14ac:dyDescent="0.3">
      <c r="A63" s="669">
        <v>20000000</v>
      </c>
      <c r="B63" s="669" t="s">
        <v>85</v>
      </c>
      <c r="C63" s="670">
        <f t="shared" si="3"/>
        <v>272509778</v>
      </c>
      <c r="D63" s="670">
        <f>SUM(D64,D72,D82,D87)</f>
        <v>72535000</v>
      </c>
      <c r="E63" s="670">
        <f>SUM(E64,E72,E82,E87)</f>
        <v>199974778</v>
      </c>
      <c r="F63" s="670">
        <f>SUM(F64,F72,F82,F87)</f>
        <v>5000012</v>
      </c>
      <c r="G63" s="139"/>
    </row>
    <row r="64" spans="1:7" ht="27" thickTop="1" thickBot="1" x14ac:dyDescent="0.3">
      <c r="A64" s="630">
        <v>21000000</v>
      </c>
      <c r="B64" s="630" t="s">
        <v>542</v>
      </c>
      <c r="C64" s="624">
        <f>SUM(D64,E64)</f>
        <v>18700000</v>
      </c>
      <c r="D64" s="624">
        <f>SUM(D65,D68,D67)</f>
        <v>18700000</v>
      </c>
      <c r="E64" s="624"/>
      <c r="F64" s="624"/>
      <c r="G64" s="139"/>
    </row>
    <row r="65" spans="1:7" ht="55.5" thickTop="1" thickBot="1" x14ac:dyDescent="0.3">
      <c r="A65" s="626">
        <v>21010000</v>
      </c>
      <c r="B65" s="632" t="s">
        <v>543</v>
      </c>
      <c r="C65" s="628">
        <f t="shared" si="1"/>
        <v>700000</v>
      </c>
      <c r="D65" s="628">
        <f>D66</f>
        <v>700000</v>
      </c>
      <c r="E65" s="628"/>
      <c r="F65" s="628"/>
      <c r="G65" s="139"/>
    </row>
    <row r="66" spans="1:7" ht="52.5" thickTop="1" thickBot="1" x14ac:dyDescent="0.3">
      <c r="A66" s="622">
        <v>21010300</v>
      </c>
      <c r="B66" s="629" t="s">
        <v>86</v>
      </c>
      <c r="C66" s="624">
        <f t="shared" si="1"/>
        <v>700000</v>
      </c>
      <c r="D66" s="625">
        <v>700000</v>
      </c>
      <c r="E66" s="625"/>
      <c r="F66" s="625"/>
      <c r="G66" s="139"/>
    </row>
    <row r="67" spans="1:7" ht="28.5" thickTop="1" thickBot="1" x14ac:dyDescent="0.3">
      <c r="A67" s="626">
        <v>21050000</v>
      </c>
      <c r="B67" s="632" t="s">
        <v>87</v>
      </c>
      <c r="C67" s="628">
        <f t="shared" si="1"/>
        <v>3500000</v>
      </c>
      <c r="D67" s="628">
        <v>3500000</v>
      </c>
      <c r="E67" s="628"/>
      <c r="F67" s="628"/>
      <c r="G67" s="139"/>
    </row>
    <row r="68" spans="1:7" ht="15" thickTop="1" thickBot="1" x14ac:dyDescent="0.25">
      <c r="A68" s="626">
        <v>21080000</v>
      </c>
      <c r="B68" s="632" t="s">
        <v>1067</v>
      </c>
      <c r="C68" s="628">
        <f t="shared" ref="C68:C73" si="4">SUM(D68,E68)</f>
        <v>14500000</v>
      </c>
      <c r="D68" s="628">
        <f>SUM(D69:D71)</f>
        <v>14500000</v>
      </c>
      <c r="E68" s="628"/>
      <c r="F68" s="628"/>
      <c r="G68" s="142"/>
    </row>
    <row r="69" spans="1:7" ht="16.5" thickTop="1" thickBot="1" x14ac:dyDescent="0.3">
      <c r="A69" s="622">
        <v>21081100</v>
      </c>
      <c r="B69" s="637" t="s">
        <v>88</v>
      </c>
      <c r="C69" s="624">
        <f t="shared" si="4"/>
        <v>5000000</v>
      </c>
      <c r="D69" s="625">
        <v>5000000</v>
      </c>
      <c r="E69" s="625"/>
      <c r="F69" s="625"/>
      <c r="G69" s="139"/>
    </row>
    <row r="70" spans="1:7" ht="90.75" thickTop="1" thickBot="1" x14ac:dyDescent="0.3">
      <c r="A70" s="622">
        <v>21081500</v>
      </c>
      <c r="B70" s="623" t="s">
        <v>1387</v>
      </c>
      <c r="C70" s="624">
        <f t="shared" si="4"/>
        <v>500000</v>
      </c>
      <c r="D70" s="625">
        <v>500000</v>
      </c>
      <c r="E70" s="625"/>
      <c r="F70" s="625"/>
      <c r="G70" s="139"/>
    </row>
    <row r="71" spans="1:7" ht="16.5" thickTop="1" thickBot="1" x14ac:dyDescent="0.3">
      <c r="A71" s="622">
        <v>21081700</v>
      </c>
      <c r="B71" s="623" t="s">
        <v>380</v>
      </c>
      <c r="C71" s="624">
        <f t="shared" si="4"/>
        <v>9000000</v>
      </c>
      <c r="D71" s="625">
        <v>9000000</v>
      </c>
      <c r="E71" s="625"/>
      <c r="F71" s="625"/>
      <c r="G71" s="143"/>
    </row>
    <row r="72" spans="1:7" ht="27" thickTop="1" thickBot="1" x14ac:dyDescent="0.3">
      <c r="A72" s="630">
        <v>22000000</v>
      </c>
      <c r="B72" s="630" t="s">
        <v>89</v>
      </c>
      <c r="C72" s="624">
        <f t="shared" si="4"/>
        <v>34835000</v>
      </c>
      <c r="D72" s="624">
        <f>SUM(D73,D77,D79)</f>
        <v>34835000</v>
      </c>
      <c r="E72" s="625"/>
      <c r="F72" s="625"/>
      <c r="G72" s="139"/>
    </row>
    <row r="73" spans="1:7" ht="24.75" customHeight="1" thickTop="1" thickBot="1" x14ac:dyDescent="0.3">
      <c r="A73" s="626">
        <v>22010000</v>
      </c>
      <c r="B73" s="627" t="s">
        <v>544</v>
      </c>
      <c r="C73" s="628">
        <f t="shared" si="4"/>
        <v>24535000</v>
      </c>
      <c r="D73" s="628">
        <f>SUM(D74:D76)</f>
        <v>24535000</v>
      </c>
      <c r="E73" s="628"/>
      <c r="F73" s="628"/>
      <c r="G73" s="139"/>
    </row>
    <row r="74" spans="1:7" ht="39.75" thickTop="1" thickBot="1" x14ac:dyDescent="0.3">
      <c r="A74" s="622">
        <v>22010300</v>
      </c>
      <c r="B74" s="623" t="s">
        <v>148</v>
      </c>
      <c r="C74" s="624">
        <f t="shared" si="1"/>
        <v>900200</v>
      </c>
      <c r="D74" s="625">
        <v>900200</v>
      </c>
      <c r="E74" s="625"/>
      <c r="F74" s="625"/>
      <c r="G74" s="139"/>
    </row>
    <row r="75" spans="1:7" ht="16.5" thickTop="1" thickBot="1" x14ac:dyDescent="0.3">
      <c r="A75" s="622">
        <v>22012500</v>
      </c>
      <c r="B75" s="623" t="s">
        <v>91</v>
      </c>
      <c r="C75" s="624">
        <f t="shared" si="1"/>
        <v>22629150</v>
      </c>
      <c r="D75" s="625">
        <v>22629150</v>
      </c>
      <c r="E75" s="625"/>
      <c r="F75" s="625"/>
      <c r="G75" s="139"/>
    </row>
    <row r="76" spans="1:7" ht="27" thickTop="1" thickBot="1" x14ac:dyDescent="0.3">
      <c r="A76" s="622">
        <v>22012600</v>
      </c>
      <c r="B76" s="623" t="s">
        <v>90</v>
      </c>
      <c r="C76" s="624">
        <f>SUM(D76,E76)</f>
        <v>1005650</v>
      </c>
      <c r="D76" s="625">
        <v>1005650</v>
      </c>
      <c r="E76" s="625"/>
      <c r="F76" s="625"/>
      <c r="G76" s="139"/>
    </row>
    <row r="77" spans="1:7" ht="42" thickTop="1" thickBot="1" x14ac:dyDescent="0.3">
      <c r="A77" s="626">
        <v>2208000</v>
      </c>
      <c r="B77" s="627" t="s">
        <v>545</v>
      </c>
      <c r="C77" s="628">
        <f t="shared" si="1"/>
        <v>10000000</v>
      </c>
      <c r="D77" s="628">
        <f>D78</f>
        <v>10000000</v>
      </c>
      <c r="E77" s="628"/>
      <c r="F77" s="628"/>
      <c r="G77" s="139"/>
    </row>
    <row r="78" spans="1:7" ht="52.5" thickTop="1" thickBot="1" x14ac:dyDescent="0.3">
      <c r="A78" s="622">
        <v>22080400</v>
      </c>
      <c r="B78" s="637" t="s">
        <v>92</v>
      </c>
      <c r="C78" s="624">
        <f t="shared" si="1"/>
        <v>10000000</v>
      </c>
      <c r="D78" s="625">
        <v>10000000</v>
      </c>
      <c r="E78" s="625"/>
      <c r="F78" s="625"/>
      <c r="G78" s="139"/>
    </row>
    <row r="79" spans="1:7" ht="16.5" thickTop="1" thickBot="1" x14ac:dyDescent="0.3">
      <c r="A79" s="626">
        <v>22090000</v>
      </c>
      <c r="B79" s="638" t="s">
        <v>93</v>
      </c>
      <c r="C79" s="628">
        <f t="shared" si="1"/>
        <v>300000</v>
      </c>
      <c r="D79" s="628">
        <f>SUM(D80:D81)</f>
        <v>300000</v>
      </c>
      <c r="E79" s="628"/>
      <c r="F79" s="628"/>
      <c r="G79" s="139"/>
    </row>
    <row r="80" spans="1:7" ht="52.5" thickTop="1" thickBot="1" x14ac:dyDescent="0.3">
      <c r="A80" s="622">
        <v>22090100</v>
      </c>
      <c r="B80" s="629" t="s">
        <v>94</v>
      </c>
      <c r="C80" s="624">
        <f t="shared" si="1"/>
        <v>169800</v>
      </c>
      <c r="D80" s="625">
        <v>169800</v>
      </c>
      <c r="E80" s="625"/>
      <c r="F80" s="625"/>
      <c r="G80" s="139"/>
    </row>
    <row r="81" spans="1:7" ht="39.75" thickTop="1" thickBot="1" x14ac:dyDescent="0.25">
      <c r="A81" s="622">
        <v>22090400</v>
      </c>
      <c r="B81" s="629" t="s">
        <v>95</v>
      </c>
      <c r="C81" s="624">
        <f t="shared" si="1"/>
        <v>130200</v>
      </c>
      <c r="D81" s="625">
        <v>130200</v>
      </c>
      <c r="E81" s="625"/>
      <c r="F81" s="625"/>
      <c r="G81" s="141"/>
    </row>
    <row r="82" spans="1:7" ht="20.25" customHeight="1" thickTop="1" thickBot="1" x14ac:dyDescent="0.3">
      <c r="A82" s="630">
        <v>24000000</v>
      </c>
      <c r="B82" s="639" t="s">
        <v>96</v>
      </c>
      <c r="C82" s="624">
        <f t="shared" si="1"/>
        <v>24000012</v>
      </c>
      <c r="D82" s="624">
        <f>D83+D84+D86+D85</f>
        <v>19000000</v>
      </c>
      <c r="E82" s="624">
        <f>E83+E84+E86+E85</f>
        <v>5000012</v>
      </c>
      <c r="F82" s="624">
        <f>F83+F84+F86+F85</f>
        <v>5000012</v>
      </c>
      <c r="G82" s="139"/>
    </row>
    <row r="83" spans="1:7" ht="16.5" thickTop="1" thickBot="1" x14ac:dyDescent="0.3">
      <c r="A83" s="622">
        <v>24060300</v>
      </c>
      <c r="B83" s="623" t="s">
        <v>97</v>
      </c>
      <c r="C83" s="624">
        <f t="shared" si="1"/>
        <v>18000000</v>
      </c>
      <c r="D83" s="625">
        <v>18000000</v>
      </c>
      <c r="E83" s="625"/>
      <c r="F83" s="625"/>
      <c r="G83" s="139"/>
    </row>
    <row r="84" spans="1:7" ht="65.25" thickTop="1" thickBot="1" x14ac:dyDescent="0.3">
      <c r="A84" s="622">
        <v>24062200</v>
      </c>
      <c r="B84" s="623" t="s">
        <v>381</v>
      </c>
      <c r="C84" s="624">
        <f t="shared" si="1"/>
        <v>1000000</v>
      </c>
      <c r="D84" s="625">
        <v>1000000</v>
      </c>
      <c r="E84" s="625"/>
      <c r="F84" s="625"/>
      <c r="G84" s="139"/>
    </row>
    <row r="85" spans="1:7" ht="39.75" thickTop="1" thickBot="1" x14ac:dyDescent="0.3">
      <c r="A85" s="622">
        <v>24110700</v>
      </c>
      <c r="B85" s="640" t="s">
        <v>600</v>
      </c>
      <c r="C85" s="624">
        <f t="shared" si="1"/>
        <v>12</v>
      </c>
      <c r="D85" s="625"/>
      <c r="E85" s="625">
        <v>12</v>
      </c>
      <c r="F85" s="625">
        <v>12</v>
      </c>
      <c r="G85" s="139"/>
    </row>
    <row r="86" spans="1:7" ht="27" thickTop="1" thickBot="1" x14ac:dyDescent="0.25">
      <c r="A86" s="622">
        <v>24170000</v>
      </c>
      <c r="B86" s="629" t="s">
        <v>98</v>
      </c>
      <c r="C86" s="624">
        <f t="shared" ref="C86:C92" si="5">SUM(D86,E86)</f>
        <v>5000000</v>
      </c>
      <c r="D86" s="625"/>
      <c r="E86" s="625">
        <v>5000000</v>
      </c>
      <c r="F86" s="625">
        <v>5000000</v>
      </c>
      <c r="G86" s="140"/>
    </row>
    <row r="87" spans="1:7" ht="16.5" thickTop="1" thickBot="1" x14ac:dyDescent="0.3">
      <c r="A87" s="630">
        <v>25000000</v>
      </c>
      <c r="B87" s="641" t="s">
        <v>99</v>
      </c>
      <c r="C87" s="624">
        <f t="shared" si="5"/>
        <v>194974766</v>
      </c>
      <c r="D87" s="624">
        <f>SUM(D88:D92,)</f>
        <v>0</v>
      </c>
      <c r="E87" s="624">
        <f>SUM(E88)</f>
        <v>194974766</v>
      </c>
      <c r="F87" s="624"/>
      <c r="G87" s="139"/>
    </row>
    <row r="88" spans="1:7" ht="42" thickTop="1" thickBot="1" x14ac:dyDescent="0.3">
      <c r="A88" s="626">
        <v>25010000</v>
      </c>
      <c r="B88" s="632" t="s">
        <v>100</v>
      </c>
      <c r="C88" s="628">
        <f t="shared" si="5"/>
        <v>194974766</v>
      </c>
      <c r="D88" s="628">
        <v>0</v>
      </c>
      <c r="E88" s="628">
        <f>SUM(E89:E92)</f>
        <v>194974766</v>
      </c>
      <c r="F88" s="628"/>
      <c r="G88" s="139"/>
    </row>
    <row r="89" spans="1:7" ht="27" thickTop="1" thickBot="1" x14ac:dyDescent="0.3">
      <c r="A89" s="622">
        <v>25010100</v>
      </c>
      <c r="B89" s="629" t="s">
        <v>101</v>
      </c>
      <c r="C89" s="624">
        <f t="shared" si="5"/>
        <v>178761226</v>
      </c>
      <c r="D89" s="625"/>
      <c r="E89" s="625">
        <f>172410907+6350319</f>
        <v>178761226</v>
      </c>
      <c r="F89" s="625"/>
      <c r="G89" s="139"/>
    </row>
    <row r="90" spans="1:7" ht="27" thickTop="1" thickBot="1" x14ac:dyDescent="0.3">
      <c r="A90" s="622">
        <v>25010200</v>
      </c>
      <c r="B90" s="629" t="s">
        <v>102</v>
      </c>
      <c r="C90" s="624">
        <f t="shared" si="5"/>
        <v>13040510</v>
      </c>
      <c r="D90" s="625"/>
      <c r="E90" s="625">
        <v>13040510</v>
      </c>
      <c r="F90" s="625"/>
      <c r="G90" s="139"/>
    </row>
    <row r="91" spans="1:7" ht="16.5" thickTop="1" thickBot="1" x14ac:dyDescent="0.3">
      <c r="A91" s="622">
        <v>25010300</v>
      </c>
      <c r="B91" s="629" t="s">
        <v>103</v>
      </c>
      <c r="C91" s="624">
        <f t="shared" si="5"/>
        <v>3121470</v>
      </c>
      <c r="D91" s="625"/>
      <c r="E91" s="625">
        <v>3121470</v>
      </c>
      <c r="F91" s="625"/>
      <c r="G91" s="139"/>
    </row>
    <row r="92" spans="1:7" ht="39.75" thickTop="1" thickBot="1" x14ac:dyDescent="0.3">
      <c r="A92" s="622">
        <v>25010400</v>
      </c>
      <c r="B92" s="629" t="s">
        <v>104</v>
      </c>
      <c r="C92" s="624">
        <f t="shared" si="5"/>
        <v>51560</v>
      </c>
      <c r="D92" s="625"/>
      <c r="E92" s="625">
        <v>51560</v>
      </c>
      <c r="F92" s="625"/>
      <c r="G92" s="139"/>
    </row>
    <row r="93" spans="1:7" ht="24.75" customHeight="1" thickTop="1" thickBot="1" x14ac:dyDescent="0.25">
      <c r="A93" s="630">
        <v>30000000</v>
      </c>
      <c r="B93" s="630" t="s">
        <v>105</v>
      </c>
      <c r="C93" s="624">
        <f>SUM(D93,E93)</f>
        <v>9537780</v>
      </c>
      <c r="D93" s="624">
        <f>SUM(D94)+D98</f>
        <v>25000</v>
      </c>
      <c r="E93" s="624">
        <f>SUM(E94)+E98</f>
        <v>9512780</v>
      </c>
      <c r="F93" s="624">
        <f>SUM(F94)+F98</f>
        <v>9512780</v>
      </c>
      <c r="G93" s="141"/>
    </row>
    <row r="94" spans="1:7" ht="27" customHeight="1" thickTop="1" thickBot="1" x14ac:dyDescent="0.3">
      <c r="A94" s="630">
        <v>31000000</v>
      </c>
      <c r="B94" s="630" t="s">
        <v>106</v>
      </c>
      <c r="C94" s="624">
        <f>SUM(D94,E94)</f>
        <v>3525000</v>
      </c>
      <c r="D94" s="624">
        <f>D95+D97</f>
        <v>25000</v>
      </c>
      <c r="E94" s="624">
        <f>E95+E97</f>
        <v>3500000</v>
      </c>
      <c r="F94" s="624">
        <f>F95+F97</f>
        <v>3500000</v>
      </c>
      <c r="G94" s="139"/>
    </row>
    <row r="95" spans="1:7" ht="82.5" thickTop="1" thickBot="1" x14ac:dyDescent="0.3">
      <c r="A95" s="626">
        <v>3101000</v>
      </c>
      <c r="B95" s="627" t="s">
        <v>546</v>
      </c>
      <c r="C95" s="628">
        <f>SUM(D95,E95)</f>
        <v>25000</v>
      </c>
      <c r="D95" s="628">
        <f>D96</f>
        <v>25000</v>
      </c>
      <c r="E95" s="628"/>
      <c r="F95" s="628"/>
      <c r="G95" s="139"/>
    </row>
    <row r="96" spans="1:7" ht="78" thickTop="1" thickBot="1" x14ac:dyDescent="0.3">
      <c r="A96" s="622">
        <v>31010200</v>
      </c>
      <c r="B96" s="629" t="s">
        <v>107</v>
      </c>
      <c r="C96" s="624">
        <f>SUM(D96,E96)</f>
        <v>25000</v>
      </c>
      <c r="D96" s="625">
        <v>25000</v>
      </c>
      <c r="E96" s="625"/>
      <c r="F96" s="625"/>
      <c r="G96" s="139"/>
    </row>
    <row r="97" spans="1:7" ht="55.5" thickTop="1" thickBot="1" x14ac:dyDescent="0.3">
      <c r="A97" s="626">
        <v>31030000</v>
      </c>
      <c r="B97" s="632" t="s">
        <v>108</v>
      </c>
      <c r="C97" s="628">
        <f t="shared" si="1"/>
        <v>3500000</v>
      </c>
      <c r="D97" s="628"/>
      <c r="E97" s="628">
        <v>3500000</v>
      </c>
      <c r="F97" s="628">
        <v>3500000</v>
      </c>
      <c r="G97" s="139"/>
    </row>
    <row r="98" spans="1:7" ht="27" thickTop="1" thickBot="1" x14ac:dyDescent="0.3">
      <c r="A98" s="669">
        <v>33000000</v>
      </c>
      <c r="B98" s="669" t="s">
        <v>109</v>
      </c>
      <c r="C98" s="670">
        <f t="shared" si="1"/>
        <v>6012780</v>
      </c>
      <c r="D98" s="670"/>
      <c r="E98" s="670">
        <f>SUM(E99)</f>
        <v>6012780</v>
      </c>
      <c r="F98" s="670">
        <f>SUM(F99)</f>
        <v>6012780</v>
      </c>
      <c r="G98" s="139"/>
    </row>
    <row r="99" spans="1:7" ht="16.5" thickTop="1" thickBot="1" x14ac:dyDescent="0.3">
      <c r="A99" s="626">
        <v>33010000</v>
      </c>
      <c r="B99" s="627" t="s">
        <v>110</v>
      </c>
      <c r="C99" s="628">
        <f>SUM(D99,E99)</f>
        <v>6012780</v>
      </c>
      <c r="D99" s="628"/>
      <c r="E99" s="628">
        <f>SUM(E100,E101)</f>
        <v>6012780</v>
      </c>
      <c r="F99" s="628">
        <f>SUM(F100,F101)</f>
        <v>6012780</v>
      </c>
      <c r="G99" s="139"/>
    </row>
    <row r="100" spans="1:7" ht="52.5" thickTop="1" thickBot="1" x14ac:dyDescent="0.3">
      <c r="A100" s="622">
        <v>33010100</v>
      </c>
      <c r="B100" s="629" t="s">
        <v>349</v>
      </c>
      <c r="C100" s="624">
        <f t="shared" si="1"/>
        <v>5079350</v>
      </c>
      <c r="D100" s="625"/>
      <c r="E100" s="625">
        <v>5079350</v>
      </c>
      <c r="F100" s="625">
        <v>5079350</v>
      </c>
      <c r="G100" s="139"/>
    </row>
    <row r="101" spans="1:7" ht="52.5" thickTop="1" thickBot="1" x14ac:dyDescent="0.3">
      <c r="A101" s="622">
        <v>33010200</v>
      </c>
      <c r="B101" s="629" t="s">
        <v>111</v>
      </c>
      <c r="C101" s="624">
        <f>SUM(D101,E101)</f>
        <v>933430</v>
      </c>
      <c r="D101" s="625"/>
      <c r="E101" s="625">
        <v>933430</v>
      </c>
      <c r="F101" s="625">
        <v>933430</v>
      </c>
      <c r="G101" s="139"/>
    </row>
    <row r="102" spans="1:7" ht="27" customHeight="1" thickTop="1" thickBot="1" x14ac:dyDescent="0.3">
      <c r="A102" s="669">
        <v>50000000</v>
      </c>
      <c r="B102" s="669" t="s">
        <v>494</v>
      </c>
      <c r="C102" s="670">
        <f>SUM(D102,E102)</f>
        <v>2950700</v>
      </c>
      <c r="D102" s="670"/>
      <c r="E102" s="670">
        <f>SUM(E103)</f>
        <v>2950700</v>
      </c>
      <c r="F102" s="670"/>
      <c r="G102" s="139"/>
    </row>
    <row r="103" spans="1:7" ht="65.25" thickTop="1" thickBot="1" x14ac:dyDescent="0.3">
      <c r="A103" s="630">
        <v>50110000</v>
      </c>
      <c r="B103" s="636" t="s">
        <v>112</v>
      </c>
      <c r="C103" s="624">
        <f t="shared" ref="C103:C139" si="6">SUM(D103,E103)</f>
        <v>2950700</v>
      </c>
      <c r="D103" s="625"/>
      <c r="E103" s="624">
        <v>2950700</v>
      </c>
      <c r="F103" s="625"/>
      <c r="G103" s="139"/>
    </row>
    <row r="104" spans="1:7" ht="45.75" customHeight="1" thickTop="1" thickBot="1" x14ac:dyDescent="0.25">
      <c r="A104" s="666"/>
      <c r="B104" s="667" t="s">
        <v>495</v>
      </c>
      <c r="C104" s="668">
        <f t="shared" ref="C104:C112" si="7">SUM(D104,E104)</f>
        <v>3445707358</v>
      </c>
      <c r="D104" s="668">
        <f>D102+D93+D63+D15</f>
        <v>3231919100</v>
      </c>
      <c r="E104" s="668">
        <f>E102+E93+E63+E15</f>
        <v>213788258</v>
      </c>
      <c r="F104" s="668">
        <f>F102+F93+F63+F15</f>
        <v>14512792</v>
      </c>
      <c r="G104" s="140"/>
    </row>
    <row r="105" spans="1:7" ht="34.5" customHeight="1" thickTop="1" thickBot="1" x14ac:dyDescent="0.25">
      <c r="A105" s="669">
        <v>40000000</v>
      </c>
      <c r="B105" s="669" t="s">
        <v>433</v>
      </c>
      <c r="C105" s="670">
        <f>SUM(D105,E105)</f>
        <v>659968768</v>
      </c>
      <c r="D105" s="670">
        <f>SUM(D111,D108,D106)</f>
        <v>659968768</v>
      </c>
      <c r="E105" s="670">
        <f>SUM(E111,E108,E106)</f>
        <v>0</v>
      </c>
      <c r="F105" s="670">
        <f>SUM(F111,F108,F106)</f>
        <v>0</v>
      </c>
      <c r="G105" s="140"/>
    </row>
    <row r="106" spans="1:7" ht="34.5" customHeight="1" thickTop="1" thickBot="1" x14ac:dyDescent="0.25">
      <c r="A106" s="450">
        <v>41020000</v>
      </c>
      <c r="B106" s="700" t="s">
        <v>1473</v>
      </c>
      <c r="C106" s="624">
        <f t="shared" ref="C106:C107" si="8">SUM(D106,E106)</f>
        <v>16579700</v>
      </c>
      <c r="D106" s="624">
        <f>SUM(D107)</f>
        <v>16579700</v>
      </c>
      <c r="E106" s="624"/>
      <c r="F106" s="624"/>
      <c r="G106" s="140"/>
    </row>
    <row r="107" spans="1:7" ht="116.25" thickTop="1" thickBot="1" x14ac:dyDescent="0.25">
      <c r="A107" s="701">
        <v>41021400</v>
      </c>
      <c r="B107" s="702" t="s">
        <v>1480</v>
      </c>
      <c r="C107" s="624">
        <f t="shared" si="8"/>
        <v>16579700</v>
      </c>
      <c r="D107" s="625">
        <v>16579700</v>
      </c>
      <c r="E107" s="624"/>
      <c r="F107" s="624"/>
      <c r="G107" s="140"/>
    </row>
    <row r="108" spans="1:7" ht="27" thickTop="1" thickBot="1" x14ac:dyDescent="0.25">
      <c r="A108" s="450">
        <v>41040000</v>
      </c>
      <c r="B108" s="700" t="s">
        <v>350</v>
      </c>
      <c r="C108" s="624">
        <f t="shared" si="7"/>
        <v>7423154</v>
      </c>
      <c r="D108" s="624">
        <f>SUM(D109:D110)</f>
        <v>7423154</v>
      </c>
      <c r="E108" s="624"/>
      <c r="F108" s="624"/>
      <c r="G108" s="140"/>
    </row>
    <row r="109" spans="1:7" ht="78" thickTop="1" thickBot="1" x14ac:dyDescent="0.25">
      <c r="A109" s="701">
        <v>41040200</v>
      </c>
      <c r="B109" s="702" t="s">
        <v>1209</v>
      </c>
      <c r="C109" s="624">
        <f t="shared" si="7"/>
        <v>7423154</v>
      </c>
      <c r="D109" s="625">
        <v>7423154</v>
      </c>
      <c r="E109" s="624"/>
      <c r="F109" s="624"/>
      <c r="G109" s="140"/>
    </row>
    <row r="110" spans="1:7" ht="15.75" hidden="1" thickTop="1" thickBot="1" x14ac:dyDescent="0.25">
      <c r="A110" s="701">
        <v>41040400</v>
      </c>
      <c r="B110" s="702" t="s">
        <v>1269</v>
      </c>
      <c r="C110" s="624">
        <f t="shared" si="7"/>
        <v>0</v>
      </c>
      <c r="D110" s="625"/>
      <c r="E110" s="624"/>
      <c r="F110" s="624"/>
      <c r="G110" s="140"/>
    </row>
    <row r="111" spans="1:7" ht="15.75" thickTop="1" thickBot="1" x14ac:dyDescent="0.25">
      <c r="A111" s="450">
        <v>41000000</v>
      </c>
      <c r="B111" s="450" t="s">
        <v>113</v>
      </c>
      <c r="C111" s="624">
        <f t="shared" si="7"/>
        <v>635965914</v>
      </c>
      <c r="D111" s="624">
        <f>SUM(D112,D120)</f>
        <v>635965914</v>
      </c>
      <c r="E111" s="624">
        <f>SUM(E112,E120)</f>
        <v>0</v>
      </c>
      <c r="F111" s="624">
        <f>SUM(F112,F120)</f>
        <v>0</v>
      </c>
      <c r="G111" s="140"/>
    </row>
    <row r="112" spans="1:7" ht="27" thickTop="1" thickBot="1" x14ac:dyDescent="0.3">
      <c r="A112" s="450">
        <v>41030000</v>
      </c>
      <c r="B112" s="703" t="s">
        <v>444</v>
      </c>
      <c r="C112" s="624">
        <f t="shared" si="7"/>
        <v>622434500</v>
      </c>
      <c r="D112" s="624">
        <f>SUM(D113:D119)</f>
        <v>622434500</v>
      </c>
      <c r="E112" s="624">
        <f>SUM(E113:E119)</f>
        <v>0</v>
      </c>
      <c r="F112" s="624">
        <f>SUM(F113:F119)</f>
        <v>0</v>
      </c>
      <c r="G112" s="139"/>
    </row>
    <row r="113" spans="1:7" ht="52.5" thickTop="1" thickBot="1" x14ac:dyDescent="0.3">
      <c r="A113" s="701">
        <v>41032300</v>
      </c>
      <c r="B113" s="704" t="s">
        <v>1002</v>
      </c>
      <c r="C113" s="624">
        <f t="shared" si="6"/>
        <v>0</v>
      </c>
      <c r="D113" s="625">
        <v>0</v>
      </c>
      <c r="E113" s="624"/>
      <c r="F113" s="625"/>
      <c r="G113" s="139"/>
    </row>
    <row r="114" spans="1:7" ht="65.25" thickTop="1" thickBot="1" x14ac:dyDescent="0.3">
      <c r="A114" s="701">
        <v>41033800</v>
      </c>
      <c r="B114" s="704" t="s">
        <v>1069</v>
      </c>
      <c r="C114" s="624">
        <f t="shared" si="6"/>
        <v>0</v>
      </c>
      <c r="D114" s="625">
        <v>0</v>
      </c>
      <c r="E114" s="624"/>
      <c r="F114" s="625"/>
      <c r="G114" s="139"/>
    </row>
    <row r="115" spans="1:7" ht="27" thickTop="1" thickBot="1" x14ac:dyDescent="0.3">
      <c r="A115" s="701">
        <v>41033900</v>
      </c>
      <c r="B115" s="704" t="s">
        <v>114</v>
      </c>
      <c r="C115" s="624">
        <f t="shared" si="6"/>
        <v>622434500</v>
      </c>
      <c r="D115" s="625">
        <f>(622418100)+16400</f>
        <v>622434500</v>
      </c>
      <c r="E115" s="625"/>
      <c r="F115" s="625"/>
      <c r="G115" s="139"/>
    </row>
    <row r="116" spans="1:7" ht="52.5" thickTop="1" thickBot="1" x14ac:dyDescent="0.3">
      <c r="A116" s="701">
        <v>41034500</v>
      </c>
      <c r="B116" s="704" t="s">
        <v>1070</v>
      </c>
      <c r="C116" s="624">
        <f t="shared" si="6"/>
        <v>0</v>
      </c>
      <c r="D116" s="625">
        <v>0</v>
      </c>
      <c r="E116" s="625">
        <v>0</v>
      </c>
      <c r="F116" s="625">
        <v>0</v>
      </c>
      <c r="G116" s="139"/>
    </row>
    <row r="117" spans="1:7" ht="65.25" thickTop="1" thickBot="1" x14ac:dyDescent="0.3">
      <c r="A117" s="701">
        <v>41035500</v>
      </c>
      <c r="B117" s="704" t="s">
        <v>1004</v>
      </c>
      <c r="C117" s="624">
        <f t="shared" si="6"/>
        <v>0</v>
      </c>
      <c r="D117" s="625">
        <v>0</v>
      </c>
      <c r="E117" s="625"/>
      <c r="F117" s="625"/>
      <c r="G117" s="139"/>
    </row>
    <row r="118" spans="1:7" ht="78" thickTop="1" thickBot="1" x14ac:dyDescent="0.3">
      <c r="A118" s="701">
        <v>41035600</v>
      </c>
      <c r="B118" s="704" t="s">
        <v>1029</v>
      </c>
      <c r="C118" s="624">
        <f t="shared" si="6"/>
        <v>0</v>
      </c>
      <c r="D118" s="625">
        <v>0</v>
      </c>
      <c r="E118" s="625"/>
      <c r="F118" s="625"/>
      <c r="G118" s="139"/>
    </row>
    <row r="119" spans="1:7" ht="39.75" thickTop="1" thickBot="1" x14ac:dyDescent="0.3">
      <c r="A119" s="701">
        <v>41035700</v>
      </c>
      <c r="B119" s="704" t="s">
        <v>994</v>
      </c>
      <c r="C119" s="624">
        <f t="shared" si="6"/>
        <v>0</v>
      </c>
      <c r="D119" s="625">
        <v>0</v>
      </c>
      <c r="E119" s="625"/>
      <c r="F119" s="625"/>
      <c r="G119" s="139"/>
    </row>
    <row r="120" spans="1:7" ht="27" thickTop="1" thickBot="1" x14ac:dyDescent="0.3">
      <c r="A120" s="450">
        <v>41050000</v>
      </c>
      <c r="B120" s="703" t="s">
        <v>480</v>
      </c>
      <c r="C120" s="624">
        <f t="shared" ref="C120:C127" si="9">SUM(D120,E120)</f>
        <v>13531414</v>
      </c>
      <c r="D120" s="624">
        <f>SUM(D121:D133)</f>
        <v>13531414</v>
      </c>
      <c r="E120" s="624">
        <f>SUM(E121:E133)</f>
        <v>0</v>
      </c>
      <c r="F120" s="624">
        <f>SUM(F121:F133)</f>
        <v>0</v>
      </c>
      <c r="G120" s="139"/>
    </row>
    <row r="121" spans="1:7" ht="320.25" hidden="1" thickTop="1" thickBot="1" x14ac:dyDescent="0.3">
      <c r="A121" s="705">
        <v>41050400</v>
      </c>
      <c r="B121" s="706" t="s">
        <v>1071</v>
      </c>
      <c r="C121" s="642">
        <f t="shared" si="9"/>
        <v>0</v>
      </c>
      <c r="D121" s="643">
        <v>0</v>
      </c>
      <c r="E121" s="643"/>
      <c r="F121" s="643"/>
      <c r="G121" s="139"/>
    </row>
    <row r="122" spans="1:7" ht="269.25" hidden="1" thickTop="1" thickBot="1" x14ac:dyDescent="0.3">
      <c r="A122" s="705">
        <v>41050500</v>
      </c>
      <c r="B122" s="706" t="s">
        <v>1072</v>
      </c>
      <c r="C122" s="642">
        <f t="shared" si="9"/>
        <v>0</v>
      </c>
      <c r="D122" s="643">
        <v>0</v>
      </c>
      <c r="E122" s="643"/>
      <c r="F122" s="643"/>
      <c r="G122" s="139"/>
    </row>
    <row r="123" spans="1:7" ht="396.75" hidden="1" thickTop="1" thickBot="1" x14ac:dyDescent="0.3">
      <c r="A123" s="705">
        <v>41050600</v>
      </c>
      <c r="B123" s="706" t="s">
        <v>1073</v>
      </c>
      <c r="C123" s="642">
        <f t="shared" si="9"/>
        <v>0</v>
      </c>
      <c r="D123" s="643">
        <v>0</v>
      </c>
      <c r="E123" s="643"/>
      <c r="F123" s="643"/>
      <c r="G123" s="139"/>
    </row>
    <row r="124" spans="1:7" ht="129" hidden="1" thickTop="1" thickBot="1" x14ac:dyDescent="0.3">
      <c r="A124" s="705">
        <v>41050900</v>
      </c>
      <c r="B124" s="706" t="s">
        <v>1074</v>
      </c>
      <c r="C124" s="642">
        <f t="shared" si="9"/>
        <v>0</v>
      </c>
      <c r="D124" s="643">
        <v>0</v>
      </c>
      <c r="E124" s="643"/>
      <c r="F124" s="643"/>
      <c r="G124" s="139"/>
    </row>
    <row r="125" spans="1:7" ht="52.5" thickTop="1" thickBot="1" x14ac:dyDescent="0.3">
      <c r="A125" s="701">
        <v>41051000</v>
      </c>
      <c r="B125" s="704" t="s">
        <v>481</v>
      </c>
      <c r="C125" s="624">
        <f t="shared" si="9"/>
        <v>8260086</v>
      </c>
      <c r="D125" s="625">
        <f>4544686+3715400</f>
        <v>8260086</v>
      </c>
      <c r="E125" s="625"/>
      <c r="F125" s="625"/>
      <c r="G125" s="139"/>
    </row>
    <row r="126" spans="1:7" ht="65.25" thickTop="1" thickBot="1" x14ac:dyDescent="0.3">
      <c r="A126" s="701">
        <v>41051200</v>
      </c>
      <c r="B126" s="704" t="s">
        <v>1389</v>
      </c>
      <c r="C126" s="624">
        <f>SUM(D126,E126)</f>
        <v>4309689</v>
      </c>
      <c r="D126" s="625">
        <v>4309689</v>
      </c>
      <c r="E126" s="625"/>
      <c r="F126" s="625"/>
      <c r="G126" s="139"/>
    </row>
    <row r="127" spans="1:7" ht="78" hidden="1" thickTop="1" thickBot="1" x14ac:dyDescent="0.3">
      <c r="A127" s="705">
        <v>41051400</v>
      </c>
      <c r="B127" s="706" t="s">
        <v>1007</v>
      </c>
      <c r="C127" s="642">
        <f t="shared" si="9"/>
        <v>0</v>
      </c>
      <c r="D127" s="643">
        <v>0</v>
      </c>
      <c r="E127" s="643"/>
      <c r="F127" s="643"/>
      <c r="G127" s="139"/>
    </row>
    <row r="128" spans="1:7" ht="78" hidden="1" thickTop="1" thickBot="1" x14ac:dyDescent="0.3">
      <c r="A128" s="705">
        <v>41051700</v>
      </c>
      <c r="B128" s="706" t="s">
        <v>966</v>
      </c>
      <c r="C128" s="642">
        <f t="shared" si="6"/>
        <v>0</v>
      </c>
      <c r="D128" s="643">
        <v>0</v>
      </c>
      <c r="E128" s="643"/>
      <c r="F128" s="643"/>
      <c r="G128" s="139"/>
    </row>
    <row r="129" spans="1:10" ht="116.25" hidden="1" thickTop="1" thickBot="1" x14ac:dyDescent="0.3">
      <c r="A129" s="705">
        <v>41056600</v>
      </c>
      <c r="B129" s="706" t="s">
        <v>1048</v>
      </c>
      <c r="C129" s="642">
        <f t="shared" si="6"/>
        <v>0</v>
      </c>
      <c r="D129" s="643">
        <f>10623233.82-10623233.82</f>
        <v>0</v>
      </c>
      <c r="E129" s="643"/>
      <c r="F129" s="643"/>
      <c r="G129" s="139"/>
    </row>
    <row r="130" spans="1:10" ht="65.25" hidden="1" thickTop="1" thickBot="1" x14ac:dyDescent="0.25">
      <c r="A130" s="705">
        <v>41055000</v>
      </c>
      <c r="B130" s="706" t="s">
        <v>1075</v>
      </c>
      <c r="C130" s="642">
        <f t="shared" si="6"/>
        <v>0</v>
      </c>
      <c r="D130" s="643">
        <v>0</v>
      </c>
      <c r="E130" s="643"/>
      <c r="F130" s="643"/>
      <c r="G130" s="140"/>
    </row>
    <row r="131" spans="1:10" ht="27" hidden="1" thickTop="1" thickBot="1" x14ac:dyDescent="0.25">
      <c r="A131" s="705">
        <v>41053600</v>
      </c>
      <c r="B131" s="706" t="s">
        <v>968</v>
      </c>
      <c r="C131" s="642">
        <f t="shared" si="6"/>
        <v>0</v>
      </c>
      <c r="D131" s="643"/>
      <c r="E131" s="643">
        <v>0</v>
      </c>
      <c r="F131" s="643"/>
      <c r="G131" s="140"/>
    </row>
    <row r="132" spans="1:10" ht="243.75" hidden="1" thickTop="1" thickBot="1" x14ac:dyDescent="0.25">
      <c r="A132" s="705">
        <v>41054200</v>
      </c>
      <c r="B132" s="706" t="s">
        <v>1076</v>
      </c>
      <c r="C132" s="642">
        <f t="shared" si="6"/>
        <v>0</v>
      </c>
      <c r="D132" s="643">
        <v>0</v>
      </c>
      <c r="E132" s="643"/>
      <c r="F132" s="643"/>
      <c r="G132" s="140"/>
    </row>
    <row r="133" spans="1:10" ht="27" thickTop="1" thickBot="1" x14ac:dyDescent="0.25">
      <c r="A133" s="701">
        <v>41053900</v>
      </c>
      <c r="B133" s="704" t="s">
        <v>917</v>
      </c>
      <c r="C133" s="624">
        <f t="shared" si="6"/>
        <v>961639</v>
      </c>
      <c r="D133" s="625">
        <f>SUM(D134:D139)</f>
        <v>961639</v>
      </c>
      <c r="E133" s="625">
        <f>SUM(E134:E139)</f>
        <v>0</v>
      </c>
      <c r="F133" s="625">
        <f>SUM(F134:F139)</f>
        <v>0</v>
      </c>
      <c r="G133" s="140"/>
    </row>
    <row r="134" spans="1:10" ht="15.75" thickTop="1" thickBot="1" x14ac:dyDescent="0.25">
      <c r="A134" s="701"/>
      <c r="B134" s="707" t="s">
        <v>969</v>
      </c>
      <c r="C134" s="628">
        <f>SUM(D134,E134)</f>
        <v>0</v>
      </c>
      <c r="D134" s="635"/>
      <c r="E134" s="635">
        <v>0</v>
      </c>
      <c r="F134" s="635">
        <v>0</v>
      </c>
      <c r="G134" s="140"/>
    </row>
    <row r="135" spans="1:10" ht="39.75" thickTop="1" thickBot="1" x14ac:dyDescent="0.25">
      <c r="A135" s="701"/>
      <c r="B135" s="707" t="s">
        <v>918</v>
      </c>
      <c r="C135" s="628">
        <f t="shared" si="6"/>
        <v>272462</v>
      </c>
      <c r="D135" s="635">
        <v>272462</v>
      </c>
      <c r="E135" s="635"/>
      <c r="F135" s="635"/>
      <c r="G135" s="140"/>
    </row>
    <row r="136" spans="1:10" ht="65.25" thickTop="1" thickBot="1" x14ac:dyDescent="0.25">
      <c r="A136" s="701"/>
      <c r="B136" s="707" t="s">
        <v>919</v>
      </c>
      <c r="C136" s="628">
        <f t="shared" si="6"/>
        <v>142618</v>
      </c>
      <c r="D136" s="635">
        <v>142618</v>
      </c>
      <c r="E136" s="635"/>
      <c r="F136" s="635"/>
      <c r="G136" s="140"/>
    </row>
    <row r="137" spans="1:10" ht="27" thickTop="1" thickBot="1" x14ac:dyDescent="0.25">
      <c r="A137" s="701"/>
      <c r="B137" s="707" t="s">
        <v>920</v>
      </c>
      <c r="C137" s="628">
        <f t="shared" si="6"/>
        <v>546559</v>
      </c>
      <c r="D137" s="635">
        <v>546559</v>
      </c>
      <c r="E137" s="635"/>
      <c r="F137" s="635"/>
      <c r="G137" s="140"/>
    </row>
    <row r="138" spans="1:10" ht="39.75" hidden="1" thickTop="1" thickBot="1" x14ac:dyDescent="0.25">
      <c r="A138" s="705"/>
      <c r="B138" s="708" t="s">
        <v>1128</v>
      </c>
      <c r="C138" s="144">
        <f t="shared" si="6"/>
        <v>0</v>
      </c>
      <c r="D138" s="145">
        <v>0</v>
      </c>
      <c r="E138" s="145"/>
      <c r="F138" s="145"/>
      <c r="G138" s="140"/>
    </row>
    <row r="139" spans="1:10" ht="27" hidden="1" thickTop="1" thickBot="1" x14ac:dyDescent="0.25">
      <c r="A139" s="705"/>
      <c r="B139" s="708" t="s">
        <v>1129</v>
      </c>
      <c r="C139" s="144">
        <f t="shared" si="6"/>
        <v>0</v>
      </c>
      <c r="D139" s="145"/>
      <c r="E139" s="145">
        <v>0</v>
      </c>
      <c r="F139" s="145">
        <v>0</v>
      </c>
      <c r="G139" s="140"/>
    </row>
    <row r="140" spans="1:10" ht="33.75" customHeight="1" thickTop="1" thickBot="1" x14ac:dyDescent="0.3">
      <c r="A140" s="709"/>
      <c r="B140" s="710" t="s">
        <v>1065</v>
      </c>
      <c r="C140" s="668">
        <f>SUM(D140,E140)</f>
        <v>4105676126</v>
      </c>
      <c r="D140" s="668">
        <f>SUM(D104,D105)</f>
        <v>3891887868</v>
      </c>
      <c r="E140" s="668">
        <f>SUM(E104,E111)</f>
        <v>213788258</v>
      </c>
      <c r="F140" s="668">
        <f>SUM(F104,F111)</f>
        <v>14512792</v>
      </c>
      <c r="G140" s="644" t="b">
        <f>C140=C137+C136+C135+C115+C109+C103+C97+C96+C92+C91+C90+C89+C86+C85+C84+C83+C81+C80+C78+C76+C75+C74+C71+C70+C69+C67+C66+C62+C61+C60+C57+C56+C55+C53+C52+C48+C47+C46+C45+C44+C43+C42+C41+C40+C39+C35+C33+C30+C28+C26+C23+C21+C20+C19+C18+C101+C100+C36+C50+C126+C125+C107</f>
        <v>1</v>
      </c>
      <c r="H140" s="644" t="b">
        <f t="shared" ref="H140:J140" si="10">D140=D137+D136+D135+D115+D109+D103+D97+D96+D92+D91+D90+D89+D86+D85+D84+D83+D81+D80+D78+D76+D75+D74+D71+D70+D69+D67+D66+D62+D61+D60+D57+D56+D55+D53+D52+D48+D47+D46+D45+D44+D43+D42+D41+D40+D39+D35+D33+D30+D28+D26+D23+D21+D20+D19+D18+D101+D100+D36+D50+D126+D125+D107</f>
        <v>1</v>
      </c>
      <c r="I140" s="644" t="b">
        <f t="shared" si="10"/>
        <v>1</v>
      </c>
      <c r="J140" s="644" t="b">
        <f t="shared" si="10"/>
        <v>1</v>
      </c>
    </row>
    <row r="141" spans="1:10" ht="16.5" thickTop="1" x14ac:dyDescent="0.25">
      <c r="B141" s="146"/>
      <c r="G141" s="644" t="b">
        <f>(3453807039-'d2'!C32+7423154+961639+622418100+3715400+4544686)+16400+4309689+6350319+16579700=C140</f>
        <v>1</v>
      </c>
      <c r="H141" s="645"/>
      <c r="I141" s="645"/>
      <c r="J141" s="645"/>
    </row>
    <row r="142" spans="1:10" ht="15.75" hidden="1" x14ac:dyDescent="0.25">
      <c r="B142" s="147"/>
      <c r="E142" s="147"/>
      <c r="G142" s="148"/>
    </row>
    <row r="143" spans="1:10" ht="15.75" x14ac:dyDescent="0.2">
      <c r="B143" s="776" t="s">
        <v>1481</v>
      </c>
      <c r="C143" s="124"/>
      <c r="D143" s="124"/>
      <c r="E143" s="16" t="s">
        <v>1482</v>
      </c>
      <c r="F143" s="149"/>
    </row>
    <row r="144" spans="1:10" ht="15.75" x14ac:dyDescent="0.25">
      <c r="B144" s="1"/>
      <c r="C144" s="440"/>
      <c r="D144" s="440"/>
      <c r="E144" s="1"/>
    </row>
    <row r="145" spans="1:6" ht="31.5" x14ac:dyDescent="0.25">
      <c r="A145" s="150"/>
      <c r="B145" s="772" t="s">
        <v>531</v>
      </c>
      <c r="C145" s="1"/>
      <c r="D145" s="1"/>
      <c r="E145" s="1" t="s">
        <v>1483</v>
      </c>
      <c r="F145" s="150"/>
    </row>
    <row r="148" spans="1:6" x14ac:dyDescent="0.2">
      <c r="C148" s="151"/>
      <c r="D148" s="151"/>
      <c r="E148" s="151"/>
      <c r="F148" s="151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6" fitToHeight="0" orientation="portrait" verticalDpi="4294967295" r:id="rId1"/>
  <headerFooter alignWithMargins="0"/>
  <rowBreaks count="1" manualBreakCount="1">
    <brk id="10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view="pageBreakPreview" zoomScale="115" zoomScaleSheetLayoutView="115" workbookViewId="0">
      <selection activeCell="D7" sqref="D7"/>
    </sheetView>
  </sheetViews>
  <sheetFormatPr defaultColWidth="9.140625" defaultRowHeight="12.75" x14ac:dyDescent="0.2"/>
  <cols>
    <col min="1" max="1" width="9.7109375" style="127" customWidth="1"/>
    <col min="2" max="3" width="22.140625" style="127" customWidth="1"/>
    <col min="4" max="4" width="15.5703125" style="127" customWidth="1"/>
    <col min="5" max="5" width="15.28515625" style="127" customWidth="1"/>
    <col min="6" max="6" width="15.42578125" style="127" customWidth="1"/>
    <col min="7" max="7" width="15.140625" style="127" customWidth="1"/>
    <col min="8" max="8" width="16.42578125" style="127" customWidth="1"/>
    <col min="9" max="9" width="8.28515625" style="127" customWidth="1"/>
    <col min="10" max="10" width="9.140625" style="127"/>
    <col min="11" max="11" width="9.7109375" style="127" customWidth="1"/>
    <col min="12" max="12" width="9.140625" style="127"/>
    <col min="13" max="13" width="8.140625" style="127" customWidth="1"/>
    <col min="14" max="16384" width="9.140625" style="127"/>
  </cols>
  <sheetData>
    <row r="1" spans="1:17" x14ac:dyDescent="0.2">
      <c r="A1" s="388"/>
      <c r="B1" s="388"/>
      <c r="C1" s="388"/>
      <c r="D1" s="388"/>
      <c r="E1" s="388"/>
      <c r="F1" s="433" t="s">
        <v>115</v>
      </c>
    </row>
    <row r="2" spans="1:17" x14ac:dyDescent="0.2">
      <c r="A2" s="388"/>
      <c r="B2" s="388"/>
      <c r="C2" s="388"/>
      <c r="D2" s="388"/>
      <c r="E2" s="388"/>
      <c r="F2" s="433" t="s">
        <v>1489</v>
      </c>
    </row>
    <row r="3" spans="1:17" x14ac:dyDescent="0.2">
      <c r="A3" s="388"/>
      <c r="B3" s="388"/>
      <c r="C3" s="388"/>
      <c r="D3" s="388"/>
      <c r="E3" s="388"/>
      <c r="F3" s="433" t="s">
        <v>1490</v>
      </c>
    </row>
    <row r="4" spans="1:17" x14ac:dyDescent="0.2">
      <c r="A4" s="388"/>
      <c r="B4" s="388"/>
      <c r="C4" s="388"/>
      <c r="D4" s="388"/>
      <c r="E4" s="388"/>
      <c r="F4" s="388"/>
    </row>
    <row r="5" spans="1:17" ht="18.75" x14ac:dyDescent="0.2">
      <c r="A5" s="801" t="s">
        <v>581</v>
      </c>
      <c r="B5" s="801"/>
      <c r="C5" s="801"/>
      <c r="D5" s="801"/>
      <c r="E5" s="801"/>
      <c r="F5" s="801"/>
    </row>
    <row r="6" spans="1:17" ht="18.75" x14ac:dyDescent="0.2">
      <c r="A6" s="801" t="s">
        <v>1321</v>
      </c>
      <c r="B6" s="801"/>
      <c r="C6" s="801"/>
      <c r="D6" s="801"/>
      <c r="E6" s="801"/>
      <c r="F6" s="801"/>
    </row>
    <row r="7" spans="1:17" ht="18.75" x14ac:dyDescent="0.2">
      <c r="A7" s="434"/>
      <c r="B7" s="434"/>
      <c r="C7" s="434"/>
      <c r="D7" s="434"/>
      <c r="E7" s="434"/>
      <c r="F7" s="434"/>
    </row>
    <row r="8" spans="1:17" x14ac:dyDescent="0.2">
      <c r="A8" s="802">
        <v>2256400000</v>
      </c>
      <c r="B8" s="803"/>
      <c r="C8" s="804"/>
      <c r="D8" s="804"/>
      <c r="E8" s="804"/>
      <c r="F8" s="804"/>
      <c r="G8" s="22"/>
    </row>
    <row r="9" spans="1:17" ht="15" customHeight="1" x14ac:dyDescent="0.2">
      <c r="A9" s="805" t="s">
        <v>497</v>
      </c>
      <c r="B9" s="806"/>
      <c r="C9" s="804"/>
      <c r="D9" s="804"/>
      <c r="E9" s="804"/>
      <c r="F9" s="804"/>
      <c r="G9" s="22"/>
    </row>
    <row r="10" spans="1:17" ht="13.5" thickBot="1" x14ac:dyDescent="0.25">
      <c r="A10" s="435"/>
      <c r="B10" s="435"/>
      <c r="C10" s="436"/>
      <c r="D10" s="436"/>
      <c r="E10" s="436"/>
      <c r="F10" s="437" t="s">
        <v>410</v>
      </c>
      <c r="G10" s="22"/>
    </row>
    <row r="11" spans="1:17" ht="14.25" thickTop="1" thickBot="1" x14ac:dyDescent="0.25">
      <c r="A11" s="807" t="s">
        <v>57</v>
      </c>
      <c r="B11" s="807" t="s">
        <v>384</v>
      </c>
      <c r="C11" s="807" t="s">
        <v>389</v>
      </c>
      <c r="D11" s="807" t="s">
        <v>12</v>
      </c>
      <c r="E11" s="807" t="s">
        <v>52</v>
      </c>
      <c r="F11" s="807"/>
      <c r="G11" s="22"/>
    </row>
    <row r="12" spans="1:17" ht="35.450000000000003" customHeight="1" thickTop="1" thickBot="1" x14ac:dyDescent="0.25">
      <c r="A12" s="807"/>
      <c r="B12" s="807"/>
      <c r="C12" s="807"/>
      <c r="D12" s="808"/>
      <c r="E12" s="438" t="s">
        <v>390</v>
      </c>
      <c r="F12" s="438" t="s">
        <v>391</v>
      </c>
      <c r="G12" s="22"/>
    </row>
    <row r="13" spans="1:17" ht="14.25" thickTop="1" thickBot="1" x14ac:dyDescent="0.25">
      <c r="A13" s="439">
        <v>1</v>
      </c>
      <c r="B13" s="439">
        <v>2</v>
      </c>
      <c r="C13" s="439">
        <v>3</v>
      </c>
      <c r="D13" s="439">
        <v>4</v>
      </c>
      <c r="E13" s="439">
        <v>5</v>
      </c>
      <c r="F13" s="439">
        <v>6</v>
      </c>
      <c r="G13" s="22"/>
    </row>
    <row r="14" spans="1:17" ht="30.75" customHeight="1" thickTop="1" thickBot="1" x14ac:dyDescent="0.25">
      <c r="A14" s="809" t="s">
        <v>385</v>
      </c>
      <c r="B14" s="809"/>
      <c r="C14" s="810"/>
      <c r="D14" s="810"/>
      <c r="E14" s="810"/>
      <c r="F14" s="810"/>
      <c r="G14" s="22"/>
    </row>
    <row r="15" spans="1:17" ht="14.25" thickTop="1" thickBot="1" x14ac:dyDescent="0.25">
      <c r="A15" s="604" t="s">
        <v>116</v>
      </c>
      <c r="B15" s="646" t="s">
        <v>117</v>
      </c>
      <c r="C15" s="604">
        <f>C16+C20</f>
        <v>1101151603.8099999</v>
      </c>
      <c r="D15" s="604">
        <f>D16+D20</f>
        <v>183729783.12000036</v>
      </c>
      <c r="E15" s="604">
        <f>E16+E20</f>
        <v>917421820.6899997</v>
      </c>
      <c r="F15" s="604">
        <f>F16+F20</f>
        <v>913528722.60999966</v>
      </c>
      <c r="G15" s="611">
        <f>E15-F15</f>
        <v>3893098.0800000429</v>
      </c>
      <c r="H15" s="153"/>
      <c r="I15" s="153"/>
      <c r="J15" s="153"/>
      <c r="K15" s="153"/>
      <c r="L15" s="153"/>
      <c r="M15" s="153"/>
      <c r="N15" s="153"/>
      <c r="O15" s="153"/>
      <c r="P15" s="153"/>
      <c r="Q15" s="153"/>
    </row>
    <row r="16" spans="1:17" ht="42" hidden="1" thickTop="1" thickBot="1" x14ac:dyDescent="0.25">
      <c r="A16" s="608">
        <v>202000</v>
      </c>
      <c r="B16" s="609" t="s">
        <v>985</v>
      </c>
      <c r="C16" s="610">
        <f t="shared" ref="C16:C17" si="0">SUM(D16,E16)</f>
        <v>0</v>
      </c>
      <c r="D16" s="610">
        <f t="shared" ref="D16" si="1">D17</f>
        <v>0</v>
      </c>
      <c r="E16" s="610">
        <f>E17</f>
        <v>0</v>
      </c>
      <c r="F16" s="610">
        <f t="shared" ref="F16" si="2">F17</f>
        <v>0</v>
      </c>
      <c r="G16" s="611"/>
      <c r="H16" s="153"/>
      <c r="I16" s="153"/>
      <c r="J16" s="153"/>
      <c r="K16" s="153"/>
      <c r="L16" s="153"/>
      <c r="M16" s="153"/>
      <c r="N16" s="153"/>
      <c r="O16" s="153"/>
      <c r="P16" s="153"/>
      <c r="Q16" s="153"/>
    </row>
    <row r="17" spans="1:17" ht="27" hidden="1" thickTop="1" thickBot="1" x14ac:dyDescent="0.25">
      <c r="A17" s="602">
        <v>202200</v>
      </c>
      <c r="B17" s="603" t="s">
        <v>987</v>
      </c>
      <c r="C17" s="604">
        <f t="shared" si="0"/>
        <v>0</v>
      </c>
      <c r="D17" s="604">
        <f>SUM(D18:D19)</f>
        <v>0</v>
      </c>
      <c r="E17" s="604">
        <f>SUM(E18:E19)</f>
        <v>0</v>
      </c>
      <c r="F17" s="604">
        <f>SUM(F18:F19)</f>
        <v>0</v>
      </c>
      <c r="G17" s="611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4.25" hidden="1" thickTop="1" thickBot="1" x14ac:dyDescent="0.25">
      <c r="A18" s="605">
        <v>202210</v>
      </c>
      <c r="B18" s="606" t="s">
        <v>986</v>
      </c>
      <c r="C18" s="607">
        <f>SUM(D18,E18)</f>
        <v>0</v>
      </c>
      <c r="D18" s="604"/>
      <c r="E18" s="607">
        <v>0</v>
      </c>
      <c r="F18" s="607">
        <v>0</v>
      </c>
      <c r="G18" s="611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14.25" hidden="1" thickTop="1" thickBot="1" x14ac:dyDescent="0.25">
      <c r="A19" s="605">
        <v>202220</v>
      </c>
      <c r="B19" s="606" t="s">
        <v>365</v>
      </c>
      <c r="C19" s="607">
        <f>SUM(D19,E19)</f>
        <v>0</v>
      </c>
      <c r="D19" s="604"/>
      <c r="E19" s="607">
        <v>0</v>
      </c>
      <c r="F19" s="607">
        <v>0</v>
      </c>
      <c r="G19" s="611"/>
      <c r="H19" s="153"/>
      <c r="I19" s="153"/>
      <c r="J19" s="153"/>
      <c r="K19" s="153"/>
      <c r="L19" s="153"/>
      <c r="M19" s="153"/>
      <c r="N19" s="153"/>
      <c r="O19" s="153"/>
      <c r="P19" s="153"/>
      <c r="Q19" s="153"/>
    </row>
    <row r="20" spans="1:17" ht="42" thickTop="1" thickBot="1" x14ac:dyDescent="0.25">
      <c r="A20" s="608">
        <v>208000</v>
      </c>
      <c r="B20" s="647" t="s">
        <v>989</v>
      </c>
      <c r="C20" s="610">
        <f>C21+C24+C22</f>
        <v>1101151603.8099999</v>
      </c>
      <c r="D20" s="610">
        <f>D21+D24+D22</f>
        <v>183729783.12000036</v>
      </c>
      <c r="E20" s="610">
        <f>E21+E24+E22</f>
        <v>917421820.6899997</v>
      </c>
      <c r="F20" s="610">
        <f>F21+F24+F22</f>
        <v>913528722.60999966</v>
      </c>
      <c r="G20" s="612">
        <f>E20-F20</f>
        <v>3893098.0800000429</v>
      </c>
      <c r="H20" s="153"/>
      <c r="I20" s="153"/>
      <c r="J20" s="153"/>
      <c r="K20" s="153"/>
      <c r="L20" s="153"/>
      <c r="M20" s="153"/>
      <c r="N20" s="153"/>
      <c r="O20" s="153"/>
      <c r="P20" s="153"/>
      <c r="Q20" s="153"/>
    </row>
    <row r="21" spans="1:17" ht="15" thickTop="1" thickBot="1" x14ac:dyDescent="0.25">
      <c r="A21" s="608" t="s">
        <v>118</v>
      </c>
      <c r="B21" s="609" t="s">
        <v>119</v>
      </c>
      <c r="C21" s="610">
        <f>SUM(D21,E21)</f>
        <v>1101151603.8099999</v>
      </c>
      <c r="D21" s="610">
        <v>1089100053.98</v>
      </c>
      <c r="E21" s="610">
        <v>12051549.83</v>
      </c>
      <c r="F21" s="610">
        <v>8158451.75</v>
      </c>
      <c r="G21" s="154"/>
      <c r="H21" s="153"/>
      <c r="I21" s="153"/>
      <c r="J21" s="153"/>
      <c r="K21" s="153"/>
      <c r="L21" s="153"/>
      <c r="M21" s="153"/>
      <c r="N21" s="153"/>
      <c r="O21" s="153"/>
      <c r="P21" s="153"/>
      <c r="Q21" s="153"/>
    </row>
    <row r="22" spans="1:17" ht="15" hidden="1" thickTop="1" thickBot="1" x14ac:dyDescent="0.25">
      <c r="A22" s="648">
        <v>208300</v>
      </c>
      <c r="B22" s="649" t="s">
        <v>992</v>
      </c>
      <c r="C22" s="650">
        <f>SUM(D22,E22)</f>
        <v>0</v>
      </c>
      <c r="D22" s="610">
        <f>D23</f>
        <v>0</v>
      </c>
      <c r="E22" s="610">
        <f>E23</f>
        <v>0</v>
      </c>
      <c r="F22" s="610">
        <f>F23</f>
        <v>0</v>
      </c>
      <c r="G22" s="152"/>
      <c r="H22" s="153"/>
      <c r="I22" s="153"/>
      <c r="J22" s="153"/>
      <c r="K22" s="153"/>
      <c r="L22" s="153"/>
      <c r="M22" s="153"/>
      <c r="N22" s="153"/>
      <c r="O22" s="153"/>
      <c r="P22" s="153"/>
      <c r="Q22" s="153"/>
    </row>
    <row r="23" spans="1:17" ht="52.5" hidden="1" thickTop="1" thickBot="1" x14ac:dyDescent="0.25">
      <c r="A23" s="651">
        <v>208330</v>
      </c>
      <c r="B23" s="652" t="s">
        <v>993</v>
      </c>
      <c r="C23" s="650">
        <f>SUM(D23,E23)</f>
        <v>0</v>
      </c>
      <c r="D23" s="607"/>
      <c r="E23" s="607">
        <f>-D23</f>
        <v>0</v>
      </c>
      <c r="F23" s="607">
        <f>E23</f>
        <v>0</v>
      </c>
      <c r="G23" s="152"/>
      <c r="H23" s="153"/>
      <c r="I23" s="153"/>
      <c r="J23" s="153"/>
      <c r="K23" s="153"/>
      <c r="L23" s="153"/>
      <c r="M23" s="153"/>
      <c r="N23" s="153"/>
      <c r="O23" s="153"/>
      <c r="P23" s="153"/>
      <c r="Q23" s="153"/>
    </row>
    <row r="24" spans="1:17" ht="55.5" thickTop="1" thickBot="1" x14ac:dyDescent="0.25">
      <c r="A24" s="608">
        <v>208400</v>
      </c>
      <c r="B24" s="609" t="s">
        <v>120</v>
      </c>
      <c r="C24" s="610">
        <f>SUM(D24,E24)</f>
        <v>0</v>
      </c>
      <c r="D24" s="610">
        <f>'d3'!E406-'d1'!D140+'d4'!N17-D21</f>
        <v>-905370270.85999966</v>
      </c>
      <c r="E24" s="610">
        <f>-D24</f>
        <v>905370270.85999966</v>
      </c>
      <c r="F24" s="610">
        <f>E24</f>
        <v>905370270.85999966</v>
      </c>
      <c r="G24" s="152"/>
      <c r="H24" s="153"/>
      <c r="I24" s="153"/>
      <c r="J24" s="153"/>
      <c r="K24" s="153"/>
      <c r="L24" s="153"/>
      <c r="M24" s="153"/>
      <c r="N24" s="153"/>
      <c r="O24" s="153"/>
      <c r="P24" s="153"/>
      <c r="Q24" s="153"/>
    </row>
    <row r="25" spans="1:17" ht="14.25" thickTop="1" thickBot="1" x14ac:dyDescent="0.25">
      <c r="A25" s="602">
        <v>300000</v>
      </c>
      <c r="B25" s="603" t="s">
        <v>362</v>
      </c>
      <c r="C25" s="604">
        <f>C26</f>
        <v>11750000</v>
      </c>
      <c r="D25" s="604">
        <f>D26</f>
        <v>0</v>
      </c>
      <c r="E25" s="604">
        <f>E26</f>
        <v>11750000</v>
      </c>
      <c r="F25" s="604">
        <f>F26</f>
        <v>11750000</v>
      </c>
      <c r="G25" s="152"/>
      <c r="H25" s="153"/>
      <c r="I25" s="153"/>
      <c r="J25" s="153"/>
      <c r="K25" s="153"/>
      <c r="L25" s="153"/>
      <c r="M25" s="153"/>
      <c r="N25" s="153"/>
      <c r="O25" s="153"/>
      <c r="P25" s="153"/>
      <c r="Q25" s="153"/>
    </row>
    <row r="26" spans="1:17" ht="42" thickTop="1" thickBot="1" x14ac:dyDescent="0.25">
      <c r="A26" s="608">
        <v>301000</v>
      </c>
      <c r="B26" s="609" t="s">
        <v>363</v>
      </c>
      <c r="C26" s="610">
        <f>C27+C28</f>
        <v>11750000</v>
      </c>
      <c r="D26" s="610">
        <f>D27+D28</f>
        <v>0</v>
      </c>
      <c r="E26" s="610">
        <f>E27+E28</f>
        <v>11750000</v>
      </c>
      <c r="F26" s="610">
        <f>F27+F28</f>
        <v>11750000</v>
      </c>
      <c r="G26" s="152"/>
      <c r="H26" s="153"/>
      <c r="I26" s="153"/>
      <c r="J26" s="153"/>
      <c r="K26" s="153"/>
      <c r="L26" s="153"/>
      <c r="M26" s="153"/>
      <c r="N26" s="153"/>
      <c r="O26" s="153"/>
      <c r="P26" s="153"/>
      <c r="Q26" s="153"/>
    </row>
    <row r="27" spans="1:17" ht="14.25" thickTop="1" thickBot="1" x14ac:dyDescent="0.25">
      <c r="A27" s="605">
        <v>301100</v>
      </c>
      <c r="B27" s="606" t="s">
        <v>364</v>
      </c>
      <c r="C27" s="607">
        <f>SUM(D27,E27)</f>
        <v>14450000</v>
      </c>
      <c r="D27" s="607"/>
      <c r="E27" s="607">
        <v>14450000</v>
      </c>
      <c r="F27" s="607">
        <v>14450000</v>
      </c>
      <c r="G27" s="152"/>
      <c r="H27" s="153"/>
      <c r="I27" s="153"/>
      <c r="J27" s="153"/>
      <c r="K27" s="153"/>
      <c r="L27" s="153"/>
      <c r="M27" s="153"/>
      <c r="N27" s="153"/>
      <c r="O27" s="153"/>
      <c r="P27" s="153"/>
      <c r="Q27" s="153"/>
    </row>
    <row r="28" spans="1:17" ht="14.25" thickTop="1" thickBot="1" x14ac:dyDescent="0.25">
      <c r="A28" s="605">
        <v>301200</v>
      </c>
      <c r="B28" s="606" t="s">
        <v>365</v>
      </c>
      <c r="C28" s="607">
        <f>SUM(D28,E28)</f>
        <v>-2700000</v>
      </c>
      <c r="D28" s="607"/>
      <c r="E28" s="607">
        <v>-2700000</v>
      </c>
      <c r="F28" s="607">
        <v>-2700000</v>
      </c>
      <c r="G28" s="152"/>
      <c r="H28" s="153"/>
      <c r="I28" s="153"/>
      <c r="J28" s="153"/>
      <c r="K28" s="153"/>
      <c r="L28" s="153"/>
      <c r="M28" s="153"/>
      <c r="N28" s="153"/>
      <c r="O28" s="153"/>
      <c r="P28" s="153"/>
      <c r="Q28" s="153"/>
    </row>
    <row r="29" spans="1:17" ht="24" customHeight="1" thickTop="1" thickBot="1" x14ac:dyDescent="0.25">
      <c r="A29" s="671" t="s">
        <v>387</v>
      </c>
      <c r="B29" s="672" t="s">
        <v>386</v>
      </c>
      <c r="C29" s="673">
        <f>C15+C25</f>
        <v>1112901603.8099999</v>
      </c>
      <c r="D29" s="673">
        <f>D15+D25</f>
        <v>183729783.12000036</v>
      </c>
      <c r="E29" s="673">
        <f>E15+E25</f>
        <v>929171820.6899997</v>
      </c>
      <c r="F29" s="673">
        <f>F15+F25</f>
        <v>925278722.60999966</v>
      </c>
      <c r="G29" s="152"/>
      <c r="H29" s="153"/>
      <c r="I29" s="153"/>
      <c r="J29" s="153"/>
      <c r="K29" s="153"/>
      <c r="L29" s="153"/>
      <c r="M29" s="153"/>
      <c r="N29" s="153"/>
      <c r="O29" s="153"/>
      <c r="P29" s="153"/>
      <c r="Q29" s="153"/>
    </row>
    <row r="30" spans="1:17" ht="35.450000000000003" customHeight="1" thickTop="1" thickBot="1" x14ac:dyDescent="0.25">
      <c r="A30" s="809" t="s">
        <v>388</v>
      </c>
      <c r="B30" s="809"/>
      <c r="C30" s="810"/>
      <c r="D30" s="810"/>
      <c r="E30" s="810"/>
      <c r="F30" s="810"/>
      <c r="G30" s="152"/>
      <c r="H30" s="153"/>
      <c r="I30" s="153"/>
      <c r="J30" s="153"/>
      <c r="K30" s="153"/>
      <c r="L30" s="153"/>
      <c r="M30" s="153"/>
      <c r="N30" s="153"/>
      <c r="O30" s="153"/>
      <c r="P30" s="153"/>
      <c r="Q30" s="153"/>
    </row>
    <row r="31" spans="1:17" ht="27" thickTop="1" thickBot="1" x14ac:dyDescent="0.25">
      <c r="A31" s="602">
        <v>400000</v>
      </c>
      <c r="B31" s="603" t="s">
        <v>121</v>
      </c>
      <c r="C31" s="604">
        <f>C32+C37</f>
        <v>11750000</v>
      </c>
      <c r="D31" s="604">
        <f>D32+D37</f>
        <v>0</v>
      </c>
      <c r="E31" s="604">
        <f>E32+E37</f>
        <v>11750000</v>
      </c>
      <c r="F31" s="604">
        <f>F32+F37</f>
        <v>11750000</v>
      </c>
      <c r="G31" s="152"/>
      <c r="H31" s="153"/>
      <c r="I31" s="153"/>
      <c r="J31" s="153"/>
      <c r="K31" s="153"/>
      <c r="L31" s="153"/>
      <c r="M31" s="153"/>
      <c r="N31" s="153"/>
      <c r="O31" s="153"/>
      <c r="P31" s="153"/>
      <c r="Q31" s="153"/>
    </row>
    <row r="32" spans="1:17" ht="15" thickTop="1" thickBot="1" x14ac:dyDescent="0.25">
      <c r="A32" s="608">
        <v>401000</v>
      </c>
      <c r="B32" s="609" t="s">
        <v>122</v>
      </c>
      <c r="C32" s="610">
        <f>C33+C35</f>
        <v>14450000</v>
      </c>
      <c r="D32" s="610">
        <f>D33+D35</f>
        <v>0</v>
      </c>
      <c r="E32" s="610">
        <f>E33+E35</f>
        <v>14450000</v>
      </c>
      <c r="F32" s="610">
        <f>F33+F35</f>
        <v>14450000</v>
      </c>
      <c r="G32" s="152"/>
      <c r="H32" s="153"/>
      <c r="I32" s="153"/>
      <c r="J32" s="153"/>
      <c r="K32" s="153"/>
      <c r="L32" s="153"/>
      <c r="M32" s="153"/>
      <c r="N32" s="153"/>
      <c r="O32" s="153"/>
      <c r="P32" s="153"/>
      <c r="Q32" s="153"/>
    </row>
    <row r="33" spans="1:17" ht="14.25" hidden="1" thickTop="1" thickBot="1" x14ac:dyDescent="0.25">
      <c r="A33" s="613">
        <v>401100</v>
      </c>
      <c r="B33" s="614" t="s">
        <v>988</v>
      </c>
      <c r="C33" s="615">
        <f>C34</f>
        <v>0</v>
      </c>
      <c r="D33" s="615">
        <f>D34</f>
        <v>0</v>
      </c>
      <c r="E33" s="615">
        <f>E34</f>
        <v>0</v>
      </c>
      <c r="F33" s="615">
        <f>F34</f>
        <v>0</v>
      </c>
      <c r="G33" s="152"/>
      <c r="H33" s="153"/>
      <c r="I33" s="153"/>
      <c r="J33" s="153"/>
      <c r="K33" s="153"/>
      <c r="L33" s="153"/>
      <c r="M33" s="153"/>
      <c r="N33" s="153"/>
      <c r="O33" s="153"/>
      <c r="P33" s="153"/>
      <c r="Q33" s="153"/>
    </row>
    <row r="34" spans="1:17" ht="27" hidden="1" thickTop="1" thickBot="1" x14ac:dyDescent="0.25">
      <c r="A34" s="605">
        <v>401101</v>
      </c>
      <c r="B34" s="606" t="s">
        <v>983</v>
      </c>
      <c r="C34" s="607">
        <f>SUM(D34,E34)</f>
        <v>0</v>
      </c>
      <c r="D34" s="604"/>
      <c r="E34" s="607">
        <v>0</v>
      </c>
      <c r="F34" s="607">
        <v>0</v>
      </c>
      <c r="G34" s="152"/>
      <c r="H34" s="153"/>
      <c r="I34" s="153"/>
      <c r="J34" s="153"/>
      <c r="K34" s="153"/>
      <c r="L34" s="153"/>
      <c r="M34" s="153"/>
      <c r="N34" s="153"/>
      <c r="O34" s="153"/>
      <c r="P34" s="153"/>
      <c r="Q34" s="153"/>
    </row>
    <row r="35" spans="1:17" s="4" customFormat="1" ht="14.25" thickTop="1" thickBot="1" x14ac:dyDescent="0.25">
      <c r="A35" s="613">
        <v>401200</v>
      </c>
      <c r="B35" s="614" t="s">
        <v>366</v>
      </c>
      <c r="C35" s="615">
        <f>SUM(D35,E35)</f>
        <v>14450000</v>
      </c>
      <c r="D35" s="615"/>
      <c r="E35" s="615">
        <f>E36</f>
        <v>14450000</v>
      </c>
      <c r="F35" s="615">
        <f>F36</f>
        <v>14450000</v>
      </c>
      <c r="G35" s="158"/>
      <c r="H35" s="159"/>
      <c r="I35" s="159"/>
      <c r="J35" s="159"/>
      <c r="K35" s="159"/>
      <c r="L35" s="159"/>
      <c r="M35" s="159"/>
      <c r="N35" s="159"/>
      <c r="O35" s="159"/>
      <c r="P35" s="159"/>
      <c r="Q35" s="159"/>
    </row>
    <row r="36" spans="1:17" ht="27" thickTop="1" thickBot="1" x14ac:dyDescent="0.25">
      <c r="A36" s="605">
        <v>401201</v>
      </c>
      <c r="B36" s="606" t="s">
        <v>983</v>
      </c>
      <c r="C36" s="607">
        <f>SUM(D36,E36)</f>
        <v>14450000</v>
      </c>
      <c r="D36" s="604"/>
      <c r="E36" s="607">
        <v>14450000</v>
      </c>
      <c r="F36" s="607">
        <v>14450000</v>
      </c>
      <c r="G36" s="152"/>
      <c r="H36" s="153"/>
      <c r="I36" s="153"/>
      <c r="J36" s="153"/>
      <c r="K36" s="153"/>
      <c r="L36" s="153"/>
      <c r="M36" s="153"/>
      <c r="N36" s="153"/>
      <c r="O36" s="153"/>
      <c r="P36" s="153"/>
      <c r="Q36" s="153"/>
    </row>
    <row r="37" spans="1:17" s="4" customFormat="1" ht="15" thickTop="1" thickBot="1" x14ac:dyDescent="0.25">
      <c r="A37" s="608">
        <v>402000</v>
      </c>
      <c r="B37" s="609" t="s">
        <v>367</v>
      </c>
      <c r="C37" s="610">
        <f>C40+C38</f>
        <v>-2700000</v>
      </c>
      <c r="D37" s="610">
        <f>D40+D38</f>
        <v>0</v>
      </c>
      <c r="E37" s="610">
        <f>E40+E38</f>
        <v>-2700000</v>
      </c>
      <c r="F37" s="610">
        <f>F40+F38</f>
        <v>-2700000</v>
      </c>
      <c r="G37" s="158"/>
      <c r="H37" s="159"/>
      <c r="I37" s="159"/>
      <c r="J37" s="159"/>
      <c r="K37" s="159"/>
      <c r="L37" s="159"/>
      <c r="M37" s="159"/>
      <c r="N37" s="159"/>
      <c r="O37" s="159"/>
      <c r="P37" s="159"/>
      <c r="Q37" s="159"/>
    </row>
    <row r="38" spans="1:17" s="4" customFormat="1" ht="14.25" hidden="1" thickTop="1" thickBot="1" x14ac:dyDescent="0.25">
      <c r="A38" s="613">
        <v>402100</v>
      </c>
      <c r="B38" s="614" t="s">
        <v>1045</v>
      </c>
      <c r="C38" s="615">
        <f>C39</f>
        <v>0</v>
      </c>
      <c r="D38" s="615">
        <f>D39</f>
        <v>0</v>
      </c>
      <c r="E38" s="615">
        <f>E39</f>
        <v>0</v>
      </c>
      <c r="F38" s="615">
        <f>F39</f>
        <v>0</v>
      </c>
      <c r="G38" s="158"/>
      <c r="H38" s="159"/>
      <c r="I38" s="159"/>
      <c r="J38" s="159"/>
      <c r="K38" s="159"/>
      <c r="L38" s="159"/>
      <c r="M38" s="159"/>
      <c r="N38" s="159"/>
      <c r="O38" s="159"/>
      <c r="P38" s="159"/>
      <c r="Q38" s="159"/>
    </row>
    <row r="39" spans="1:17" s="4" customFormat="1" ht="27" hidden="1" thickTop="1" thickBot="1" x14ac:dyDescent="0.25">
      <c r="A39" s="605">
        <v>402101</v>
      </c>
      <c r="B39" s="606" t="s">
        <v>983</v>
      </c>
      <c r="C39" s="607">
        <f>SUM(D39,E39)</f>
        <v>0</v>
      </c>
      <c r="D39" s="604"/>
      <c r="E39" s="607">
        <v>0</v>
      </c>
      <c r="F39" s="607">
        <v>0</v>
      </c>
      <c r="G39" s="158"/>
      <c r="H39" s="159"/>
      <c r="I39" s="159"/>
      <c r="J39" s="159"/>
      <c r="K39" s="159"/>
      <c r="L39" s="159"/>
      <c r="M39" s="159"/>
      <c r="N39" s="159"/>
      <c r="O39" s="159"/>
      <c r="P39" s="159"/>
      <c r="Q39" s="159"/>
    </row>
    <row r="40" spans="1:17" s="4" customFormat="1" ht="14.25" thickTop="1" thickBot="1" x14ac:dyDescent="0.25">
      <c r="A40" s="613">
        <v>402200</v>
      </c>
      <c r="B40" s="614" t="s">
        <v>982</v>
      </c>
      <c r="C40" s="615">
        <f>SUM(C41,C42)</f>
        <v>-2700000</v>
      </c>
      <c r="D40" s="615"/>
      <c r="E40" s="615">
        <f>SUM(E41,E42)</f>
        <v>-2700000</v>
      </c>
      <c r="F40" s="615">
        <f>SUM(F41,F42)</f>
        <v>-2700000</v>
      </c>
      <c r="G40" s="158"/>
      <c r="H40" s="159"/>
      <c r="I40" s="159"/>
      <c r="J40" s="159"/>
      <c r="K40" s="159"/>
      <c r="L40" s="159"/>
      <c r="M40" s="159"/>
      <c r="N40" s="159"/>
      <c r="O40" s="159"/>
      <c r="P40" s="159"/>
      <c r="Q40" s="159"/>
    </row>
    <row r="41" spans="1:17" s="4" customFormat="1" ht="27" thickTop="1" thickBot="1" x14ac:dyDescent="0.25">
      <c r="A41" s="605">
        <v>402201</v>
      </c>
      <c r="B41" s="606" t="s">
        <v>983</v>
      </c>
      <c r="C41" s="607">
        <f>SUM(D41,E41)</f>
        <v>-2700000</v>
      </c>
      <c r="D41" s="604"/>
      <c r="E41" s="607">
        <v>-2700000</v>
      </c>
      <c r="F41" s="607">
        <v>-2700000</v>
      </c>
      <c r="G41" s="158"/>
      <c r="H41" s="159"/>
      <c r="I41" s="159"/>
      <c r="J41" s="159"/>
      <c r="K41" s="159"/>
      <c r="L41" s="159"/>
      <c r="M41" s="159"/>
      <c r="N41" s="159"/>
      <c r="O41" s="159"/>
      <c r="P41" s="159"/>
      <c r="Q41" s="159"/>
    </row>
    <row r="42" spans="1:17" ht="27" hidden="1" thickTop="1" thickBot="1" x14ac:dyDescent="0.25">
      <c r="A42" s="155">
        <v>402202</v>
      </c>
      <c r="B42" s="156" t="s">
        <v>984</v>
      </c>
      <c r="C42" s="157">
        <f>SUM(D42,E42)</f>
        <v>0</v>
      </c>
      <c r="D42" s="731"/>
      <c r="E42" s="732">
        <v>0</v>
      </c>
      <c r="F42" s="157">
        <v>0</v>
      </c>
      <c r="G42" s="152"/>
      <c r="H42" s="153"/>
      <c r="I42" s="153"/>
      <c r="J42" s="153"/>
      <c r="K42" s="153"/>
      <c r="L42" s="153"/>
      <c r="M42" s="153"/>
      <c r="N42" s="153"/>
      <c r="O42" s="153"/>
      <c r="P42" s="153"/>
      <c r="Q42" s="153"/>
    </row>
    <row r="43" spans="1:17" ht="27" thickTop="1" thickBot="1" x14ac:dyDescent="0.25">
      <c r="A43" s="602" t="s">
        <v>123</v>
      </c>
      <c r="B43" s="603" t="s">
        <v>124</v>
      </c>
      <c r="C43" s="604">
        <f>C44</f>
        <v>1101151603.8099999</v>
      </c>
      <c r="D43" s="604">
        <f>D44</f>
        <v>183729783.12000036</v>
      </c>
      <c r="E43" s="604">
        <f>E44</f>
        <v>917421820.6899997</v>
      </c>
      <c r="F43" s="604">
        <f t="shared" ref="F43" si="3">F44</f>
        <v>913528722.60999966</v>
      </c>
      <c r="G43" s="152"/>
      <c r="H43" s="153"/>
      <c r="I43" s="153"/>
      <c r="J43" s="153"/>
      <c r="K43" s="153"/>
      <c r="L43" s="153"/>
      <c r="M43" s="153"/>
      <c r="N43" s="153"/>
      <c r="O43" s="153"/>
      <c r="P43" s="153"/>
      <c r="Q43" s="153"/>
    </row>
    <row r="44" spans="1:17" ht="28.5" thickTop="1" thickBot="1" x14ac:dyDescent="0.25">
      <c r="A44" s="608">
        <v>602000</v>
      </c>
      <c r="B44" s="609" t="s">
        <v>990</v>
      </c>
      <c r="C44" s="610">
        <f>C45+C48+C46</f>
        <v>1101151603.8099999</v>
      </c>
      <c r="D44" s="610">
        <f>D45+D48+D46</f>
        <v>183729783.12000036</v>
      </c>
      <c r="E44" s="610">
        <f>E45+E48+E46</f>
        <v>917421820.6899997</v>
      </c>
      <c r="F44" s="610">
        <f>F45+F48+F46</f>
        <v>913528722.60999966</v>
      </c>
      <c r="G44" s="152"/>
      <c r="H44" s="153"/>
      <c r="I44" s="153"/>
      <c r="J44" s="153"/>
      <c r="K44" s="153"/>
      <c r="L44" s="153"/>
      <c r="M44" s="153"/>
      <c r="N44" s="153"/>
      <c r="O44" s="153"/>
      <c r="P44" s="153"/>
      <c r="Q44" s="153"/>
    </row>
    <row r="45" spans="1:17" ht="14.25" thickTop="1" thickBot="1" x14ac:dyDescent="0.25">
      <c r="A45" s="613">
        <v>602100</v>
      </c>
      <c r="B45" s="614" t="s">
        <v>991</v>
      </c>
      <c r="C45" s="615">
        <f>SUM(D45,E45)</f>
        <v>1101151603.8099999</v>
      </c>
      <c r="D45" s="615">
        <f>D21</f>
        <v>1089100053.98</v>
      </c>
      <c r="E45" s="615">
        <f>E21</f>
        <v>12051549.83</v>
      </c>
      <c r="F45" s="615">
        <f>F21</f>
        <v>8158451.75</v>
      </c>
      <c r="G45" s="152"/>
      <c r="H45" s="153"/>
      <c r="I45" s="153"/>
      <c r="J45" s="153"/>
      <c r="K45" s="153"/>
      <c r="L45" s="153"/>
      <c r="M45" s="153"/>
      <c r="N45" s="153"/>
      <c r="O45" s="153"/>
      <c r="P45" s="153"/>
      <c r="Q45" s="153"/>
    </row>
    <row r="46" spans="1:17" ht="14.25" hidden="1" thickTop="1" thickBot="1" x14ac:dyDescent="0.25">
      <c r="A46" s="613">
        <v>602300</v>
      </c>
      <c r="B46" s="614" t="s">
        <v>992</v>
      </c>
      <c r="C46" s="615">
        <f>SUM(D46,E46)</f>
        <v>0</v>
      </c>
      <c r="D46" s="615">
        <f>D47</f>
        <v>0</v>
      </c>
      <c r="E46" s="615">
        <f>E47</f>
        <v>0</v>
      </c>
      <c r="F46" s="615">
        <f>E46</f>
        <v>0</v>
      </c>
      <c r="G46" s="152"/>
      <c r="H46" s="153"/>
      <c r="I46" s="153"/>
      <c r="J46" s="153"/>
      <c r="K46" s="153"/>
      <c r="L46" s="153"/>
      <c r="M46" s="153"/>
      <c r="N46" s="153"/>
      <c r="O46" s="153"/>
      <c r="P46" s="153"/>
      <c r="Q46" s="153"/>
    </row>
    <row r="47" spans="1:17" ht="52.5" hidden="1" thickTop="1" thickBot="1" x14ac:dyDescent="0.25">
      <c r="A47" s="605">
        <v>602303</v>
      </c>
      <c r="B47" s="606" t="s">
        <v>993</v>
      </c>
      <c r="C47" s="607">
        <f>SUM(D47,E47)</f>
        <v>0</v>
      </c>
      <c r="D47" s="607"/>
      <c r="E47" s="607">
        <f>-D47</f>
        <v>0</v>
      </c>
      <c r="F47" s="607">
        <f>E47</f>
        <v>0</v>
      </c>
      <c r="G47" s="152"/>
      <c r="H47" s="153"/>
      <c r="I47" s="153"/>
      <c r="J47" s="153"/>
      <c r="K47" s="153"/>
      <c r="L47" s="153"/>
      <c r="M47" s="153"/>
      <c r="N47" s="153"/>
      <c r="O47" s="153"/>
      <c r="P47" s="153"/>
      <c r="Q47" s="153"/>
    </row>
    <row r="48" spans="1:17" ht="52.5" thickTop="1" thickBot="1" x14ac:dyDescent="0.25">
      <c r="A48" s="613">
        <v>602400</v>
      </c>
      <c r="B48" s="614" t="s">
        <v>120</v>
      </c>
      <c r="C48" s="615">
        <f>SUM(D48,E48)</f>
        <v>0</v>
      </c>
      <c r="D48" s="615">
        <f>D24</f>
        <v>-905370270.85999966</v>
      </c>
      <c r="E48" s="615">
        <f>E24</f>
        <v>905370270.85999966</v>
      </c>
      <c r="F48" s="615">
        <f>F24</f>
        <v>905370270.85999966</v>
      </c>
      <c r="G48" s="152"/>
      <c r="H48" s="153"/>
      <c r="I48" s="153"/>
      <c r="J48" s="153"/>
      <c r="K48" s="153"/>
      <c r="L48" s="153"/>
      <c r="M48" s="153"/>
      <c r="N48" s="153"/>
      <c r="O48" s="153"/>
      <c r="P48" s="153"/>
      <c r="Q48" s="153"/>
    </row>
    <row r="49" spans="1:17" ht="30" customHeight="1" thickTop="1" thickBot="1" x14ac:dyDescent="0.25">
      <c r="A49" s="671" t="s">
        <v>387</v>
      </c>
      <c r="B49" s="672" t="s">
        <v>386</v>
      </c>
      <c r="C49" s="673">
        <f>C31+C43</f>
        <v>1112901603.8099999</v>
      </c>
      <c r="D49" s="673">
        <f>D31+D43</f>
        <v>183729783.12000036</v>
      </c>
      <c r="E49" s="673">
        <f>E31+E43</f>
        <v>929171820.6899997</v>
      </c>
      <c r="F49" s="673">
        <f>F31+F43</f>
        <v>925278722.60999966</v>
      </c>
      <c r="G49" s="152"/>
      <c r="H49" s="153"/>
      <c r="I49" s="153"/>
      <c r="J49" s="153"/>
      <c r="K49" s="153"/>
      <c r="L49" s="153"/>
      <c r="M49" s="153"/>
      <c r="N49" s="153"/>
      <c r="O49" s="153"/>
      <c r="P49" s="153"/>
      <c r="Q49" s="153"/>
    </row>
    <row r="50" spans="1:17" ht="13.5" thickTop="1" x14ac:dyDescent="0.2">
      <c r="A50" s="160"/>
      <c r="B50" s="160"/>
      <c r="C50" s="160"/>
      <c r="D50" s="160"/>
      <c r="E50" s="160"/>
      <c r="F50" s="160"/>
      <c r="G50" s="160"/>
      <c r="H50" s="160"/>
      <c r="I50" s="160"/>
    </row>
    <row r="51" spans="1:17" ht="45.75" hidden="1" x14ac:dyDescent="0.65">
      <c r="A51" s="160"/>
      <c r="B51" s="798"/>
      <c r="C51" s="798"/>
      <c r="D51" s="798"/>
      <c r="E51" s="798"/>
      <c r="F51" s="798"/>
      <c r="G51" s="798"/>
      <c r="H51" s="798"/>
      <c r="I51" s="798"/>
      <c r="J51" s="798"/>
      <c r="K51" s="798"/>
      <c r="L51" s="798"/>
      <c r="M51" s="798"/>
      <c r="N51" s="798"/>
      <c r="O51" s="798"/>
    </row>
    <row r="52" spans="1:17" ht="16.5" customHeight="1" x14ac:dyDescent="0.65">
      <c r="A52" s="160"/>
      <c r="B52" s="776" t="s">
        <v>1481</v>
      </c>
      <c r="C52" s="388"/>
      <c r="D52" s="388"/>
      <c r="E52" s="718"/>
      <c r="F52" s="16" t="s">
        <v>1482</v>
      </c>
      <c r="G52" s="161"/>
      <c r="H52" s="161"/>
      <c r="I52" s="161"/>
      <c r="J52" s="161"/>
      <c r="K52" s="161"/>
      <c r="L52" s="161"/>
      <c r="M52" s="161"/>
      <c r="N52" s="161"/>
      <c r="O52" s="161"/>
    </row>
    <row r="53" spans="1:17" ht="15.75" hidden="1" x14ac:dyDescent="0.25">
      <c r="A53" s="160"/>
      <c r="B53" s="799" t="s">
        <v>531</v>
      </c>
      <c r="C53" s="799"/>
      <c r="D53" s="800"/>
      <c r="E53" s="387"/>
      <c r="F53" s="586" t="s">
        <v>532</v>
      </c>
      <c r="G53" s="160"/>
      <c r="H53" s="160"/>
      <c r="I53" s="160"/>
    </row>
    <row r="54" spans="1:17" ht="15.75" x14ac:dyDescent="0.25">
      <c r="A54" s="160"/>
      <c r="B54" s="587"/>
      <c r="C54" s="587"/>
      <c r="D54" s="588"/>
      <c r="E54" s="387"/>
      <c r="F54" s="586"/>
      <c r="G54" s="160"/>
      <c r="H54" s="160"/>
      <c r="I54" s="160"/>
    </row>
    <row r="55" spans="1:17" ht="15.75" x14ac:dyDescent="0.25">
      <c r="B55" s="796" t="s">
        <v>531</v>
      </c>
      <c r="C55" s="797"/>
      <c r="D55" s="797"/>
      <c r="E55" s="121"/>
      <c r="F55" s="1" t="s">
        <v>1483</v>
      </c>
    </row>
  </sheetData>
  <mergeCells count="14">
    <mergeCell ref="B55:D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4"/>
  <sheetViews>
    <sheetView view="pageBreakPreview" topLeftCell="M1" zoomScale="50" zoomScaleNormal="25" zoomScaleSheetLayoutView="50" zoomScalePageLayoutView="10" workbookViewId="0">
      <pane ySplit="14" topLeftCell="A15" activePane="bottomLeft" state="frozen"/>
      <selection activeCell="F35" sqref="F35"/>
      <selection pane="bottomLeft" activeCell="O12" sqref="O12:O13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06.28515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6" customWidth="1"/>
    <col min="18" max="18" width="33.85546875" style="22" customWidth="1"/>
    <col min="19" max="19" width="40.140625" style="23" bestFit="1" customWidth="1"/>
    <col min="20" max="20" width="43.5703125" style="23" bestFit="1" customWidth="1"/>
    <col min="21" max="16384" width="9.140625" style="23"/>
  </cols>
  <sheetData>
    <row r="1" spans="1:18" ht="45.75" x14ac:dyDescent="0.2">
      <c r="A1" s="81"/>
      <c r="B1" s="81"/>
      <c r="C1" s="81"/>
      <c r="D1" s="82"/>
      <c r="E1" s="83"/>
      <c r="F1" s="84"/>
      <c r="G1" s="83"/>
      <c r="H1" s="83"/>
      <c r="I1" s="83"/>
      <c r="J1" s="83"/>
      <c r="K1" s="83"/>
      <c r="L1" s="83"/>
      <c r="M1" s="83"/>
      <c r="N1" s="852" t="s">
        <v>500</v>
      </c>
      <c r="O1" s="853"/>
      <c r="P1" s="853"/>
      <c r="Q1" s="853"/>
    </row>
    <row r="2" spans="1:18" ht="45.75" x14ac:dyDescent="0.2">
      <c r="A2" s="82"/>
      <c r="B2" s="82"/>
      <c r="C2" s="82"/>
      <c r="D2" s="82"/>
      <c r="E2" s="83"/>
      <c r="F2" s="84"/>
      <c r="G2" s="83"/>
      <c r="H2" s="83"/>
      <c r="I2" s="83"/>
      <c r="J2" s="83"/>
      <c r="K2" s="83"/>
      <c r="L2" s="83"/>
      <c r="M2" s="83"/>
      <c r="N2" s="852" t="s">
        <v>1491</v>
      </c>
      <c r="O2" s="854"/>
      <c r="P2" s="854"/>
      <c r="Q2" s="854"/>
    </row>
    <row r="3" spans="1:18" ht="40.700000000000003" customHeight="1" x14ac:dyDescent="0.2">
      <c r="A3" s="429"/>
      <c r="B3" s="429"/>
      <c r="C3" s="429"/>
      <c r="D3" s="429"/>
      <c r="E3" s="430"/>
      <c r="F3" s="428"/>
      <c r="G3" s="430"/>
      <c r="H3" s="430"/>
      <c r="I3" s="430"/>
      <c r="J3" s="430"/>
      <c r="K3" s="430"/>
      <c r="L3" s="430"/>
      <c r="M3" s="430"/>
      <c r="N3" s="430"/>
      <c r="O3" s="852"/>
      <c r="P3" s="855"/>
      <c r="Q3" s="95"/>
    </row>
    <row r="4" spans="1:18" ht="45.75" hidden="1" x14ac:dyDescent="0.2">
      <c r="A4" s="429"/>
      <c r="B4" s="429"/>
      <c r="C4" s="429"/>
      <c r="D4" s="429"/>
      <c r="E4" s="430"/>
      <c r="F4" s="428"/>
      <c r="G4" s="430"/>
      <c r="H4" s="430"/>
      <c r="I4" s="430"/>
      <c r="J4" s="430"/>
      <c r="K4" s="430"/>
      <c r="L4" s="430"/>
      <c r="M4" s="430"/>
      <c r="N4" s="430"/>
      <c r="O4" s="429"/>
      <c r="P4" s="428"/>
      <c r="Q4" s="95"/>
    </row>
    <row r="5" spans="1:18" ht="45" x14ac:dyDescent="0.2">
      <c r="A5" s="856" t="s">
        <v>574</v>
      </c>
      <c r="B5" s="856"/>
      <c r="C5" s="856"/>
      <c r="D5" s="856"/>
      <c r="E5" s="856"/>
      <c r="F5" s="856"/>
      <c r="G5" s="856"/>
      <c r="H5" s="856"/>
      <c r="I5" s="856"/>
      <c r="J5" s="856"/>
      <c r="K5" s="856"/>
      <c r="L5" s="856"/>
      <c r="M5" s="856"/>
      <c r="N5" s="856"/>
      <c r="O5" s="856"/>
      <c r="P5" s="856"/>
      <c r="Q5" s="95"/>
    </row>
    <row r="6" spans="1:18" ht="45" x14ac:dyDescent="0.2">
      <c r="A6" s="856" t="s">
        <v>1320</v>
      </c>
      <c r="B6" s="856"/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6"/>
      <c r="N6" s="856"/>
      <c r="O6" s="856"/>
      <c r="P6" s="856"/>
      <c r="Q6" s="95"/>
    </row>
    <row r="7" spans="1:18" ht="45" x14ac:dyDescent="0.2">
      <c r="A7" s="430"/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95"/>
    </row>
    <row r="8" spans="1:18" ht="45.75" x14ac:dyDescent="0.65">
      <c r="A8" s="857">
        <v>2256400000</v>
      </c>
      <c r="B8" s="858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15"/>
    </row>
    <row r="9" spans="1:18" ht="45.75" x14ac:dyDescent="0.2">
      <c r="A9" s="862" t="s">
        <v>497</v>
      </c>
      <c r="B9" s="863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15"/>
    </row>
    <row r="10" spans="1:18" ht="53.45" customHeight="1" thickBot="1" x14ac:dyDescent="0.25">
      <c r="A10" s="430"/>
      <c r="B10" s="430"/>
      <c r="C10" s="430"/>
      <c r="D10" s="430"/>
      <c r="E10" s="430"/>
      <c r="F10" s="428"/>
      <c r="G10" s="430"/>
      <c r="H10" s="430"/>
      <c r="I10" s="430"/>
      <c r="J10" s="430"/>
      <c r="K10" s="430"/>
      <c r="L10" s="430"/>
      <c r="M10" s="430"/>
      <c r="N10" s="430"/>
      <c r="O10" s="430"/>
      <c r="P10" s="407" t="s">
        <v>410</v>
      </c>
      <c r="Q10" s="15"/>
    </row>
    <row r="11" spans="1:18" ht="62.45" customHeight="1" thickTop="1" thickBot="1" x14ac:dyDescent="0.25">
      <c r="A11" s="861" t="s">
        <v>498</v>
      </c>
      <c r="B11" s="861" t="s">
        <v>499</v>
      </c>
      <c r="C11" s="861" t="s">
        <v>396</v>
      </c>
      <c r="D11" s="861" t="s">
        <v>582</v>
      </c>
      <c r="E11" s="859" t="s">
        <v>12</v>
      </c>
      <c r="F11" s="859"/>
      <c r="G11" s="859"/>
      <c r="H11" s="859"/>
      <c r="I11" s="859"/>
      <c r="J11" s="859" t="s">
        <v>52</v>
      </c>
      <c r="K11" s="859"/>
      <c r="L11" s="859"/>
      <c r="M11" s="859"/>
      <c r="N11" s="859"/>
      <c r="O11" s="860"/>
      <c r="P11" s="859" t="s">
        <v>11</v>
      </c>
      <c r="Q11" s="22"/>
    </row>
    <row r="12" spans="1:18" ht="96" customHeight="1" thickTop="1" thickBot="1" x14ac:dyDescent="0.25">
      <c r="A12" s="859"/>
      <c r="B12" s="864"/>
      <c r="C12" s="864"/>
      <c r="D12" s="859"/>
      <c r="E12" s="861" t="s">
        <v>390</v>
      </c>
      <c r="F12" s="861" t="s">
        <v>53</v>
      </c>
      <c r="G12" s="861" t="s">
        <v>13</v>
      </c>
      <c r="H12" s="861"/>
      <c r="I12" s="861" t="s">
        <v>55</v>
      </c>
      <c r="J12" s="861" t="s">
        <v>390</v>
      </c>
      <c r="K12" s="861" t="s">
        <v>391</v>
      </c>
      <c r="L12" s="861" t="s">
        <v>53</v>
      </c>
      <c r="M12" s="861" t="s">
        <v>13</v>
      </c>
      <c r="N12" s="861"/>
      <c r="O12" s="861" t="s">
        <v>55</v>
      </c>
      <c r="P12" s="859"/>
      <c r="Q12" s="22"/>
    </row>
    <row r="13" spans="1:18" ht="328.7" customHeight="1" thickTop="1" thickBot="1" x14ac:dyDescent="0.25">
      <c r="A13" s="864"/>
      <c r="B13" s="864"/>
      <c r="C13" s="864"/>
      <c r="D13" s="864"/>
      <c r="E13" s="861"/>
      <c r="F13" s="861"/>
      <c r="G13" s="408" t="s">
        <v>54</v>
      </c>
      <c r="H13" s="408" t="s">
        <v>15</v>
      </c>
      <c r="I13" s="861"/>
      <c r="J13" s="861"/>
      <c r="K13" s="861"/>
      <c r="L13" s="861"/>
      <c r="M13" s="408" t="s">
        <v>54</v>
      </c>
      <c r="N13" s="408" t="s">
        <v>15</v>
      </c>
      <c r="O13" s="861"/>
      <c r="P13" s="859"/>
      <c r="Q13" s="22"/>
    </row>
    <row r="14" spans="1:18" s="26" customFormat="1" ht="47.25" thickTop="1" thickBot="1" x14ac:dyDescent="0.25">
      <c r="A14" s="397" t="s">
        <v>2</v>
      </c>
      <c r="B14" s="397" t="s">
        <v>3</v>
      </c>
      <c r="C14" s="397" t="s">
        <v>14</v>
      </c>
      <c r="D14" s="397" t="s">
        <v>5</v>
      </c>
      <c r="E14" s="397" t="s">
        <v>398</v>
      </c>
      <c r="F14" s="397" t="s">
        <v>399</v>
      </c>
      <c r="G14" s="397" t="s">
        <v>400</v>
      </c>
      <c r="H14" s="397" t="s">
        <v>401</v>
      </c>
      <c r="I14" s="397" t="s">
        <v>402</v>
      </c>
      <c r="J14" s="397" t="s">
        <v>403</v>
      </c>
      <c r="K14" s="397" t="s">
        <v>404</v>
      </c>
      <c r="L14" s="397" t="s">
        <v>405</v>
      </c>
      <c r="M14" s="397" t="s">
        <v>406</v>
      </c>
      <c r="N14" s="397" t="s">
        <v>407</v>
      </c>
      <c r="O14" s="397" t="s">
        <v>408</v>
      </c>
      <c r="P14" s="397" t="s">
        <v>409</v>
      </c>
      <c r="Q14" s="163"/>
      <c r="R14" s="25"/>
    </row>
    <row r="15" spans="1:18" s="26" customFormat="1" ht="136.5" thickTop="1" thickBot="1" x14ac:dyDescent="0.25">
      <c r="A15" s="472" t="s">
        <v>149</v>
      </c>
      <c r="B15" s="472"/>
      <c r="C15" s="472"/>
      <c r="D15" s="473" t="s">
        <v>151</v>
      </c>
      <c r="E15" s="475">
        <f>E16</f>
        <v>278076688.48000002</v>
      </c>
      <c r="F15" s="474">
        <f t="shared" ref="F15:N15" si="0">F16</f>
        <v>278076688.48000002</v>
      </c>
      <c r="G15" s="474">
        <f t="shared" si="0"/>
        <v>97820900</v>
      </c>
      <c r="H15" s="474">
        <f t="shared" si="0"/>
        <v>7110100</v>
      </c>
      <c r="I15" s="474">
        <f t="shared" si="0"/>
        <v>0</v>
      </c>
      <c r="J15" s="475">
        <f t="shared" si="0"/>
        <v>58863680.210000001</v>
      </c>
      <c r="K15" s="474">
        <f t="shared" si="0"/>
        <v>55106042</v>
      </c>
      <c r="L15" s="474">
        <f t="shared" si="0"/>
        <v>3357638.209999999</v>
      </c>
      <c r="M15" s="474">
        <f t="shared" si="0"/>
        <v>0</v>
      </c>
      <c r="N15" s="474">
        <f t="shared" si="0"/>
        <v>0</v>
      </c>
      <c r="O15" s="475">
        <f>O16</f>
        <v>55506042</v>
      </c>
      <c r="P15" s="474">
        <f t="shared" ref="P15" si="1">P16</f>
        <v>336940368.69</v>
      </c>
      <c r="Q15" s="27"/>
      <c r="R15" s="27"/>
    </row>
    <row r="16" spans="1:18" s="26" customFormat="1" ht="181.5" thickTop="1" thickBot="1" x14ac:dyDescent="0.25">
      <c r="A16" s="476" t="s">
        <v>150</v>
      </c>
      <c r="B16" s="476"/>
      <c r="C16" s="476"/>
      <c r="D16" s="477" t="s">
        <v>152</v>
      </c>
      <c r="E16" s="478">
        <f>E17+E22+E32+E38</f>
        <v>278076688.48000002</v>
      </c>
      <c r="F16" s="478">
        <f>F17+F22+F32+F38</f>
        <v>278076688.48000002</v>
      </c>
      <c r="G16" s="478">
        <f>G17+G22+G32+G38</f>
        <v>97820900</v>
      </c>
      <c r="H16" s="478">
        <f>H17+H22+H32+H38</f>
        <v>7110100</v>
      </c>
      <c r="I16" s="478">
        <f>I17+I22+I32+I38</f>
        <v>0</v>
      </c>
      <c r="J16" s="478">
        <f>L16+O16</f>
        <v>58863680.210000001</v>
      </c>
      <c r="K16" s="478">
        <f>K17+K22+K32+K38</f>
        <v>55106042</v>
      </c>
      <c r="L16" s="478">
        <f>L17+L22+L32+L38</f>
        <v>3357638.209999999</v>
      </c>
      <c r="M16" s="478">
        <f>M17+M22+M32+M38</f>
        <v>0</v>
      </c>
      <c r="N16" s="478">
        <f>N17+N22+N32+N38</f>
        <v>0</v>
      </c>
      <c r="O16" s="478">
        <f>O17+O22+O32+O38</f>
        <v>55506042</v>
      </c>
      <c r="P16" s="478">
        <f>E16+J16</f>
        <v>336940368.69</v>
      </c>
      <c r="Q16" s="471" t="b">
        <f>P16=P18+P20+P21+P24+P27+P29+P31+P34+P35+P37+P40+P41+P42</f>
        <v>1</v>
      </c>
      <c r="R16" s="28"/>
    </row>
    <row r="17" spans="1:18" s="30" customFormat="1" ht="47.25" thickTop="1" thickBot="1" x14ac:dyDescent="0.25">
      <c r="A17" s="397" t="s">
        <v>695</v>
      </c>
      <c r="B17" s="397" t="s">
        <v>696</v>
      </c>
      <c r="C17" s="397"/>
      <c r="D17" s="397" t="s">
        <v>697</v>
      </c>
      <c r="E17" s="686">
        <f>SUM(E18:E21)</f>
        <v>227753121</v>
      </c>
      <c r="F17" s="686">
        <f>SUM(F18:F21)</f>
        <v>227753121</v>
      </c>
      <c r="G17" s="686">
        <f t="shared" ref="G17:P17" si="2">SUM(G18:G21)</f>
        <v>97820900</v>
      </c>
      <c r="H17" s="686">
        <f t="shared" si="2"/>
        <v>7110100</v>
      </c>
      <c r="I17" s="686">
        <f t="shared" si="2"/>
        <v>0</v>
      </c>
      <c r="J17" s="686">
        <f t="shared" si="2"/>
        <v>4135522</v>
      </c>
      <c r="K17" s="458">
        <f t="shared" si="2"/>
        <v>4135522</v>
      </c>
      <c r="L17" s="458">
        <f t="shared" si="2"/>
        <v>0</v>
      </c>
      <c r="M17" s="458">
        <f t="shared" si="2"/>
        <v>0</v>
      </c>
      <c r="N17" s="458">
        <f t="shared" si="2"/>
        <v>0</v>
      </c>
      <c r="O17" s="458">
        <f t="shared" si="2"/>
        <v>4135522</v>
      </c>
      <c r="P17" s="458">
        <f t="shared" si="2"/>
        <v>231888643</v>
      </c>
      <c r="Q17" s="33"/>
      <c r="R17" s="29"/>
    </row>
    <row r="18" spans="1:18" ht="367.5" thickTop="1" thickBot="1" x14ac:dyDescent="0.25">
      <c r="A18" s="457" t="s">
        <v>237</v>
      </c>
      <c r="B18" s="457" t="s">
        <v>238</v>
      </c>
      <c r="C18" s="457" t="s">
        <v>239</v>
      </c>
      <c r="D18" s="457" t="s">
        <v>236</v>
      </c>
      <c r="E18" s="686">
        <f t="shared" ref="E18:E40" si="3">F18</f>
        <v>136330453</v>
      </c>
      <c r="F18" s="453">
        <f>(135815958)+13895+600+500000</f>
        <v>136330453</v>
      </c>
      <c r="G18" s="453">
        <v>97820900</v>
      </c>
      <c r="H18" s="453">
        <f>3400000+149000+3021200+420900+119000</f>
        <v>7110100</v>
      </c>
      <c r="I18" s="453"/>
      <c r="J18" s="686">
        <f t="shared" ref="J18:J27" si="4">L18+O18</f>
        <v>4135522</v>
      </c>
      <c r="K18" s="453">
        <f>(2000000)+2135522</f>
        <v>4135522</v>
      </c>
      <c r="L18" s="454"/>
      <c r="M18" s="463"/>
      <c r="N18" s="463"/>
      <c r="O18" s="402">
        <f t="shared" ref="O18:O27" si="5">K18</f>
        <v>4135522</v>
      </c>
      <c r="P18" s="458">
        <f>+J18+E18</f>
        <v>140465975</v>
      </c>
      <c r="Q18" s="176"/>
      <c r="R18" s="31"/>
    </row>
    <row r="19" spans="1:18" ht="230.25" hidden="1" thickTop="1" thickBot="1" x14ac:dyDescent="0.25">
      <c r="A19" s="171" t="s">
        <v>593</v>
      </c>
      <c r="B19" s="171" t="s">
        <v>241</v>
      </c>
      <c r="C19" s="171" t="s">
        <v>239</v>
      </c>
      <c r="D19" s="171" t="s">
        <v>240</v>
      </c>
      <c r="E19" s="684">
        <f t="shared" ref="E19" si="6">F19</f>
        <v>0</v>
      </c>
      <c r="F19" s="172"/>
      <c r="G19" s="172"/>
      <c r="H19" s="172"/>
      <c r="I19" s="172"/>
      <c r="J19" s="684">
        <f t="shared" ref="J19" si="7">L19+O19</f>
        <v>0</v>
      </c>
      <c r="K19" s="172"/>
      <c r="L19" s="173"/>
      <c r="M19" s="174"/>
      <c r="N19" s="174"/>
      <c r="O19" s="175">
        <f t="shared" si="5"/>
        <v>0</v>
      </c>
      <c r="P19" s="170">
        <f>+J19+E19</f>
        <v>0</v>
      </c>
      <c r="Q19" s="176"/>
      <c r="R19" s="31"/>
    </row>
    <row r="20" spans="1:18" ht="184.5" thickTop="1" thickBot="1" x14ac:dyDescent="0.25">
      <c r="A20" s="457" t="s">
        <v>636</v>
      </c>
      <c r="B20" s="457" t="s">
        <v>368</v>
      </c>
      <c r="C20" s="457" t="s">
        <v>637</v>
      </c>
      <c r="D20" s="457" t="s">
        <v>638</v>
      </c>
      <c r="E20" s="686">
        <f t="shared" ref="E20" si="8">F20</f>
        <v>53400</v>
      </c>
      <c r="F20" s="453">
        <f>(49000)+4400</f>
        <v>53400</v>
      </c>
      <c r="G20" s="453"/>
      <c r="H20" s="453"/>
      <c r="I20" s="453"/>
      <c r="J20" s="686">
        <f t="shared" ref="J20" si="9">L20+O20</f>
        <v>0</v>
      </c>
      <c r="K20" s="453"/>
      <c r="L20" s="454"/>
      <c r="M20" s="463"/>
      <c r="N20" s="463"/>
      <c r="O20" s="402">
        <f t="shared" si="5"/>
        <v>0</v>
      </c>
      <c r="P20" s="458">
        <f>+J20+E20</f>
        <v>53400</v>
      </c>
      <c r="Q20" s="176"/>
      <c r="R20" s="32"/>
    </row>
    <row r="21" spans="1:18" ht="93" thickTop="1" thickBot="1" x14ac:dyDescent="0.25">
      <c r="A21" s="457" t="s">
        <v>252</v>
      </c>
      <c r="B21" s="457" t="s">
        <v>43</v>
      </c>
      <c r="C21" s="457" t="s">
        <v>42</v>
      </c>
      <c r="D21" s="457" t="s">
        <v>253</v>
      </c>
      <c r="E21" s="686">
        <f t="shared" si="3"/>
        <v>91369268</v>
      </c>
      <c r="F21" s="401">
        <f>((26700470+20000000+10000000)-17307000-5864000)+107839798-50000000</f>
        <v>91369268</v>
      </c>
      <c r="G21" s="401"/>
      <c r="H21" s="401"/>
      <c r="I21" s="401"/>
      <c r="J21" s="686">
        <f t="shared" si="4"/>
        <v>0</v>
      </c>
      <c r="K21" s="401"/>
      <c r="L21" s="401"/>
      <c r="M21" s="401"/>
      <c r="N21" s="401"/>
      <c r="O21" s="402">
        <f t="shared" si="5"/>
        <v>0</v>
      </c>
      <c r="P21" s="458">
        <f>E21+J21</f>
        <v>91369268</v>
      </c>
      <c r="Q21" s="176"/>
      <c r="R21" s="32"/>
    </row>
    <row r="22" spans="1:18" s="30" customFormat="1" ht="47.25" thickTop="1" thickBot="1" x14ac:dyDescent="0.3">
      <c r="A22" s="397" t="s">
        <v>759</v>
      </c>
      <c r="B22" s="397" t="s">
        <v>760</v>
      </c>
      <c r="C22" s="397"/>
      <c r="D22" s="397" t="s">
        <v>761</v>
      </c>
      <c r="E22" s="686">
        <f t="shared" ref="E22:P22" si="10">SUM(E23:E31)-E23-E26-E28</f>
        <v>7577809.4800000004</v>
      </c>
      <c r="F22" s="686">
        <f t="shared" si="10"/>
        <v>7577809.4800000004</v>
      </c>
      <c r="G22" s="686">
        <f t="shared" si="10"/>
        <v>0</v>
      </c>
      <c r="H22" s="686">
        <f t="shared" si="10"/>
        <v>0</v>
      </c>
      <c r="I22" s="686">
        <f t="shared" si="10"/>
        <v>0</v>
      </c>
      <c r="J22" s="686">
        <f t="shared" si="10"/>
        <v>5437638.2099999981</v>
      </c>
      <c r="K22" s="458">
        <f t="shared" si="10"/>
        <v>1680000</v>
      </c>
      <c r="L22" s="458">
        <f t="shared" si="10"/>
        <v>3357638.209999999</v>
      </c>
      <c r="M22" s="458">
        <f t="shared" si="10"/>
        <v>0</v>
      </c>
      <c r="N22" s="458">
        <f t="shared" si="10"/>
        <v>0</v>
      </c>
      <c r="O22" s="458">
        <f t="shared" si="10"/>
        <v>2080000</v>
      </c>
      <c r="P22" s="458">
        <f t="shared" si="10"/>
        <v>13015447.690000001</v>
      </c>
      <c r="Q22" s="178"/>
      <c r="R22" s="33"/>
    </row>
    <row r="23" spans="1:18" s="35" customFormat="1" ht="91.5" thickTop="1" thickBot="1" x14ac:dyDescent="0.25">
      <c r="A23" s="399" t="s">
        <v>698</v>
      </c>
      <c r="B23" s="399" t="s">
        <v>699</v>
      </c>
      <c r="C23" s="399"/>
      <c r="D23" s="399" t="s">
        <v>700</v>
      </c>
      <c r="E23" s="403">
        <f t="shared" ref="E23:P23" si="11">SUM(E24:E25)</f>
        <v>5028364.9800000004</v>
      </c>
      <c r="F23" s="403">
        <f t="shared" si="11"/>
        <v>5028364.9800000004</v>
      </c>
      <c r="G23" s="403">
        <f t="shared" si="11"/>
        <v>0</v>
      </c>
      <c r="H23" s="403">
        <f t="shared" si="11"/>
        <v>0</v>
      </c>
      <c r="I23" s="403">
        <f t="shared" si="11"/>
        <v>0</v>
      </c>
      <c r="J23" s="403">
        <f t="shared" si="11"/>
        <v>1680000</v>
      </c>
      <c r="K23" s="403">
        <f t="shared" si="11"/>
        <v>1680000</v>
      </c>
      <c r="L23" s="403">
        <f t="shared" si="11"/>
        <v>0</v>
      </c>
      <c r="M23" s="403">
        <f t="shared" si="11"/>
        <v>0</v>
      </c>
      <c r="N23" s="403">
        <f t="shared" si="11"/>
        <v>0</v>
      </c>
      <c r="O23" s="403">
        <f t="shared" si="11"/>
        <v>1680000</v>
      </c>
      <c r="P23" s="403">
        <f t="shared" si="11"/>
        <v>6708364.9800000004</v>
      </c>
      <c r="Q23" s="181"/>
      <c r="R23" s="34"/>
    </row>
    <row r="24" spans="1:18" ht="93" thickTop="1" thickBot="1" x14ac:dyDescent="0.25">
      <c r="A24" s="457" t="s">
        <v>243</v>
      </c>
      <c r="B24" s="457" t="s">
        <v>244</v>
      </c>
      <c r="C24" s="457" t="s">
        <v>245</v>
      </c>
      <c r="D24" s="457" t="s">
        <v>242</v>
      </c>
      <c r="E24" s="686">
        <f t="shared" si="3"/>
        <v>5028364.9800000004</v>
      </c>
      <c r="F24" s="401">
        <f>(4937300)+91064.98</f>
        <v>5028364.9800000004</v>
      </c>
      <c r="G24" s="401"/>
      <c r="H24" s="401"/>
      <c r="I24" s="401"/>
      <c r="J24" s="686">
        <f t="shared" si="4"/>
        <v>1680000</v>
      </c>
      <c r="K24" s="401">
        <v>1680000</v>
      </c>
      <c r="L24" s="401"/>
      <c r="M24" s="401"/>
      <c r="N24" s="401"/>
      <c r="O24" s="402">
        <f t="shared" si="5"/>
        <v>1680000</v>
      </c>
      <c r="P24" s="458">
        <f>+J24+E24</f>
        <v>6708364.9800000004</v>
      </c>
      <c r="Q24" s="176"/>
      <c r="R24" s="31"/>
    </row>
    <row r="25" spans="1:18" ht="276" hidden="1" thickTop="1" thickBot="1" x14ac:dyDescent="0.25">
      <c r="A25" s="44" t="s">
        <v>996</v>
      </c>
      <c r="B25" s="44" t="s">
        <v>997</v>
      </c>
      <c r="C25" s="44" t="s">
        <v>245</v>
      </c>
      <c r="D25" s="44" t="s">
        <v>998</v>
      </c>
      <c r="E25" s="684">
        <f t="shared" si="3"/>
        <v>0</v>
      </c>
      <c r="F25" s="177">
        <v>0</v>
      </c>
      <c r="G25" s="177"/>
      <c r="H25" s="177"/>
      <c r="I25" s="177"/>
      <c r="J25" s="684">
        <f t="shared" si="4"/>
        <v>0</v>
      </c>
      <c r="K25" s="46"/>
      <c r="L25" s="46"/>
      <c r="M25" s="46"/>
      <c r="N25" s="46"/>
      <c r="O25" s="47"/>
      <c r="P25" s="45">
        <f>+J25+E25</f>
        <v>0</v>
      </c>
      <c r="Q25" s="176"/>
      <c r="R25" s="31"/>
    </row>
    <row r="26" spans="1:18" s="37" customFormat="1" ht="136.5" thickTop="1" thickBot="1" x14ac:dyDescent="0.25">
      <c r="A26" s="399" t="s">
        <v>702</v>
      </c>
      <c r="B26" s="399" t="s">
        <v>703</v>
      </c>
      <c r="C26" s="399"/>
      <c r="D26" s="399" t="s">
        <v>701</v>
      </c>
      <c r="E26" s="403">
        <f>SUM(E27)+E28</f>
        <v>2549444.5</v>
      </c>
      <c r="F26" s="403">
        <f t="shared" ref="F26:P26" si="12">SUM(F27)+F28</f>
        <v>2549444.5</v>
      </c>
      <c r="G26" s="403">
        <f t="shared" si="12"/>
        <v>0</v>
      </c>
      <c r="H26" s="403">
        <f t="shared" si="12"/>
        <v>0</v>
      </c>
      <c r="I26" s="403">
        <f t="shared" si="12"/>
        <v>0</v>
      </c>
      <c r="J26" s="403">
        <f t="shared" si="12"/>
        <v>3757638.21</v>
      </c>
      <c r="K26" s="403">
        <f t="shared" si="12"/>
        <v>0</v>
      </c>
      <c r="L26" s="403">
        <f t="shared" si="12"/>
        <v>3357638.21</v>
      </c>
      <c r="M26" s="403">
        <f t="shared" si="12"/>
        <v>0</v>
      </c>
      <c r="N26" s="403">
        <f t="shared" si="12"/>
        <v>0</v>
      </c>
      <c r="O26" s="403">
        <f t="shared" si="12"/>
        <v>400000</v>
      </c>
      <c r="P26" s="403">
        <f t="shared" si="12"/>
        <v>6307082.71</v>
      </c>
      <c r="Q26" s="182"/>
      <c r="R26" s="36"/>
    </row>
    <row r="27" spans="1:18" ht="138.75" thickTop="1" thickBot="1" x14ac:dyDescent="0.25">
      <c r="A27" s="457" t="s">
        <v>305</v>
      </c>
      <c r="B27" s="457" t="s">
        <v>306</v>
      </c>
      <c r="C27" s="457" t="s">
        <v>171</v>
      </c>
      <c r="D27" s="457" t="s">
        <v>448</v>
      </c>
      <c r="E27" s="686">
        <f t="shared" si="3"/>
        <v>341770.5</v>
      </c>
      <c r="F27" s="401">
        <f>(292900)+48870.5</f>
        <v>341770.5</v>
      </c>
      <c r="G27" s="401"/>
      <c r="H27" s="401"/>
      <c r="I27" s="401"/>
      <c r="J27" s="686">
        <f t="shared" si="4"/>
        <v>0</v>
      </c>
      <c r="K27" s="401"/>
      <c r="L27" s="401"/>
      <c r="M27" s="401"/>
      <c r="N27" s="401"/>
      <c r="O27" s="402">
        <f t="shared" si="5"/>
        <v>0</v>
      </c>
      <c r="P27" s="458">
        <f>+J27+E27</f>
        <v>341770.5</v>
      </c>
      <c r="Q27" s="176"/>
      <c r="R27" s="32"/>
    </row>
    <row r="28" spans="1:18" s="37" customFormat="1" ht="48" thickTop="1" thickBot="1" x14ac:dyDescent="0.25">
      <c r="A28" s="467" t="s">
        <v>705</v>
      </c>
      <c r="B28" s="467" t="s">
        <v>706</v>
      </c>
      <c r="C28" s="467"/>
      <c r="D28" s="468" t="s">
        <v>704</v>
      </c>
      <c r="E28" s="452">
        <f>SUM(E29:E31)</f>
        <v>2207674</v>
      </c>
      <c r="F28" s="452">
        <f t="shared" ref="F28:O28" si="13">SUM(F29:F31)</f>
        <v>2207674</v>
      </c>
      <c r="G28" s="452">
        <f t="shared" si="13"/>
        <v>0</v>
      </c>
      <c r="H28" s="452">
        <f t="shared" si="13"/>
        <v>0</v>
      </c>
      <c r="I28" s="452">
        <f t="shared" si="13"/>
        <v>0</v>
      </c>
      <c r="J28" s="452">
        <f t="shared" si="13"/>
        <v>3757638.21</v>
      </c>
      <c r="K28" s="452">
        <f t="shared" si="13"/>
        <v>0</v>
      </c>
      <c r="L28" s="452">
        <f t="shared" si="13"/>
        <v>3357638.21</v>
      </c>
      <c r="M28" s="452">
        <f t="shared" si="13"/>
        <v>0</v>
      </c>
      <c r="N28" s="452">
        <f t="shared" si="13"/>
        <v>0</v>
      </c>
      <c r="O28" s="452">
        <f t="shared" si="13"/>
        <v>400000</v>
      </c>
      <c r="P28" s="452">
        <f>E28+J28</f>
        <v>5965312.21</v>
      </c>
      <c r="Q28" s="182"/>
      <c r="R28" s="38"/>
    </row>
    <row r="29" spans="1:18" s="35" customFormat="1" ht="361.5" customHeight="1" thickTop="1" thickBot="1" x14ac:dyDescent="0.7">
      <c r="A29" s="845" t="s">
        <v>345</v>
      </c>
      <c r="B29" s="845" t="s">
        <v>344</v>
      </c>
      <c r="C29" s="845" t="s">
        <v>171</v>
      </c>
      <c r="D29" s="86" t="s">
        <v>446</v>
      </c>
      <c r="E29" s="872">
        <f t="shared" si="3"/>
        <v>0</v>
      </c>
      <c r="F29" s="843"/>
      <c r="G29" s="843"/>
      <c r="H29" s="843"/>
      <c r="I29" s="843"/>
      <c r="J29" s="820">
        <f>L29+O29</f>
        <v>3757638.21</v>
      </c>
      <c r="K29" s="843"/>
      <c r="L29" s="843">
        <f>(919800+166000+357900+1407000)+6360+500578.21</f>
        <v>3357638.21</v>
      </c>
      <c r="M29" s="843"/>
      <c r="N29" s="843"/>
      <c r="O29" s="868">
        <f>(100000)+300000</f>
        <v>400000</v>
      </c>
      <c r="P29" s="870">
        <f>E29+J29</f>
        <v>3757638.21</v>
      </c>
      <c r="Q29" s="186"/>
      <c r="R29" s="39"/>
    </row>
    <row r="30" spans="1:18" s="35" customFormat="1" ht="184.5" thickTop="1" thickBot="1" x14ac:dyDescent="0.25">
      <c r="A30" s="847"/>
      <c r="B30" s="846"/>
      <c r="C30" s="847"/>
      <c r="D30" s="87" t="s">
        <v>447</v>
      </c>
      <c r="E30" s="847"/>
      <c r="F30" s="844"/>
      <c r="G30" s="844"/>
      <c r="H30" s="844"/>
      <c r="I30" s="844"/>
      <c r="J30" s="873"/>
      <c r="K30" s="844"/>
      <c r="L30" s="844"/>
      <c r="M30" s="844"/>
      <c r="N30" s="844"/>
      <c r="O30" s="869"/>
      <c r="P30" s="871"/>
      <c r="Q30" s="39"/>
      <c r="R30" s="39"/>
    </row>
    <row r="31" spans="1:18" s="35" customFormat="1" ht="93" thickTop="1" thickBot="1" x14ac:dyDescent="0.25">
      <c r="A31" s="457" t="s">
        <v>930</v>
      </c>
      <c r="B31" s="457" t="s">
        <v>262</v>
      </c>
      <c r="C31" s="457" t="s">
        <v>171</v>
      </c>
      <c r="D31" s="457" t="s">
        <v>260</v>
      </c>
      <c r="E31" s="686">
        <f>F31</f>
        <v>2207674</v>
      </c>
      <c r="F31" s="401">
        <v>2207674</v>
      </c>
      <c r="G31" s="401"/>
      <c r="H31" s="401"/>
      <c r="I31" s="401"/>
      <c r="J31" s="686">
        <f>L31+O31</f>
        <v>0</v>
      </c>
      <c r="K31" s="401"/>
      <c r="L31" s="401"/>
      <c r="M31" s="401"/>
      <c r="N31" s="401"/>
      <c r="O31" s="402"/>
      <c r="P31" s="458">
        <f>E31+J31</f>
        <v>2207674</v>
      </c>
      <c r="Q31" s="39"/>
      <c r="R31" s="39"/>
    </row>
    <row r="32" spans="1:18" s="35" customFormat="1" ht="46.5" customHeight="1" thickTop="1" thickBot="1" x14ac:dyDescent="0.25">
      <c r="A32" s="397" t="s">
        <v>707</v>
      </c>
      <c r="B32" s="397" t="s">
        <v>708</v>
      </c>
      <c r="C32" s="397"/>
      <c r="D32" s="397" t="s">
        <v>709</v>
      </c>
      <c r="E32" s="686">
        <f t="shared" ref="E32:P32" si="14">E36+E33</f>
        <v>16571546</v>
      </c>
      <c r="F32" s="686">
        <f t="shared" si="14"/>
        <v>16571546</v>
      </c>
      <c r="G32" s="686">
        <f t="shared" si="14"/>
        <v>0</v>
      </c>
      <c r="H32" s="686">
        <f t="shared" si="14"/>
        <v>0</v>
      </c>
      <c r="I32" s="686">
        <f t="shared" si="14"/>
        <v>0</v>
      </c>
      <c r="J32" s="686">
        <f t="shared" si="14"/>
        <v>3500000</v>
      </c>
      <c r="K32" s="458">
        <f t="shared" si="14"/>
        <v>3500000</v>
      </c>
      <c r="L32" s="458">
        <f t="shared" si="14"/>
        <v>0</v>
      </c>
      <c r="M32" s="458">
        <f t="shared" si="14"/>
        <v>0</v>
      </c>
      <c r="N32" s="458">
        <f t="shared" si="14"/>
        <v>0</v>
      </c>
      <c r="O32" s="458">
        <f t="shared" si="14"/>
        <v>3500000</v>
      </c>
      <c r="P32" s="458">
        <f t="shared" si="14"/>
        <v>20071546</v>
      </c>
      <c r="Q32" s="39"/>
      <c r="R32" s="39"/>
    </row>
    <row r="33" spans="1:20" s="35" customFormat="1" ht="103.5" customHeight="1" thickTop="1" thickBot="1" x14ac:dyDescent="0.25">
      <c r="A33" s="399" t="s">
        <v>1236</v>
      </c>
      <c r="B33" s="399" t="s">
        <v>1237</v>
      </c>
      <c r="C33" s="399"/>
      <c r="D33" s="399" t="s">
        <v>1235</v>
      </c>
      <c r="E33" s="403">
        <f t="shared" ref="E33:P33" si="15">SUM(E34:E35)</f>
        <v>9071546</v>
      </c>
      <c r="F33" s="403">
        <f t="shared" si="15"/>
        <v>9071546</v>
      </c>
      <c r="G33" s="403">
        <f t="shared" si="15"/>
        <v>0</v>
      </c>
      <c r="H33" s="403">
        <f t="shared" si="15"/>
        <v>0</v>
      </c>
      <c r="I33" s="403">
        <f t="shared" si="15"/>
        <v>0</v>
      </c>
      <c r="J33" s="403">
        <f t="shared" si="15"/>
        <v>3500000</v>
      </c>
      <c r="K33" s="403">
        <f t="shared" si="15"/>
        <v>3500000</v>
      </c>
      <c r="L33" s="403">
        <f t="shared" si="15"/>
        <v>0</v>
      </c>
      <c r="M33" s="403">
        <f t="shared" si="15"/>
        <v>0</v>
      </c>
      <c r="N33" s="403">
        <f t="shared" si="15"/>
        <v>0</v>
      </c>
      <c r="O33" s="403">
        <f t="shared" si="15"/>
        <v>3500000</v>
      </c>
      <c r="P33" s="403">
        <f t="shared" si="15"/>
        <v>12571546</v>
      </c>
      <c r="Q33" s="39"/>
      <c r="R33" s="39"/>
    </row>
    <row r="34" spans="1:20" s="35" customFormat="1" ht="103.5" customHeight="1" thickTop="1" thickBot="1" x14ac:dyDescent="0.25">
      <c r="A34" s="457" t="s">
        <v>1264</v>
      </c>
      <c r="B34" s="457" t="s">
        <v>1265</v>
      </c>
      <c r="C34" s="457" t="s">
        <v>1239</v>
      </c>
      <c r="D34" s="457" t="s">
        <v>1266</v>
      </c>
      <c r="E34" s="686">
        <f>F34</f>
        <v>600000</v>
      </c>
      <c r="F34" s="401">
        <f>(600000)</f>
        <v>600000</v>
      </c>
      <c r="G34" s="401"/>
      <c r="H34" s="401"/>
      <c r="I34" s="401"/>
      <c r="J34" s="686">
        <f>L34+O34</f>
        <v>400000</v>
      </c>
      <c r="K34" s="401">
        <v>400000</v>
      </c>
      <c r="L34" s="401"/>
      <c r="M34" s="401"/>
      <c r="N34" s="401"/>
      <c r="O34" s="402">
        <f>K34</f>
        <v>400000</v>
      </c>
      <c r="P34" s="458">
        <f>E34+J34</f>
        <v>1000000</v>
      </c>
      <c r="Q34" s="39"/>
      <c r="R34" s="39"/>
    </row>
    <row r="35" spans="1:20" s="35" customFormat="1" ht="93" thickTop="1" thickBot="1" x14ac:dyDescent="0.25">
      <c r="A35" s="457" t="s">
        <v>1240</v>
      </c>
      <c r="B35" s="457" t="s">
        <v>1241</v>
      </c>
      <c r="C35" s="457" t="s">
        <v>1239</v>
      </c>
      <c r="D35" s="457" t="s">
        <v>1238</v>
      </c>
      <c r="E35" s="686">
        <f>F35</f>
        <v>8471546</v>
      </c>
      <c r="F35" s="401">
        <v>8471546</v>
      </c>
      <c r="G35" s="401"/>
      <c r="H35" s="401"/>
      <c r="I35" s="401"/>
      <c r="J35" s="686">
        <f>L35+O35</f>
        <v>3100000</v>
      </c>
      <c r="K35" s="401">
        <f>(100000)+2500000+500000</f>
        <v>3100000</v>
      </c>
      <c r="L35" s="401"/>
      <c r="M35" s="401"/>
      <c r="N35" s="401"/>
      <c r="O35" s="402">
        <f>K35</f>
        <v>3100000</v>
      </c>
      <c r="P35" s="458">
        <f>E35+J35</f>
        <v>11571546</v>
      </c>
      <c r="Q35" s="39"/>
      <c r="R35" s="39"/>
    </row>
    <row r="36" spans="1:20" s="35" customFormat="1" ht="47.25" thickTop="1" thickBot="1" x14ac:dyDescent="0.25">
      <c r="A36" s="399" t="s">
        <v>710</v>
      </c>
      <c r="B36" s="399" t="s">
        <v>711</v>
      </c>
      <c r="C36" s="399"/>
      <c r="D36" s="399" t="s">
        <v>712</v>
      </c>
      <c r="E36" s="403">
        <f>SUM(E37)</f>
        <v>7500000</v>
      </c>
      <c r="F36" s="403">
        <f t="shared" ref="F36:P36" si="16">SUM(F37)</f>
        <v>7500000</v>
      </c>
      <c r="G36" s="403">
        <f t="shared" si="16"/>
        <v>0</v>
      </c>
      <c r="H36" s="403">
        <f t="shared" si="16"/>
        <v>0</v>
      </c>
      <c r="I36" s="403">
        <f t="shared" si="16"/>
        <v>0</v>
      </c>
      <c r="J36" s="403">
        <f t="shared" si="16"/>
        <v>0</v>
      </c>
      <c r="K36" s="403">
        <f t="shared" si="16"/>
        <v>0</v>
      </c>
      <c r="L36" s="403">
        <f t="shared" si="16"/>
        <v>0</v>
      </c>
      <c r="M36" s="403">
        <f t="shared" si="16"/>
        <v>0</v>
      </c>
      <c r="N36" s="403">
        <f t="shared" si="16"/>
        <v>0</v>
      </c>
      <c r="O36" s="403">
        <f t="shared" si="16"/>
        <v>0</v>
      </c>
      <c r="P36" s="403">
        <f t="shared" si="16"/>
        <v>7500000</v>
      </c>
      <c r="Q36" s="39"/>
    </row>
    <row r="37" spans="1:20" ht="93" thickTop="1" thickBot="1" x14ac:dyDescent="0.25">
      <c r="A37" s="457" t="s">
        <v>246</v>
      </c>
      <c r="B37" s="457" t="s">
        <v>247</v>
      </c>
      <c r="C37" s="457" t="s">
        <v>248</v>
      </c>
      <c r="D37" s="457" t="s">
        <v>249</v>
      </c>
      <c r="E37" s="686">
        <f>F37</f>
        <v>7500000</v>
      </c>
      <c r="F37" s="401">
        <v>7500000</v>
      </c>
      <c r="G37" s="401"/>
      <c r="H37" s="401"/>
      <c r="I37" s="401"/>
      <c r="J37" s="686">
        <f>L37+O37</f>
        <v>0</v>
      </c>
      <c r="K37" s="401"/>
      <c r="L37" s="401"/>
      <c r="M37" s="401"/>
      <c r="N37" s="401"/>
      <c r="O37" s="402">
        <f>K37</f>
        <v>0</v>
      </c>
      <c r="P37" s="458">
        <f>E37+J37</f>
        <v>7500000</v>
      </c>
      <c r="Q37" s="22"/>
    </row>
    <row r="38" spans="1:20" ht="47.25" thickTop="1" thickBot="1" x14ac:dyDescent="0.25">
      <c r="A38" s="397" t="s">
        <v>713</v>
      </c>
      <c r="B38" s="397" t="s">
        <v>714</v>
      </c>
      <c r="C38" s="397"/>
      <c r="D38" s="397" t="s">
        <v>715</v>
      </c>
      <c r="E38" s="686">
        <f t="shared" ref="E38:P38" si="17">E39+E42</f>
        <v>26174212</v>
      </c>
      <c r="F38" s="686">
        <f t="shared" si="17"/>
        <v>26174212</v>
      </c>
      <c r="G38" s="686">
        <f t="shared" si="17"/>
        <v>0</v>
      </c>
      <c r="H38" s="686">
        <f t="shared" si="17"/>
        <v>0</v>
      </c>
      <c r="I38" s="686">
        <f t="shared" si="17"/>
        <v>0</v>
      </c>
      <c r="J38" s="686">
        <f t="shared" si="17"/>
        <v>45790520</v>
      </c>
      <c r="K38" s="458">
        <f t="shared" si="17"/>
        <v>45790520</v>
      </c>
      <c r="L38" s="458">
        <f t="shared" si="17"/>
        <v>0</v>
      </c>
      <c r="M38" s="458">
        <f t="shared" si="17"/>
        <v>0</v>
      </c>
      <c r="N38" s="458">
        <f t="shared" si="17"/>
        <v>0</v>
      </c>
      <c r="O38" s="458">
        <f t="shared" si="17"/>
        <v>45790520</v>
      </c>
      <c r="P38" s="458">
        <f t="shared" si="17"/>
        <v>71964732</v>
      </c>
      <c r="Q38" s="22"/>
    </row>
    <row r="39" spans="1:20" s="35" customFormat="1" ht="271.5" thickTop="1" thickBot="1" x14ac:dyDescent="0.25">
      <c r="A39" s="399" t="s">
        <v>716</v>
      </c>
      <c r="B39" s="399" t="s">
        <v>717</v>
      </c>
      <c r="C39" s="399"/>
      <c r="D39" s="399" t="s">
        <v>718</v>
      </c>
      <c r="E39" s="403">
        <f>SUM(E40:E41)</f>
        <v>1312400</v>
      </c>
      <c r="F39" s="403">
        <f t="shared" ref="F39:P39" si="18">SUM(F40:F41)</f>
        <v>1312400</v>
      </c>
      <c r="G39" s="403">
        <f t="shared" si="18"/>
        <v>0</v>
      </c>
      <c r="H39" s="403">
        <f t="shared" si="18"/>
        <v>0</v>
      </c>
      <c r="I39" s="403">
        <f t="shared" si="18"/>
        <v>0</v>
      </c>
      <c r="J39" s="403">
        <f t="shared" si="18"/>
        <v>0</v>
      </c>
      <c r="K39" s="403">
        <f t="shared" si="18"/>
        <v>0</v>
      </c>
      <c r="L39" s="403">
        <f t="shared" si="18"/>
        <v>0</v>
      </c>
      <c r="M39" s="403">
        <f t="shared" si="18"/>
        <v>0</v>
      </c>
      <c r="N39" s="403">
        <f t="shared" si="18"/>
        <v>0</v>
      </c>
      <c r="O39" s="403">
        <f t="shared" si="18"/>
        <v>0</v>
      </c>
      <c r="P39" s="403">
        <f t="shared" si="18"/>
        <v>1312400</v>
      </c>
      <c r="Q39" s="39"/>
      <c r="R39" s="39"/>
    </row>
    <row r="40" spans="1:20" ht="321.75" thickTop="1" thickBot="1" x14ac:dyDescent="0.25">
      <c r="A40" s="457" t="s">
        <v>250</v>
      </c>
      <c r="B40" s="457" t="s">
        <v>251</v>
      </c>
      <c r="C40" s="457" t="s">
        <v>43</v>
      </c>
      <c r="D40" s="457" t="s">
        <v>449</v>
      </c>
      <c r="E40" s="458">
        <f t="shared" si="3"/>
        <v>1163700</v>
      </c>
      <c r="F40" s="401">
        <v>1163700</v>
      </c>
      <c r="G40" s="401"/>
      <c r="H40" s="401"/>
      <c r="I40" s="401"/>
      <c r="J40" s="458">
        <f>L40+O40</f>
        <v>0</v>
      </c>
      <c r="K40" s="401"/>
      <c r="L40" s="401"/>
      <c r="M40" s="401"/>
      <c r="N40" s="401"/>
      <c r="O40" s="402">
        <f>K40</f>
        <v>0</v>
      </c>
      <c r="P40" s="458">
        <f>E40+J40</f>
        <v>1163700</v>
      </c>
      <c r="Q40" s="22"/>
    </row>
    <row r="41" spans="1:20" ht="93" thickTop="1" thickBot="1" x14ac:dyDescent="0.25">
      <c r="A41" s="457" t="s">
        <v>584</v>
      </c>
      <c r="B41" s="457" t="s">
        <v>369</v>
      </c>
      <c r="C41" s="457" t="s">
        <v>43</v>
      </c>
      <c r="D41" s="457" t="s">
        <v>370</v>
      </c>
      <c r="E41" s="458">
        <f t="shared" ref="E41:E42" si="19">F41</f>
        <v>148700</v>
      </c>
      <c r="F41" s="401">
        <v>148700</v>
      </c>
      <c r="G41" s="401"/>
      <c r="H41" s="401"/>
      <c r="I41" s="401"/>
      <c r="J41" s="458">
        <f>L41+O41</f>
        <v>0</v>
      </c>
      <c r="K41" s="401">
        <f>(1000000)-1000000</f>
        <v>0</v>
      </c>
      <c r="L41" s="401"/>
      <c r="M41" s="401"/>
      <c r="N41" s="401"/>
      <c r="O41" s="402">
        <f>K41</f>
        <v>0</v>
      </c>
      <c r="P41" s="458">
        <f>E41+J41</f>
        <v>148700</v>
      </c>
      <c r="Q41" s="22"/>
    </row>
    <row r="42" spans="1:20" ht="271.5" thickTop="1" thickBot="1" x14ac:dyDescent="0.25">
      <c r="A42" s="399" t="s">
        <v>520</v>
      </c>
      <c r="B42" s="399" t="s">
        <v>521</v>
      </c>
      <c r="C42" s="399" t="s">
        <v>43</v>
      </c>
      <c r="D42" s="399" t="s">
        <v>522</v>
      </c>
      <c r="E42" s="403">
        <f t="shared" si="19"/>
        <v>24861812</v>
      </c>
      <c r="F42" s="403">
        <f>(10831000+415230+969000)+10811682+300000+1000000-86000+505900+115000</f>
        <v>24861812</v>
      </c>
      <c r="G42" s="403"/>
      <c r="H42" s="403"/>
      <c r="I42" s="403"/>
      <c r="J42" s="403">
        <f>L42+O42</f>
        <v>45790520</v>
      </c>
      <c r="K42" s="401">
        <f>(12286000+1300000+150000+4895000)+25598520+1400000+86000+75000</f>
        <v>45790520</v>
      </c>
      <c r="L42" s="403"/>
      <c r="M42" s="403"/>
      <c r="N42" s="403"/>
      <c r="O42" s="403">
        <f>K42</f>
        <v>45790520</v>
      </c>
      <c r="P42" s="403">
        <f>E42+J42</f>
        <v>70652332</v>
      </c>
      <c r="Q42" s="22"/>
      <c r="R42" s="28"/>
    </row>
    <row r="43" spans="1:20" ht="177.75" customHeight="1" thickTop="1" thickBot="1" x14ac:dyDescent="0.25">
      <c r="A43" s="472" t="s">
        <v>153</v>
      </c>
      <c r="B43" s="472"/>
      <c r="C43" s="472"/>
      <c r="D43" s="473" t="s">
        <v>0</v>
      </c>
      <c r="E43" s="475">
        <f>E44</f>
        <v>1964835834.27</v>
      </c>
      <c r="F43" s="474">
        <f t="shared" ref="F43" si="20">F44</f>
        <v>1964835834.27</v>
      </c>
      <c r="G43" s="474">
        <f>G44</f>
        <v>1217378134</v>
      </c>
      <c r="H43" s="474">
        <f>H44</f>
        <v>200267223.48000002</v>
      </c>
      <c r="I43" s="474">
        <f t="shared" ref="I43" si="21">I44</f>
        <v>0</v>
      </c>
      <c r="J43" s="475">
        <f>J44</f>
        <v>366435270.52999997</v>
      </c>
      <c r="K43" s="474">
        <f>K44</f>
        <v>191304510.53</v>
      </c>
      <c r="L43" s="474">
        <f>L44</f>
        <v>171635130</v>
      </c>
      <c r="M43" s="474">
        <f t="shared" ref="M43" si="22">M44</f>
        <v>39544820</v>
      </c>
      <c r="N43" s="474">
        <f>N44</f>
        <v>15551110</v>
      </c>
      <c r="O43" s="475">
        <f>O44</f>
        <v>194800140.53</v>
      </c>
      <c r="P43" s="474">
        <f t="shared" ref="P43" si="23">P44</f>
        <v>2331271104.8000002</v>
      </c>
      <c r="Q43" s="22"/>
    </row>
    <row r="44" spans="1:20" ht="159" customHeight="1" thickTop="1" thickBot="1" x14ac:dyDescent="0.25">
      <c r="A44" s="476" t="s">
        <v>154</v>
      </c>
      <c r="B44" s="476"/>
      <c r="C44" s="476"/>
      <c r="D44" s="477" t="s">
        <v>1</v>
      </c>
      <c r="E44" s="478">
        <f>E45+E80+E92+E83+E89</f>
        <v>1964835834.27</v>
      </c>
      <c r="F44" s="478">
        <f>F45+F80+F92+F83+F89</f>
        <v>1964835834.27</v>
      </c>
      <c r="G44" s="478">
        <f>G45+G80+G92+G83+G89</f>
        <v>1217378134</v>
      </c>
      <c r="H44" s="478">
        <f>H45+H80+H92+H83+H89</f>
        <v>200267223.48000002</v>
      </c>
      <c r="I44" s="478">
        <f>I45+I80+I92+I83+I89</f>
        <v>0</v>
      </c>
      <c r="J44" s="478">
        <f>L44+O44</f>
        <v>366435270.52999997</v>
      </c>
      <c r="K44" s="478">
        <f>K45+K80+K92+K83+K89</f>
        <v>191304510.53</v>
      </c>
      <c r="L44" s="478">
        <f>L45+L80+L92+L83+L89</f>
        <v>171635130</v>
      </c>
      <c r="M44" s="478">
        <f>M45+M80+M92+M83+M89</f>
        <v>39544820</v>
      </c>
      <c r="N44" s="478">
        <f>N45+N80+N92+N83+N89</f>
        <v>15551110</v>
      </c>
      <c r="O44" s="478">
        <f>O45+O80+O92+O83+O89</f>
        <v>194800140.53</v>
      </c>
      <c r="P44" s="478">
        <f>E44+J44</f>
        <v>2331271104.8000002</v>
      </c>
      <c r="Q44" s="471" t="b">
        <f>P44=P46+P48+P49+P50+P57+P59+P62+P63+P65+P67+P78+P82+P86+P91+P52+P53+P60+P75+P66+P88</f>
        <v>1</v>
      </c>
      <c r="R44" s="28"/>
    </row>
    <row r="45" spans="1:20" ht="47.25" thickTop="1" thickBot="1" x14ac:dyDescent="0.25">
      <c r="A45" s="397" t="s">
        <v>719</v>
      </c>
      <c r="B45" s="397" t="s">
        <v>720</v>
      </c>
      <c r="C45" s="397"/>
      <c r="D45" s="397" t="s">
        <v>721</v>
      </c>
      <c r="E45" s="686">
        <f t="shared" ref="E45:P45" si="24">E46+E47+E51+E57+E58+E61+E64+E67+E68+E75+E54+E76+E71+E77</f>
        <v>1963317534.27</v>
      </c>
      <c r="F45" s="686">
        <f t="shared" si="24"/>
        <v>1963317534.27</v>
      </c>
      <c r="G45" s="686">
        <f t="shared" si="24"/>
        <v>1217378134</v>
      </c>
      <c r="H45" s="686">
        <f t="shared" si="24"/>
        <v>199705623.48000002</v>
      </c>
      <c r="I45" s="686">
        <f t="shared" si="24"/>
        <v>0</v>
      </c>
      <c r="J45" s="686">
        <f t="shared" si="24"/>
        <v>244634178.92999998</v>
      </c>
      <c r="K45" s="458">
        <f t="shared" si="24"/>
        <v>69503418.930000007</v>
      </c>
      <c r="L45" s="458">
        <f t="shared" si="24"/>
        <v>171635130</v>
      </c>
      <c r="M45" s="458">
        <f t="shared" si="24"/>
        <v>39544820</v>
      </c>
      <c r="N45" s="458">
        <f t="shared" si="24"/>
        <v>15551110</v>
      </c>
      <c r="O45" s="458">
        <f t="shared" si="24"/>
        <v>72999048.930000007</v>
      </c>
      <c r="P45" s="458">
        <f t="shared" si="24"/>
        <v>2207951713.1999998</v>
      </c>
      <c r="Q45" s="32"/>
      <c r="R45" s="28"/>
    </row>
    <row r="46" spans="1:20" ht="99" customHeight="1" thickTop="1" thickBot="1" x14ac:dyDescent="0.6">
      <c r="A46" s="457" t="s">
        <v>203</v>
      </c>
      <c r="B46" s="457" t="s">
        <v>204</v>
      </c>
      <c r="C46" s="457" t="s">
        <v>206</v>
      </c>
      <c r="D46" s="457" t="s">
        <v>207</v>
      </c>
      <c r="E46" s="686">
        <f>F46</f>
        <v>545619424.55999994</v>
      </c>
      <c r="F46" s="401">
        <f>(400040240+6826450+124590+53766100+4976300+32989243+2983694+26550438+1371161+1730057+724954+69630+3560+1548795+200000+410000+22000+1000000+500000+875000)+1082161+4198058+61993.56+3565000</f>
        <v>545619424.55999994</v>
      </c>
      <c r="G46" s="401">
        <v>327901836</v>
      </c>
      <c r="H46" s="401">
        <f>32989243+2983694+26550438+1371161+1730057+724954</f>
        <v>66349547</v>
      </c>
      <c r="I46" s="401"/>
      <c r="J46" s="686">
        <f t="shared" ref="J46:J70" si="25">L46+O46</f>
        <v>99768930</v>
      </c>
      <c r="K46" s="401">
        <f>(80000+800000+4500000)+1000000+179520+5000000+500000</f>
        <v>12059520</v>
      </c>
      <c r="L46" s="401">
        <v>85884000</v>
      </c>
      <c r="M46" s="401">
        <v>15449160</v>
      </c>
      <c r="N46" s="401">
        <v>4392000</v>
      </c>
      <c r="O46" s="402">
        <f>K46+1825410</f>
        <v>13884930</v>
      </c>
      <c r="P46" s="458">
        <f t="shared" ref="P46:P59" si="26">E46+J46</f>
        <v>645388354.55999994</v>
      </c>
      <c r="Q46" s="188"/>
      <c r="R46" s="28"/>
    </row>
    <row r="47" spans="1:20" s="37" customFormat="1" ht="138.75" thickTop="1" thickBot="1" x14ac:dyDescent="0.6">
      <c r="A47" s="467" t="s">
        <v>208</v>
      </c>
      <c r="B47" s="467" t="s">
        <v>205</v>
      </c>
      <c r="C47" s="467"/>
      <c r="D47" s="467" t="s">
        <v>655</v>
      </c>
      <c r="E47" s="452">
        <f>E48+E49+E50</f>
        <v>559040008.33999991</v>
      </c>
      <c r="F47" s="452">
        <f>F48+F49+F50</f>
        <v>559040008.33999991</v>
      </c>
      <c r="G47" s="452">
        <f t="shared" ref="G47:I47" si="27">G48+G49+G50</f>
        <v>259865950</v>
      </c>
      <c r="H47" s="452">
        <f t="shared" si="27"/>
        <v>98664106.609999999</v>
      </c>
      <c r="I47" s="452">
        <f t="shared" si="27"/>
        <v>0</v>
      </c>
      <c r="J47" s="452">
        <f t="shared" ref="J47" si="28">J48+J49+J50</f>
        <v>93642946.700000003</v>
      </c>
      <c r="K47" s="452">
        <f t="shared" ref="K47" si="29">K48+K49+K50</f>
        <v>38208726.700000003</v>
      </c>
      <c r="L47" s="452">
        <f t="shared" ref="L47" si="30">L48+L49+L50</f>
        <v>54213500</v>
      </c>
      <c r="M47" s="452">
        <f t="shared" ref="M47" si="31">M48+M49+M50</f>
        <v>15085870</v>
      </c>
      <c r="N47" s="452">
        <f t="shared" ref="N47" si="32">N48+N49+N50</f>
        <v>1403040</v>
      </c>
      <c r="O47" s="452">
        <f t="shared" ref="O47" si="33">O48+O49+O50</f>
        <v>39429446.700000003</v>
      </c>
      <c r="P47" s="452">
        <f>E47+J47</f>
        <v>652682955.03999996</v>
      </c>
      <c r="Q47" s="188"/>
      <c r="R47" s="40"/>
    </row>
    <row r="48" spans="1:20" ht="184.5" thickTop="1" thickBot="1" x14ac:dyDescent="0.6">
      <c r="A48" s="457" t="s">
        <v>653</v>
      </c>
      <c r="B48" s="457" t="s">
        <v>654</v>
      </c>
      <c r="C48" s="457" t="s">
        <v>209</v>
      </c>
      <c r="D48" s="457" t="s">
        <v>1371</v>
      </c>
      <c r="E48" s="458">
        <f t="shared" ref="E48:E59" si="34">F48</f>
        <v>503666631.33999997</v>
      </c>
      <c r="F48" s="401">
        <f>(278478740+14949120+232788+68902488.28+6324200+49423800+1957040+28032408+2824915+6227487+147250+17044+402147+7030+1000000+620800+1258600+2000000+1300000+1505000+4601586)+428761+335283+40000+384864+79778+28689487.61+58752.45+1154067+3430000-1543567+396762</f>
        <v>503666631.33999997</v>
      </c>
      <c r="G48" s="401">
        <v>228261262</v>
      </c>
      <c r="H48" s="401">
        <f>(49423800+1957040+28032408+2824915+6227487+4601586)+45699.61</f>
        <v>93112935.609999999</v>
      </c>
      <c r="I48" s="401"/>
      <c r="J48" s="458">
        <f t="shared" si="25"/>
        <v>92832946.700000003</v>
      </c>
      <c r="K48" s="401">
        <f>(300000+800000+2064862.22+1330068.27+500000+450000+300000+300000+300000+300000+300000+3000000+1000000+1200000+7740000)+545838+746697.15+30878+185905+57151+53047+47077+4393825+108378.06+500000+10500000+500000</f>
        <v>37553726.700000003</v>
      </c>
      <c r="L48" s="401">
        <v>54058500</v>
      </c>
      <c r="M48" s="401">
        <v>15085870</v>
      </c>
      <c r="N48" s="401">
        <v>1329840</v>
      </c>
      <c r="O48" s="402">
        <f>(K48+1220720)</f>
        <v>38774446.700000003</v>
      </c>
      <c r="P48" s="458">
        <f t="shared" si="26"/>
        <v>596499578.03999996</v>
      </c>
      <c r="Q48" s="188"/>
      <c r="R48" s="28"/>
      <c r="T48" s="41"/>
    </row>
    <row r="49" spans="1:18" ht="367.5" thickTop="1" thickBot="1" x14ac:dyDescent="0.25">
      <c r="A49" s="457" t="s">
        <v>662</v>
      </c>
      <c r="B49" s="457" t="s">
        <v>663</v>
      </c>
      <c r="C49" s="457" t="s">
        <v>212</v>
      </c>
      <c r="D49" s="457" t="s">
        <v>1372</v>
      </c>
      <c r="E49" s="458">
        <f t="shared" si="34"/>
        <v>29034536</v>
      </c>
      <c r="F49" s="401">
        <f>(25431320+268386+7230+657580+216630+2600+1606499+33482+292578+12894+4700+5400+20000+70000)+405237</f>
        <v>29034536</v>
      </c>
      <c r="G49" s="401">
        <v>20845344</v>
      </c>
      <c r="H49" s="401">
        <f>1606499+33482+292578+12894</f>
        <v>1945453</v>
      </c>
      <c r="I49" s="401"/>
      <c r="J49" s="458">
        <f t="shared" si="25"/>
        <v>515000</v>
      </c>
      <c r="K49" s="401">
        <f>360000</f>
        <v>360000</v>
      </c>
      <c r="L49" s="401">
        <v>155000</v>
      </c>
      <c r="M49" s="401"/>
      <c r="N49" s="401">
        <v>73200</v>
      </c>
      <c r="O49" s="402">
        <f>K49</f>
        <v>360000</v>
      </c>
      <c r="P49" s="458">
        <f t="shared" si="26"/>
        <v>29549536</v>
      </c>
      <c r="Q49" s="22"/>
      <c r="R49" s="29"/>
    </row>
    <row r="50" spans="1:18" ht="276" thickTop="1" thickBot="1" x14ac:dyDescent="0.25">
      <c r="A50" s="457" t="s">
        <v>1016</v>
      </c>
      <c r="B50" s="457" t="s">
        <v>1017</v>
      </c>
      <c r="C50" s="457" t="s">
        <v>212</v>
      </c>
      <c r="D50" s="457" t="s">
        <v>1373</v>
      </c>
      <c r="E50" s="458">
        <f t="shared" ref="E50" si="35">F50</f>
        <v>26338841</v>
      </c>
      <c r="F50" s="401">
        <f>(13126400+398670+13800+5375100+417390+199390+2311854+120372+1153100+20392+3310+2700+170000+200000+21700+150000+35000)+2619663</f>
        <v>26338841</v>
      </c>
      <c r="G50" s="401">
        <v>10759344</v>
      </c>
      <c r="H50" s="401">
        <f>2311854+120372+1153100+20392</f>
        <v>3605718</v>
      </c>
      <c r="I50" s="401"/>
      <c r="J50" s="458">
        <f t="shared" ref="J50" si="36">L50+O50</f>
        <v>295000</v>
      </c>
      <c r="K50" s="401">
        <f>50000+65000+180000</f>
        <v>295000</v>
      </c>
      <c r="L50" s="401"/>
      <c r="M50" s="401"/>
      <c r="N50" s="401"/>
      <c r="O50" s="402">
        <f>K50</f>
        <v>295000</v>
      </c>
      <c r="P50" s="458">
        <f t="shared" ref="P50" si="37">E50+J50</f>
        <v>26633841</v>
      </c>
      <c r="Q50" s="22"/>
      <c r="R50" s="29"/>
    </row>
    <row r="51" spans="1:18" s="37" customFormat="1" ht="138.75" thickTop="1" thickBot="1" x14ac:dyDescent="0.25">
      <c r="A51" s="467" t="s">
        <v>505</v>
      </c>
      <c r="B51" s="467" t="s">
        <v>210</v>
      </c>
      <c r="C51" s="467"/>
      <c r="D51" s="467" t="s">
        <v>670</v>
      </c>
      <c r="E51" s="452">
        <f>SUM(E52:E53)</f>
        <v>602605586</v>
      </c>
      <c r="F51" s="452">
        <f>SUM(F52:F53)</f>
        <v>602605586</v>
      </c>
      <c r="G51" s="452">
        <f>SUM(G52:G53)</f>
        <v>490213860</v>
      </c>
      <c r="H51" s="452">
        <f>SUM(H52:H53)</f>
        <v>0</v>
      </c>
      <c r="I51" s="452">
        <f>SUM(I52:I53)</f>
        <v>0</v>
      </c>
      <c r="J51" s="452">
        <f t="shared" ref="J51:P51" si="38">SUM(J52:J53)</f>
        <v>0</v>
      </c>
      <c r="K51" s="452">
        <f t="shared" si="38"/>
        <v>0</v>
      </c>
      <c r="L51" s="452">
        <f t="shared" si="38"/>
        <v>0</v>
      </c>
      <c r="M51" s="452">
        <f t="shared" si="38"/>
        <v>0</v>
      </c>
      <c r="N51" s="452">
        <f t="shared" si="38"/>
        <v>0</v>
      </c>
      <c r="O51" s="452">
        <f t="shared" si="38"/>
        <v>0</v>
      </c>
      <c r="P51" s="452">
        <f t="shared" si="38"/>
        <v>602605586</v>
      </c>
      <c r="Q51" s="22"/>
      <c r="R51" s="38"/>
    </row>
    <row r="52" spans="1:18" ht="184.5" thickTop="1" thickBot="1" x14ac:dyDescent="0.25">
      <c r="A52" s="457" t="s">
        <v>671</v>
      </c>
      <c r="B52" s="457" t="s">
        <v>672</v>
      </c>
      <c r="C52" s="457" t="s">
        <v>209</v>
      </c>
      <c r="D52" s="457" t="s">
        <v>1374</v>
      </c>
      <c r="E52" s="458">
        <f t="shared" ref="E52:E53" si="39">F52</f>
        <v>600318986</v>
      </c>
      <c r="F52" s="401">
        <f>(595757900+4544686)+16400</f>
        <v>600318986</v>
      </c>
      <c r="G52" s="401">
        <f>(488326150)+13450</f>
        <v>488339600</v>
      </c>
      <c r="H52" s="401"/>
      <c r="I52" s="401"/>
      <c r="J52" s="458">
        <f t="shared" ref="J52:J53" si="40">L52+O52</f>
        <v>0</v>
      </c>
      <c r="K52" s="401"/>
      <c r="L52" s="401"/>
      <c r="M52" s="401"/>
      <c r="N52" s="401"/>
      <c r="O52" s="402">
        <f>K52</f>
        <v>0</v>
      </c>
      <c r="P52" s="458">
        <f t="shared" ref="P52:P56" si="41">E52+J52</f>
        <v>600318986</v>
      </c>
      <c r="Q52" s="22"/>
      <c r="R52" s="32"/>
    </row>
    <row r="53" spans="1:18" ht="230.25" thickTop="1" thickBot="1" x14ac:dyDescent="0.25">
      <c r="A53" s="457" t="s">
        <v>1177</v>
      </c>
      <c r="B53" s="497" t="s">
        <v>1178</v>
      </c>
      <c r="C53" s="457" t="s">
        <v>212</v>
      </c>
      <c r="D53" s="457" t="s">
        <v>1375</v>
      </c>
      <c r="E53" s="458">
        <f t="shared" si="39"/>
        <v>2286600</v>
      </c>
      <c r="F53" s="479">
        <v>2286600</v>
      </c>
      <c r="G53" s="479">
        <v>1874260</v>
      </c>
      <c r="H53" s="479"/>
      <c r="I53" s="479"/>
      <c r="J53" s="458">
        <f t="shared" si="40"/>
        <v>0</v>
      </c>
      <c r="K53" s="479"/>
      <c r="L53" s="479"/>
      <c r="M53" s="479"/>
      <c r="N53" s="479"/>
      <c r="O53" s="456"/>
      <c r="P53" s="458">
        <f t="shared" si="41"/>
        <v>2286600</v>
      </c>
      <c r="Q53" s="22"/>
      <c r="R53" s="32"/>
    </row>
    <row r="54" spans="1:18" ht="409.6" hidden="1" thickTop="1" x14ac:dyDescent="0.65">
      <c r="A54" s="851" t="s">
        <v>946</v>
      </c>
      <c r="B54" s="851" t="s">
        <v>50</v>
      </c>
      <c r="C54" s="851"/>
      <c r="D54" s="498" t="s">
        <v>949</v>
      </c>
      <c r="E54" s="840">
        <f t="shared" ref="E54:O54" si="42">E56</f>
        <v>0</v>
      </c>
      <c r="F54" s="840">
        <f t="shared" si="42"/>
        <v>0</v>
      </c>
      <c r="G54" s="840">
        <f t="shared" si="42"/>
        <v>0</v>
      </c>
      <c r="H54" s="840">
        <f t="shared" si="42"/>
        <v>0</v>
      </c>
      <c r="I54" s="840">
        <f t="shared" si="42"/>
        <v>0</v>
      </c>
      <c r="J54" s="840">
        <f t="shared" si="42"/>
        <v>0</v>
      </c>
      <c r="K54" s="840">
        <f t="shared" si="42"/>
        <v>0</v>
      </c>
      <c r="L54" s="840">
        <f t="shared" si="42"/>
        <v>0</v>
      </c>
      <c r="M54" s="840">
        <f t="shared" si="42"/>
        <v>0</v>
      </c>
      <c r="N54" s="840">
        <f t="shared" si="42"/>
        <v>0</v>
      </c>
      <c r="O54" s="840">
        <f t="shared" si="42"/>
        <v>0</v>
      </c>
      <c r="P54" s="840">
        <f>E54+J54</f>
        <v>0</v>
      </c>
      <c r="Q54" s="22"/>
      <c r="R54" s="32"/>
    </row>
    <row r="55" spans="1:18" ht="183.75" hidden="1" thickBot="1" x14ac:dyDescent="0.25">
      <c r="A55" s="815"/>
      <c r="B55" s="815"/>
      <c r="C55" s="815"/>
      <c r="D55" s="499" t="s">
        <v>950</v>
      </c>
      <c r="E55" s="815"/>
      <c r="F55" s="815"/>
      <c r="G55" s="815"/>
      <c r="H55" s="815"/>
      <c r="I55" s="815"/>
      <c r="J55" s="815"/>
      <c r="K55" s="815"/>
      <c r="L55" s="815"/>
      <c r="M55" s="815"/>
      <c r="N55" s="815"/>
      <c r="O55" s="815"/>
      <c r="P55" s="815"/>
      <c r="Q55" s="22"/>
      <c r="R55" s="32"/>
    </row>
    <row r="56" spans="1:18" ht="138.75" hidden="1" thickTop="1" thickBot="1" x14ac:dyDescent="0.25">
      <c r="A56" s="464" t="s">
        <v>947</v>
      </c>
      <c r="B56" s="464" t="s">
        <v>948</v>
      </c>
      <c r="C56" s="464" t="s">
        <v>209</v>
      </c>
      <c r="D56" s="464" t="s">
        <v>951</v>
      </c>
      <c r="E56" s="500">
        <f t="shared" ref="E56" si="43">F56</f>
        <v>0</v>
      </c>
      <c r="F56" s="480"/>
      <c r="G56" s="480"/>
      <c r="H56" s="480"/>
      <c r="I56" s="480"/>
      <c r="J56" s="500">
        <f t="shared" ref="J56" si="44">L56+O56</f>
        <v>0</v>
      </c>
      <c r="K56" s="480"/>
      <c r="L56" s="480"/>
      <c r="M56" s="480"/>
      <c r="N56" s="480"/>
      <c r="O56" s="501">
        <f>K56</f>
        <v>0</v>
      </c>
      <c r="P56" s="500">
        <f t="shared" si="41"/>
        <v>0</v>
      </c>
      <c r="Q56" s="22"/>
      <c r="R56" s="28"/>
    </row>
    <row r="57" spans="1:18" ht="230.25" thickTop="1" thickBot="1" x14ac:dyDescent="0.25">
      <c r="A57" s="457" t="s">
        <v>673</v>
      </c>
      <c r="B57" s="457" t="s">
        <v>211</v>
      </c>
      <c r="C57" s="457" t="s">
        <v>186</v>
      </c>
      <c r="D57" s="457" t="s">
        <v>506</v>
      </c>
      <c r="E57" s="458">
        <f t="shared" si="34"/>
        <v>31985971</v>
      </c>
      <c r="F57" s="401">
        <f>(25963460+430050+14000+475600+159020+3164837+73186+907670+79855+39033+3510+237440+310+250000)+188000</f>
        <v>31985971</v>
      </c>
      <c r="G57" s="401">
        <v>21281525</v>
      </c>
      <c r="H57" s="401">
        <f>3164837+73186+907670+79855+39033</f>
        <v>4264581</v>
      </c>
      <c r="I57" s="401"/>
      <c r="J57" s="458">
        <f t="shared" si="25"/>
        <v>11092430</v>
      </c>
      <c r="K57" s="401">
        <f>10000000</f>
        <v>10000000</v>
      </c>
      <c r="L57" s="401">
        <v>872930</v>
      </c>
      <c r="M57" s="401">
        <v>15440</v>
      </c>
      <c r="N57" s="401">
        <v>111310</v>
      </c>
      <c r="O57" s="402">
        <f>(K57+219500)</f>
        <v>10219500</v>
      </c>
      <c r="P57" s="458">
        <f t="shared" si="26"/>
        <v>43078401</v>
      </c>
      <c r="Q57" s="22"/>
      <c r="R57" s="28"/>
    </row>
    <row r="58" spans="1:18" s="37" customFormat="1" ht="230.25" thickTop="1" thickBot="1" x14ac:dyDescent="0.25">
      <c r="A58" s="467" t="s">
        <v>213</v>
      </c>
      <c r="B58" s="467" t="s">
        <v>196</v>
      </c>
      <c r="C58" s="467"/>
      <c r="D58" s="467" t="s">
        <v>507</v>
      </c>
      <c r="E58" s="452">
        <f>E59+E60</f>
        <v>182896855.87</v>
      </c>
      <c r="F58" s="452">
        <f t="shared" ref="F58:O58" si="45">F59+F60</f>
        <v>182896855.87</v>
      </c>
      <c r="G58" s="452">
        <f t="shared" si="45"/>
        <v>89421552</v>
      </c>
      <c r="H58" s="452">
        <f t="shared" si="45"/>
        <v>27947199.870000001</v>
      </c>
      <c r="I58" s="452">
        <f t="shared" si="45"/>
        <v>0</v>
      </c>
      <c r="J58" s="452">
        <f t="shared" si="45"/>
        <v>31590468.23</v>
      </c>
      <c r="K58" s="452">
        <f t="shared" si="45"/>
        <v>1200468.23</v>
      </c>
      <c r="L58" s="452">
        <f t="shared" si="45"/>
        <v>30160000</v>
      </c>
      <c r="M58" s="452">
        <f t="shared" si="45"/>
        <v>8894270</v>
      </c>
      <c r="N58" s="452">
        <f t="shared" si="45"/>
        <v>9529290</v>
      </c>
      <c r="O58" s="452">
        <f t="shared" si="45"/>
        <v>1430468.23</v>
      </c>
      <c r="P58" s="452">
        <f t="shared" si="26"/>
        <v>214487324.09999999</v>
      </c>
      <c r="Q58" s="22"/>
      <c r="R58" s="38"/>
    </row>
    <row r="59" spans="1:18" ht="230.25" thickTop="1" thickBot="1" x14ac:dyDescent="0.25">
      <c r="A59" s="457" t="s">
        <v>674</v>
      </c>
      <c r="B59" s="457" t="s">
        <v>675</v>
      </c>
      <c r="C59" s="457" t="s">
        <v>214</v>
      </c>
      <c r="D59" s="457" t="s">
        <v>676</v>
      </c>
      <c r="E59" s="458">
        <f t="shared" si="34"/>
        <v>158523255.87</v>
      </c>
      <c r="F59" s="401">
        <f>(84519260+111000+22600+5254600+433200+14205640+1588100+11939030+21300+186500+15360+33077300+1043800+500000+250000)+5454565.87-99000</f>
        <v>158523255.87</v>
      </c>
      <c r="G59" s="401">
        <v>69278082</v>
      </c>
      <c r="H59" s="401">
        <f>(14205640+1588100+11939030+21300+186500)+6629.87</f>
        <v>27947199.870000001</v>
      </c>
      <c r="I59" s="401"/>
      <c r="J59" s="458">
        <f>L59+O59</f>
        <v>31590468.23</v>
      </c>
      <c r="K59" s="401">
        <f>(101468.23+800000)+99000+200000</f>
        <v>1200468.23</v>
      </c>
      <c r="L59" s="401">
        <f>(30210000)-50000</f>
        <v>30160000</v>
      </c>
      <c r="M59" s="401">
        <v>8894270</v>
      </c>
      <c r="N59" s="401">
        <v>9529290</v>
      </c>
      <c r="O59" s="402">
        <f>(K59+180000)+50000</f>
        <v>1430468.23</v>
      </c>
      <c r="P59" s="458">
        <f t="shared" si="26"/>
        <v>190113724.09999999</v>
      </c>
      <c r="Q59" s="22"/>
      <c r="R59" s="28"/>
    </row>
    <row r="60" spans="1:18" ht="230.25" thickTop="1" thickBot="1" x14ac:dyDescent="0.25">
      <c r="A60" s="457" t="s">
        <v>678</v>
      </c>
      <c r="B60" s="457" t="s">
        <v>677</v>
      </c>
      <c r="C60" s="457" t="s">
        <v>214</v>
      </c>
      <c r="D60" s="457" t="s">
        <v>679</v>
      </c>
      <c r="E60" s="458">
        <f t="shared" ref="E60" si="46">F60</f>
        <v>24373600</v>
      </c>
      <c r="F60" s="401">
        <v>24373600</v>
      </c>
      <c r="G60" s="401">
        <v>20143470</v>
      </c>
      <c r="H60" s="401"/>
      <c r="I60" s="401"/>
      <c r="J60" s="458">
        <f>L60+O60</f>
        <v>0</v>
      </c>
      <c r="K60" s="401"/>
      <c r="L60" s="401"/>
      <c r="M60" s="401"/>
      <c r="N60" s="401"/>
      <c r="O60" s="402"/>
      <c r="P60" s="458">
        <f t="shared" ref="P60" si="47">E60+J60</f>
        <v>24373600</v>
      </c>
      <c r="Q60" s="22"/>
      <c r="R60" s="32"/>
    </row>
    <row r="61" spans="1:18" s="37" customFormat="1" ht="93" thickTop="1" thickBot="1" x14ac:dyDescent="0.25">
      <c r="A61" s="467" t="s">
        <v>681</v>
      </c>
      <c r="B61" s="467" t="s">
        <v>680</v>
      </c>
      <c r="C61" s="467"/>
      <c r="D61" s="467" t="s">
        <v>682</v>
      </c>
      <c r="E61" s="452">
        <f>E62+E63</f>
        <v>28685805</v>
      </c>
      <c r="F61" s="452">
        <f t="shared" ref="F61:O61" si="48">F62+F63</f>
        <v>28685805</v>
      </c>
      <c r="G61" s="452">
        <f t="shared" si="48"/>
        <v>19102541</v>
      </c>
      <c r="H61" s="452">
        <f t="shared" si="48"/>
        <v>2208742</v>
      </c>
      <c r="I61" s="452">
        <f t="shared" si="48"/>
        <v>0</v>
      </c>
      <c r="J61" s="452">
        <f t="shared" si="48"/>
        <v>6708401</v>
      </c>
      <c r="K61" s="452">
        <f t="shared" si="48"/>
        <v>6203701</v>
      </c>
      <c r="L61" s="452">
        <f t="shared" si="48"/>
        <v>504700</v>
      </c>
      <c r="M61" s="452">
        <f t="shared" si="48"/>
        <v>100080</v>
      </c>
      <c r="N61" s="452">
        <f t="shared" si="48"/>
        <v>115470</v>
      </c>
      <c r="O61" s="452">
        <f t="shared" si="48"/>
        <v>6203701</v>
      </c>
      <c r="P61" s="452">
        <f>E61+J61</f>
        <v>35394206</v>
      </c>
      <c r="Q61" s="22"/>
      <c r="R61" s="38"/>
    </row>
    <row r="62" spans="1:18" ht="138.75" thickTop="1" thickBot="1" x14ac:dyDescent="0.25">
      <c r="A62" s="457" t="s">
        <v>683</v>
      </c>
      <c r="B62" s="457" t="s">
        <v>684</v>
      </c>
      <c r="C62" s="457" t="s">
        <v>215</v>
      </c>
      <c r="D62" s="457" t="s">
        <v>508</v>
      </c>
      <c r="E62" s="458">
        <f>F62</f>
        <v>28165985</v>
      </c>
      <c r="F62" s="401">
        <f>(23305100+814015+1855+882100+1246141+24736+912211+25654+6060+2700+200000)+742713+2700</f>
        <v>28165985</v>
      </c>
      <c r="G62" s="401">
        <v>19102541</v>
      </c>
      <c r="H62" s="401">
        <f>1246141+24736+912211+25654</f>
        <v>2208742</v>
      </c>
      <c r="I62" s="401"/>
      <c r="J62" s="458">
        <f>L62+O62</f>
        <v>6708401</v>
      </c>
      <c r="K62" s="401">
        <f>(500000+100000)+5603701</f>
        <v>6203701</v>
      </c>
      <c r="L62" s="401">
        <v>504700</v>
      </c>
      <c r="M62" s="401">
        <v>100080</v>
      </c>
      <c r="N62" s="401">
        <v>115470</v>
      </c>
      <c r="O62" s="402">
        <f>K62</f>
        <v>6203701</v>
      </c>
      <c r="P62" s="458">
        <f>E62+J62</f>
        <v>34874386</v>
      </c>
      <c r="Q62" s="22"/>
      <c r="R62" s="32"/>
    </row>
    <row r="63" spans="1:18" ht="93" thickTop="1" thickBot="1" x14ac:dyDescent="0.25">
      <c r="A63" s="457" t="s">
        <v>685</v>
      </c>
      <c r="B63" s="457" t="s">
        <v>686</v>
      </c>
      <c r="C63" s="457" t="s">
        <v>215</v>
      </c>
      <c r="D63" s="457" t="s">
        <v>343</v>
      </c>
      <c r="E63" s="458">
        <f>F63</f>
        <v>519820</v>
      </c>
      <c r="F63" s="401">
        <f>(219820)+300000</f>
        <v>519820</v>
      </c>
      <c r="G63" s="401"/>
      <c r="H63" s="401"/>
      <c r="I63" s="401"/>
      <c r="J63" s="458">
        <f>L63+O63</f>
        <v>0</v>
      </c>
      <c r="K63" s="401"/>
      <c r="L63" s="401"/>
      <c r="M63" s="401"/>
      <c r="N63" s="401"/>
      <c r="O63" s="402">
        <f>K63</f>
        <v>0</v>
      </c>
      <c r="P63" s="458">
        <f>E63+J63</f>
        <v>519820</v>
      </c>
      <c r="Q63" s="22"/>
      <c r="R63" s="32"/>
    </row>
    <row r="64" spans="1:18" s="37" customFormat="1" ht="138.75" thickTop="1" thickBot="1" x14ac:dyDescent="0.25">
      <c r="A64" s="467" t="s">
        <v>687</v>
      </c>
      <c r="B64" s="467" t="s">
        <v>688</v>
      </c>
      <c r="C64" s="467"/>
      <c r="D64" s="467" t="s">
        <v>435</v>
      </c>
      <c r="E64" s="452">
        <f>E65+E66</f>
        <v>4857614.5</v>
      </c>
      <c r="F64" s="452">
        <f>F65+F66</f>
        <v>4857614.5</v>
      </c>
      <c r="G64" s="452">
        <f t="shared" ref="G64:O64" si="49">G65+G66</f>
        <v>3649272</v>
      </c>
      <c r="H64" s="452">
        <f t="shared" si="49"/>
        <v>170565</v>
      </c>
      <c r="I64" s="452">
        <f t="shared" si="49"/>
        <v>0</v>
      </c>
      <c r="J64" s="452">
        <f t="shared" si="49"/>
        <v>219300</v>
      </c>
      <c r="K64" s="452">
        <f t="shared" si="49"/>
        <v>219300</v>
      </c>
      <c r="L64" s="452">
        <f t="shared" si="49"/>
        <v>0</v>
      </c>
      <c r="M64" s="452">
        <f t="shared" si="49"/>
        <v>0</v>
      </c>
      <c r="N64" s="452">
        <f t="shared" si="49"/>
        <v>0</v>
      </c>
      <c r="O64" s="452">
        <f t="shared" si="49"/>
        <v>219300</v>
      </c>
      <c r="P64" s="452">
        <f>E64+J64</f>
        <v>5076914.5</v>
      </c>
      <c r="Q64" s="22"/>
      <c r="R64" s="38"/>
    </row>
    <row r="65" spans="1:18" ht="184.5" thickTop="1" thickBot="1" x14ac:dyDescent="0.25">
      <c r="A65" s="457" t="s">
        <v>689</v>
      </c>
      <c r="B65" s="457" t="s">
        <v>690</v>
      </c>
      <c r="C65" s="457" t="s">
        <v>215</v>
      </c>
      <c r="D65" s="457" t="s">
        <v>691</v>
      </c>
      <c r="E65" s="458">
        <f>F65</f>
        <v>1142214.5</v>
      </c>
      <c r="F65" s="401">
        <f>(736700+167810+59750+5000+125493+10551+31952+2569+900)+1489.5</f>
        <v>1142214.5</v>
      </c>
      <c r="G65" s="401">
        <v>603852</v>
      </c>
      <c r="H65" s="401">
        <f>125493+10551+31952+2569</f>
        <v>170565</v>
      </c>
      <c r="I65" s="401"/>
      <c r="J65" s="458">
        <f>L65+O65</f>
        <v>219300</v>
      </c>
      <c r="K65" s="401">
        <f>219300</f>
        <v>219300</v>
      </c>
      <c r="L65" s="401"/>
      <c r="M65" s="401"/>
      <c r="N65" s="401"/>
      <c r="O65" s="402">
        <f>K65</f>
        <v>219300</v>
      </c>
      <c r="P65" s="458">
        <f>E65+J65</f>
        <v>1361514.5</v>
      </c>
      <c r="Q65" s="22"/>
      <c r="R65" s="28"/>
    </row>
    <row r="66" spans="1:18" ht="184.5" thickTop="1" thickBot="1" x14ac:dyDescent="0.25">
      <c r="A66" s="457" t="s">
        <v>692</v>
      </c>
      <c r="B66" s="457" t="s">
        <v>693</v>
      </c>
      <c r="C66" s="457" t="s">
        <v>215</v>
      </c>
      <c r="D66" s="457" t="s">
        <v>694</v>
      </c>
      <c r="E66" s="458">
        <f>F66</f>
        <v>3715400</v>
      </c>
      <c r="F66" s="401">
        <v>3715400</v>
      </c>
      <c r="G66" s="401">
        <v>3045420</v>
      </c>
      <c r="H66" s="401"/>
      <c r="I66" s="401"/>
      <c r="J66" s="458">
        <f t="shared" ref="J66" si="50">L66+O66</f>
        <v>0</v>
      </c>
      <c r="K66" s="401"/>
      <c r="L66" s="401"/>
      <c r="M66" s="401"/>
      <c r="N66" s="401"/>
      <c r="O66" s="402">
        <f t="shared" ref="O66" si="51">K66</f>
        <v>0</v>
      </c>
      <c r="P66" s="458">
        <f t="shared" ref="P66" si="52">E66+J66</f>
        <v>3715400</v>
      </c>
      <c r="Q66" s="22"/>
      <c r="R66" s="32"/>
    </row>
    <row r="67" spans="1:18" ht="184.5" thickTop="1" thickBot="1" x14ac:dyDescent="0.25">
      <c r="A67" s="457" t="s">
        <v>659</v>
      </c>
      <c r="B67" s="457" t="s">
        <v>660</v>
      </c>
      <c r="C67" s="457" t="s">
        <v>215</v>
      </c>
      <c r="D67" s="457" t="s">
        <v>661</v>
      </c>
      <c r="E67" s="458">
        <f t="shared" ref="E67" si="53">F67</f>
        <v>3316580</v>
      </c>
      <c r="F67" s="401">
        <f>2939060+224488+42150+10000+60964+6421+28228+5269</f>
        <v>3316580</v>
      </c>
      <c r="G67" s="401">
        <v>2409066</v>
      </c>
      <c r="H67" s="401">
        <f>60964+6421+28228+5269</f>
        <v>100882</v>
      </c>
      <c r="I67" s="401"/>
      <c r="J67" s="458">
        <f t="shared" ref="J67" si="54">L67+O67</f>
        <v>0</v>
      </c>
      <c r="K67" s="401"/>
      <c r="L67" s="401"/>
      <c r="M67" s="401"/>
      <c r="N67" s="401"/>
      <c r="O67" s="402">
        <f t="shared" ref="O67" si="55">K67</f>
        <v>0</v>
      </c>
      <c r="P67" s="458">
        <f t="shared" ref="P67" si="56">E67+J67</f>
        <v>3316580</v>
      </c>
      <c r="Q67" s="22"/>
      <c r="R67" s="28"/>
    </row>
    <row r="68" spans="1:18" s="35" customFormat="1" ht="276" hidden="1" thickTop="1" thickBot="1" x14ac:dyDescent="0.25">
      <c r="A68" s="502" t="s">
        <v>664</v>
      </c>
      <c r="B68" s="502" t="s">
        <v>665</v>
      </c>
      <c r="C68" s="502"/>
      <c r="D68" s="502" t="s">
        <v>666</v>
      </c>
      <c r="E68" s="481">
        <f t="shared" ref="E68:E82" si="57">F68</f>
        <v>0</v>
      </c>
      <c r="F68" s="481">
        <f>SUM(F69:F70)</f>
        <v>0</v>
      </c>
      <c r="G68" s="481">
        <f t="shared" ref="G68:I68" si="58">SUM(G69:G70)</f>
        <v>0</v>
      </c>
      <c r="H68" s="481">
        <f t="shared" si="58"/>
        <v>0</v>
      </c>
      <c r="I68" s="481">
        <f t="shared" si="58"/>
        <v>0</v>
      </c>
      <c r="J68" s="481">
        <f t="shared" si="25"/>
        <v>0</v>
      </c>
      <c r="K68" s="452">
        <f>SUM(K69:K70)</f>
        <v>0</v>
      </c>
      <c r="L68" s="481">
        <f t="shared" ref="L68:N68" si="59">SUM(L69:L70)</f>
        <v>0</v>
      </c>
      <c r="M68" s="481">
        <f t="shared" si="59"/>
        <v>0</v>
      </c>
      <c r="N68" s="481">
        <f t="shared" si="59"/>
        <v>0</v>
      </c>
      <c r="O68" s="481">
        <f>SUM(O69:O70)</f>
        <v>0</v>
      </c>
      <c r="P68" s="481">
        <f t="shared" ref="P68:P73" si="60">E68+J68</f>
        <v>0</v>
      </c>
      <c r="Q68" s="39"/>
      <c r="R68" s="40"/>
    </row>
    <row r="69" spans="1:18" s="35" customFormat="1" ht="409.6" hidden="1" thickTop="1" thickBot="1" x14ac:dyDescent="0.25">
      <c r="A69" s="464" t="s">
        <v>667</v>
      </c>
      <c r="B69" s="464" t="s">
        <v>668</v>
      </c>
      <c r="C69" s="464" t="s">
        <v>215</v>
      </c>
      <c r="D69" s="464" t="s">
        <v>669</v>
      </c>
      <c r="E69" s="500">
        <f t="shared" si="57"/>
        <v>0</v>
      </c>
      <c r="F69" s="480"/>
      <c r="G69" s="480"/>
      <c r="H69" s="480"/>
      <c r="I69" s="480"/>
      <c r="J69" s="500">
        <f t="shared" si="25"/>
        <v>0</v>
      </c>
      <c r="K69" s="401"/>
      <c r="L69" s="480"/>
      <c r="M69" s="480"/>
      <c r="N69" s="480"/>
      <c r="O69" s="501">
        <f t="shared" ref="O69:O70" si="61">K69</f>
        <v>0</v>
      </c>
      <c r="P69" s="500">
        <f t="shared" si="60"/>
        <v>0</v>
      </c>
      <c r="Q69" s="39"/>
      <c r="R69" s="28"/>
    </row>
    <row r="70" spans="1:18" s="35" customFormat="1" ht="409.6" hidden="1" thickTop="1" thickBot="1" x14ac:dyDescent="0.25">
      <c r="A70" s="464" t="s">
        <v>999</v>
      </c>
      <c r="B70" s="464" t="s">
        <v>1000</v>
      </c>
      <c r="C70" s="464" t="s">
        <v>215</v>
      </c>
      <c r="D70" s="464" t="s">
        <v>1001</v>
      </c>
      <c r="E70" s="500">
        <f t="shared" si="57"/>
        <v>0</v>
      </c>
      <c r="F70" s="480"/>
      <c r="G70" s="480"/>
      <c r="H70" s="480"/>
      <c r="I70" s="480"/>
      <c r="J70" s="500">
        <f t="shared" si="25"/>
        <v>0</v>
      </c>
      <c r="K70" s="401"/>
      <c r="L70" s="480"/>
      <c r="M70" s="480"/>
      <c r="N70" s="480"/>
      <c r="O70" s="501">
        <f t="shared" si="61"/>
        <v>0</v>
      </c>
      <c r="P70" s="500">
        <f t="shared" si="60"/>
        <v>0</v>
      </c>
      <c r="Q70" s="39"/>
      <c r="R70" s="28"/>
    </row>
    <row r="71" spans="1:18" s="35" customFormat="1" ht="409.6" hidden="1" thickTop="1" thickBot="1" x14ac:dyDescent="0.25">
      <c r="A71" s="502" t="s">
        <v>1018</v>
      </c>
      <c r="B71" s="502" t="s">
        <v>1020</v>
      </c>
      <c r="C71" s="502"/>
      <c r="D71" s="502" t="s">
        <v>1022</v>
      </c>
      <c r="E71" s="481">
        <f>E72+E73</f>
        <v>0</v>
      </c>
      <c r="F71" s="481">
        <f>F72+F73</f>
        <v>0</v>
      </c>
      <c r="G71" s="481">
        <f t="shared" ref="G71:I71" si="62">G72+G73</f>
        <v>0</v>
      </c>
      <c r="H71" s="481">
        <f t="shared" si="62"/>
        <v>0</v>
      </c>
      <c r="I71" s="481">
        <f t="shared" si="62"/>
        <v>0</v>
      </c>
      <c r="J71" s="481">
        <f>L71+O71</f>
        <v>0</v>
      </c>
      <c r="K71" s="452">
        <f t="shared" ref="K71:O71" si="63">K72+K73</f>
        <v>0</v>
      </c>
      <c r="L71" s="481">
        <f t="shared" si="63"/>
        <v>0</v>
      </c>
      <c r="M71" s="481">
        <f t="shared" si="63"/>
        <v>0</v>
      </c>
      <c r="N71" s="481">
        <f t="shared" si="63"/>
        <v>0</v>
      </c>
      <c r="O71" s="481">
        <f t="shared" si="63"/>
        <v>0</v>
      </c>
      <c r="P71" s="481">
        <f t="shared" si="60"/>
        <v>0</v>
      </c>
      <c r="Q71" s="39"/>
      <c r="R71" s="28"/>
    </row>
    <row r="72" spans="1:18" s="35" customFormat="1" ht="409.6" hidden="1" thickTop="1" thickBot="1" x14ac:dyDescent="0.25">
      <c r="A72" s="464" t="s">
        <v>1019</v>
      </c>
      <c r="B72" s="464" t="s">
        <v>1021</v>
      </c>
      <c r="C72" s="464" t="s">
        <v>215</v>
      </c>
      <c r="D72" s="464" t="s">
        <v>1023</v>
      </c>
      <c r="E72" s="500">
        <f t="shared" ref="E72" si="64">F72</f>
        <v>0</v>
      </c>
      <c r="F72" s="480"/>
      <c r="G72" s="480"/>
      <c r="H72" s="480"/>
      <c r="I72" s="480"/>
      <c r="J72" s="500">
        <f t="shared" ref="J72" si="65">L72+O72</f>
        <v>0</v>
      </c>
      <c r="K72" s="401">
        <f>4547046.18-4547046.18</f>
        <v>0</v>
      </c>
      <c r="L72" s="480"/>
      <c r="M72" s="480"/>
      <c r="N72" s="480"/>
      <c r="O72" s="501">
        <f t="shared" ref="O72" si="66">K72</f>
        <v>0</v>
      </c>
      <c r="P72" s="500">
        <f t="shared" si="60"/>
        <v>0</v>
      </c>
      <c r="Q72" s="39"/>
      <c r="R72" s="28"/>
    </row>
    <row r="73" spans="1:18" s="35" customFormat="1" ht="45.75" hidden="1" thickTop="1" x14ac:dyDescent="0.2">
      <c r="A73" s="819" t="s">
        <v>1038</v>
      </c>
      <c r="B73" s="819" t="s">
        <v>1039</v>
      </c>
      <c r="C73" s="819" t="s">
        <v>215</v>
      </c>
      <c r="D73" s="819" t="s">
        <v>1040</v>
      </c>
      <c r="E73" s="813">
        <f t="shared" ref="E73" si="67">F73</f>
        <v>0</v>
      </c>
      <c r="F73" s="813"/>
      <c r="G73" s="813"/>
      <c r="H73" s="813"/>
      <c r="I73" s="813"/>
      <c r="J73" s="813">
        <f t="shared" ref="J73" si="68">L73+O73</f>
        <v>0</v>
      </c>
      <c r="K73" s="834">
        <f>10623233.82-10623233.82</f>
        <v>0</v>
      </c>
      <c r="L73" s="813"/>
      <c r="M73" s="813"/>
      <c r="N73" s="813"/>
      <c r="O73" s="816">
        <f t="shared" ref="O73" si="69">K73</f>
        <v>0</v>
      </c>
      <c r="P73" s="813">
        <f t="shared" si="60"/>
        <v>0</v>
      </c>
      <c r="Q73" s="39"/>
      <c r="R73" s="28"/>
    </row>
    <row r="74" spans="1:18" s="35" customFormat="1" ht="45.75" hidden="1" thickBot="1" x14ac:dyDescent="0.25">
      <c r="A74" s="815"/>
      <c r="B74" s="815"/>
      <c r="C74" s="815"/>
      <c r="D74" s="815"/>
      <c r="E74" s="815"/>
      <c r="F74" s="815"/>
      <c r="G74" s="815"/>
      <c r="H74" s="815"/>
      <c r="I74" s="815"/>
      <c r="J74" s="815"/>
      <c r="K74" s="822"/>
      <c r="L74" s="815"/>
      <c r="M74" s="815"/>
      <c r="N74" s="815"/>
      <c r="O74" s="815"/>
      <c r="P74" s="815"/>
      <c r="Q74" s="39"/>
      <c r="R74" s="28"/>
    </row>
    <row r="75" spans="1:18" s="35" customFormat="1" ht="321.75" thickTop="1" thickBot="1" x14ac:dyDescent="0.25">
      <c r="A75" s="457" t="s">
        <v>656</v>
      </c>
      <c r="B75" s="457" t="s">
        <v>657</v>
      </c>
      <c r="C75" s="457" t="s">
        <v>215</v>
      </c>
      <c r="D75" s="457" t="s">
        <v>658</v>
      </c>
      <c r="E75" s="458">
        <f t="shared" si="57"/>
        <v>4309689</v>
      </c>
      <c r="F75" s="401">
        <v>4309689</v>
      </c>
      <c r="G75" s="401">
        <v>3532532</v>
      </c>
      <c r="H75" s="401"/>
      <c r="I75" s="401"/>
      <c r="J75" s="458">
        <f t="shared" ref="J75" si="70">L75+O75</f>
        <v>0</v>
      </c>
      <c r="K75" s="401"/>
      <c r="L75" s="401"/>
      <c r="M75" s="401"/>
      <c r="N75" s="401"/>
      <c r="O75" s="402">
        <f t="shared" ref="O75" si="71">K75</f>
        <v>0</v>
      </c>
      <c r="P75" s="458">
        <f t="shared" ref="P75" si="72">E75+J75</f>
        <v>4309689</v>
      </c>
      <c r="Q75" s="39"/>
      <c r="R75" s="28"/>
    </row>
    <row r="76" spans="1:18" s="35" customFormat="1" ht="367.5" hidden="1" thickTop="1" thickBot="1" x14ac:dyDescent="0.25">
      <c r="A76" s="464" t="s">
        <v>961</v>
      </c>
      <c r="B76" s="464" t="s">
        <v>962</v>
      </c>
      <c r="C76" s="464" t="s">
        <v>215</v>
      </c>
      <c r="D76" s="464" t="s">
        <v>963</v>
      </c>
      <c r="E76" s="500">
        <f t="shared" ref="E76" si="73">F76</f>
        <v>0</v>
      </c>
      <c r="F76" s="480"/>
      <c r="G76" s="480"/>
      <c r="H76" s="480"/>
      <c r="I76" s="480"/>
      <c r="J76" s="500">
        <f t="shared" ref="J76" si="74">L76+O76</f>
        <v>0</v>
      </c>
      <c r="K76" s="401"/>
      <c r="L76" s="480"/>
      <c r="M76" s="480"/>
      <c r="N76" s="480"/>
      <c r="O76" s="501">
        <f t="shared" ref="O76" si="75">K76</f>
        <v>0</v>
      </c>
      <c r="P76" s="500">
        <f t="shared" ref="P76" si="76">E76+J76</f>
        <v>0</v>
      </c>
      <c r="Q76" s="39"/>
      <c r="R76" s="28"/>
    </row>
    <row r="77" spans="1:18" s="35" customFormat="1" ht="321.75" thickTop="1" thickBot="1" x14ac:dyDescent="0.25">
      <c r="A77" s="467" t="s">
        <v>1024</v>
      </c>
      <c r="B77" s="467" t="s">
        <v>1026</v>
      </c>
      <c r="C77" s="467"/>
      <c r="D77" s="467" t="s">
        <v>1327</v>
      </c>
      <c r="E77" s="452">
        <f>F77</f>
        <v>0</v>
      </c>
      <c r="F77" s="452">
        <f>SUM(F78:F79)</f>
        <v>0</v>
      </c>
      <c r="G77" s="452">
        <f>SUM(G78:G79)</f>
        <v>0</v>
      </c>
      <c r="H77" s="452">
        <f>SUM(H78:H79)</f>
        <v>0</v>
      </c>
      <c r="I77" s="452">
        <f>SUM(I78:I79)</f>
        <v>0</v>
      </c>
      <c r="J77" s="452">
        <f>L77+O77</f>
        <v>1611703</v>
      </c>
      <c r="K77" s="452">
        <f>SUM(K78:K79)</f>
        <v>1611703</v>
      </c>
      <c r="L77" s="452">
        <f>SUM(L78:L79)</f>
        <v>0</v>
      </c>
      <c r="M77" s="452">
        <f>SUM(M78:M79)</f>
        <v>0</v>
      </c>
      <c r="N77" s="452">
        <f>SUM(N78:N79)</f>
        <v>0</v>
      </c>
      <c r="O77" s="452">
        <f>SUM(O78:O79)</f>
        <v>1611703</v>
      </c>
      <c r="P77" s="452">
        <f>E77+J77</f>
        <v>1611703</v>
      </c>
      <c r="Q77" s="39"/>
      <c r="R77" s="28"/>
    </row>
    <row r="78" spans="1:18" s="35" customFormat="1" ht="409.6" thickTop="1" thickBot="1" x14ac:dyDescent="0.25">
      <c r="A78" s="457" t="s">
        <v>1025</v>
      </c>
      <c r="B78" s="457" t="s">
        <v>1027</v>
      </c>
      <c r="C78" s="457" t="s">
        <v>215</v>
      </c>
      <c r="D78" s="457" t="s">
        <v>1328</v>
      </c>
      <c r="E78" s="686">
        <f>F78</f>
        <v>0</v>
      </c>
      <c r="F78" s="401"/>
      <c r="G78" s="401"/>
      <c r="H78" s="401"/>
      <c r="I78" s="401"/>
      <c r="J78" s="686">
        <f t="shared" ref="J78:J79" si="77">L78+O78</f>
        <v>1611703</v>
      </c>
      <c r="K78" s="401">
        <v>1611703</v>
      </c>
      <c r="L78" s="401"/>
      <c r="M78" s="401"/>
      <c r="N78" s="401"/>
      <c r="O78" s="402">
        <f t="shared" ref="O78:O79" si="78">K78</f>
        <v>1611703</v>
      </c>
      <c r="P78" s="458">
        <f>E78+J78</f>
        <v>1611703</v>
      </c>
      <c r="Q78" s="39"/>
      <c r="R78" s="28"/>
    </row>
    <row r="79" spans="1:18" s="35" customFormat="1" ht="367.5" hidden="1" thickTop="1" thickBot="1" x14ac:dyDescent="0.25">
      <c r="A79" s="464" t="s">
        <v>1078</v>
      </c>
      <c r="B79" s="464" t="s">
        <v>1079</v>
      </c>
      <c r="C79" s="464" t="s">
        <v>215</v>
      </c>
      <c r="D79" s="464" t="s">
        <v>1077</v>
      </c>
      <c r="E79" s="686">
        <f>F79</f>
        <v>0</v>
      </c>
      <c r="F79" s="401">
        <f>(553900)-553900</f>
        <v>0</v>
      </c>
      <c r="G79" s="401"/>
      <c r="H79" s="401"/>
      <c r="I79" s="401"/>
      <c r="J79" s="686">
        <f t="shared" si="77"/>
        <v>0</v>
      </c>
      <c r="K79" s="401"/>
      <c r="L79" s="480"/>
      <c r="M79" s="480"/>
      <c r="N79" s="480"/>
      <c r="O79" s="501">
        <f t="shared" si="78"/>
        <v>0</v>
      </c>
      <c r="P79" s="500">
        <f>E79+J79</f>
        <v>0</v>
      </c>
      <c r="Q79" s="39"/>
      <c r="R79" s="28"/>
    </row>
    <row r="80" spans="1:18" s="35" customFormat="1" ht="91.5" thickTop="1" thickBot="1" x14ac:dyDescent="0.25">
      <c r="A80" s="397" t="s">
        <v>722</v>
      </c>
      <c r="B80" s="397" t="s">
        <v>723</v>
      </c>
      <c r="C80" s="397"/>
      <c r="D80" s="397" t="s">
        <v>724</v>
      </c>
      <c r="E80" s="686">
        <f t="shared" ref="E80:P80" si="79">SUM(E81:E82)</f>
        <v>1518300</v>
      </c>
      <c r="F80" s="686">
        <f t="shared" si="79"/>
        <v>1518300</v>
      </c>
      <c r="G80" s="686">
        <f t="shared" si="79"/>
        <v>0</v>
      </c>
      <c r="H80" s="686">
        <f t="shared" si="79"/>
        <v>561600</v>
      </c>
      <c r="I80" s="686">
        <f t="shared" si="79"/>
        <v>0</v>
      </c>
      <c r="J80" s="686">
        <f t="shared" si="79"/>
        <v>0</v>
      </c>
      <c r="K80" s="458">
        <f t="shared" si="79"/>
        <v>0</v>
      </c>
      <c r="L80" s="458">
        <f t="shared" si="79"/>
        <v>0</v>
      </c>
      <c r="M80" s="458">
        <f t="shared" si="79"/>
        <v>0</v>
      </c>
      <c r="N80" s="458">
        <f t="shared" si="79"/>
        <v>0</v>
      </c>
      <c r="O80" s="458">
        <f t="shared" si="79"/>
        <v>0</v>
      </c>
      <c r="P80" s="458">
        <f t="shared" si="79"/>
        <v>1518300</v>
      </c>
      <c r="Q80" s="39"/>
      <c r="R80" s="28"/>
    </row>
    <row r="81" spans="1:18" s="35" customFormat="1" ht="367.5" hidden="1" thickTop="1" thickBot="1" x14ac:dyDescent="0.25">
      <c r="A81" s="457" t="s">
        <v>437</v>
      </c>
      <c r="B81" s="457" t="s">
        <v>438</v>
      </c>
      <c r="C81" s="457" t="s">
        <v>190</v>
      </c>
      <c r="D81" s="457" t="s">
        <v>436</v>
      </c>
      <c r="E81" s="686">
        <f t="shared" si="57"/>
        <v>0</v>
      </c>
      <c r="F81" s="401"/>
      <c r="G81" s="401"/>
      <c r="H81" s="401"/>
      <c r="I81" s="401"/>
      <c r="J81" s="686">
        <f>L81+O81</f>
        <v>0</v>
      </c>
      <c r="K81" s="401"/>
      <c r="L81" s="401"/>
      <c r="M81" s="401"/>
      <c r="N81" s="401"/>
      <c r="O81" s="402">
        <f>K81</f>
        <v>0</v>
      </c>
      <c r="P81" s="458">
        <f>E81+J81</f>
        <v>0</v>
      </c>
      <c r="Q81" s="39"/>
      <c r="R81" s="42"/>
    </row>
    <row r="82" spans="1:18" s="35" customFormat="1" ht="276" thickTop="1" thickBot="1" x14ac:dyDescent="0.25">
      <c r="A82" s="457" t="s">
        <v>1286</v>
      </c>
      <c r="B82" s="457" t="s">
        <v>1252</v>
      </c>
      <c r="C82" s="457" t="s">
        <v>211</v>
      </c>
      <c r="D82" s="482" t="s">
        <v>1253</v>
      </c>
      <c r="E82" s="686">
        <f t="shared" si="57"/>
        <v>1518300</v>
      </c>
      <c r="F82" s="401">
        <v>1518300</v>
      </c>
      <c r="G82" s="401"/>
      <c r="H82" s="401">
        <v>561600</v>
      </c>
      <c r="I82" s="401"/>
      <c r="J82" s="686">
        <f>L82+O82</f>
        <v>0</v>
      </c>
      <c r="K82" s="401"/>
      <c r="L82" s="401"/>
      <c r="M82" s="401"/>
      <c r="N82" s="401"/>
      <c r="O82" s="402">
        <f>K82</f>
        <v>0</v>
      </c>
      <c r="P82" s="458">
        <f>E82+J82</f>
        <v>1518300</v>
      </c>
      <c r="Q82" s="39"/>
      <c r="R82" s="42"/>
    </row>
    <row r="83" spans="1:18" s="35" customFormat="1" ht="47.25" thickTop="1" thickBot="1" x14ac:dyDescent="0.25">
      <c r="A83" s="397" t="s">
        <v>1132</v>
      </c>
      <c r="B83" s="397" t="s">
        <v>760</v>
      </c>
      <c r="C83" s="397"/>
      <c r="D83" s="397" t="s">
        <v>1131</v>
      </c>
      <c r="E83" s="686">
        <f>E84+E87</f>
        <v>0</v>
      </c>
      <c r="F83" s="686">
        <f t="shared" ref="F83:P83" si="80">F84+F87</f>
        <v>0</v>
      </c>
      <c r="G83" s="686">
        <f t="shared" si="80"/>
        <v>0</v>
      </c>
      <c r="H83" s="686">
        <f t="shared" si="80"/>
        <v>0</v>
      </c>
      <c r="I83" s="686">
        <f t="shared" si="80"/>
        <v>0</v>
      </c>
      <c r="J83" s="686">
        <f t="shared" si="80"/>
        <v>118031091.59999999</v>
      </c>
      <c r="K83" s="458">
        <f t="shared" si="80"/>
        <v>118031091.59999999</v>
      </c>
      <c r="L83" s="458">
        <f t="shared" si="80"/>
        <v>0</v>
      </c>
      <c r="M83" s="458">
        <f t="shared" si="80"/>
        <v>0</v>
      </c>
      <c r="N83" s="458">
        <f t="shared" si="80"/>
        <v>0</v>
      </c>
      <c r="O83" s="458">
        <f t="shared" si="80"/>
        <v>118031091.59999999</v>
      </c>
      <c r="P83" s="458">
        <f t="shared" si="80"/>
        <v>118031091.59999999</v>
      </c>
      <c r="Q83" s="39"/>
      <c r="R83" s="28"/>
    </row>
    <row r="84" spans="1:18" s="35" customFormat="1" ht="91.5" thickTop="1" thickBot="1" x14ac:dyDescent="0.25">
      <c r="A84" s="399" t="s">
        <v>1130</v>
      </c>
      <c r="B84" s="399" t="s">
        <v>816</v>
      </c>
      <c r="C84" s="399"/>
      <c r="D84" s="399" t="s">
        <v>817</v>
      </c>
      <c r="E84" s="403">
        <f>E85</f>
        <v>0</v>
      </c>
      <c r="F84" s="403">
        <f t="shared" ref="F84:P85" si="81">F85</f>
        <v>0</v>
      </c>
      <c r="G84" s="403">
        <f t="shared" si="81"/>
        <v>0</v>
      </c>
      <c r="H84" s="403">
        <f t="shared" si="81"/>
        <v>0</v>
      </c>
      <c r="I84" s="403">
        <f t="shared" si="81"/>
        <v>0</v>
      </c>
      <c r="J84" s="403">
        <f t="shared" si="81"/>
        <v>73031091.599999994</v>
      </c>
      <c r="K84" s="403">
        <f t="shared" si="81"/>
        <v>73031091.599999994</v>
      </c>
      <c r="L84" s="403">
        <f t="shared" si="81"/>
        <v>0</v>
      </c>
      <c r="M84" s="403">
        <f t="shared" si="81"/>
        <v>0</v>
      </c>
      <c r="N84" s="403">
        <f t="shared" si="81"/>
        <v>0</v>
      </c>
      <c r="O84" s="403">
        <f t="shared" si="81"/>
        <v>73031091.599999994</v>
      </c>
      <c r="P84" s="403">
        <f t="shared" si="81"/>
        <v>73031091.599999994</v>
      </c>
      <c r="Q84" s="39"/>
      <c r="R84" s="28"/>
    </row>
    <row r="85" spans="1:18" s="35" customFormat="1" ht="145.5" thickTop="1" thickBot="1" x14ac:dyDescent="0.25">
      <c r="A85" s="467" t="s">
        <v>1133</v>
      </c>
      <c r="B85" s="467" t="s">
        <v>834</v>
      </c>
      <c r="C85" s="467"/>
      <c r="D85" s="467" t="s">
        <v>1325</v>
      </c>
      <c r="E85" s="452">
        <f>E86</f>
        <v>0</v>
      </c>
      <c r="F85" s="452">
        <f t="shared" si="81"/>
        <v>0</v>
      </c>
      <c r="G85" s="452">
        <f t="shared" si="81"/>
        <v>0</v>
      </c>
      <c r="H85" s="452">
        <f t="shared" si="81"/>
        <v>0</v>
      </c>
      <c r="I85" s="452">
        <f t="shared" si="81"/>
        <v>0</v>
      </c>
      <c r="J85" s="452">
        <f t="shared" si="81"/>
        <v>73031091.599999994</v>
      </c>
      <c r="K85" s="452">
        <f t="shared" si="81"/>
        <v>73031091.599999994</v>
      </c>
      <c r="L85" s="452">
        <f t="shared" si="81"/>
        <v>0</v>
      </c>
      <c r="M85" s="452">
        <f t="shared" si="81"/>
        <v>0</v>
      </c>
      <c r="N85" s="452">
        <f t="shared" si="81"/>
        <v>0</v>
      </c>
      <c r="O85" s="452">
        <f t="shared" si="81"/>
        <v>73031091.599999994</v>
      </c>
      <c r="P85" s="452">
        <f t="shared" si="81"/>
        <v>73031091.599999994</v>
      </c>
      <c r="Q85" s="39"/>
      <c r="R85" s="28"/>
    </row>
    <row r="86" spans="1:18" s="35" customFormat="1" ht="99.75" thickTop="1" thickBot="1" x14ac:dyDescent="0.25">
      <c r="A86" s="457" t="s">
        <v>1145</v>
      </c>
      <c r="B86" s="715" t="s">
        <v>317</v>
      </c>
      <c r="C86" s="457" t="s">
        <v>310</v>
      </c>
      <c r="D86" s="457" t="s">
        <v>1326</v>
      </c>
      <c r="E86" s="686">
        <f t="shared" ref="E86" si="82">F86</f>
        <v>0</v>
      </c>
      <c r="F86" s="401"/>
      <c r="G86" s="401"/>
      <c r="H86" s="401"/>
      <c r="I86" s="401"/>
      <c r="J86" s="686">
        <f t="shared" ref="J86" si="83">L86+O86</f>
        <v>73031091.599999994</v>
      </c>
      <c r="K86" s="401">
        <f>(10000000+200000+2597000)+60228541+5550.6</f>
        <v>73031091.599999994</v>
      </c>
      <c r="L86" s="401"/>
      <c r="M86" s="401"/>
      <c r="N86" s="401"/>
      <c r="O86" s="402">
        <f t="shared" ref="O86" si="84">K86</f>
        <v>73031091.599999994</v>
      </c>
      <c r="P86" s="458">
        <f>E86+J86</f>
        <v>73031091.599999994</v>
      </c>
      <c r="Q86" s="32"/>
      <c r="R86" s="28"/>
    </row>
    <row r="87" spans="1:18" s="35" customFormat="1" ht="136.5" thickTop="1" thickBot="1" x14ac:dyDescent="0.25">
      <c r="A87" s="399" t="s">
        <v>1134</v>
      </c>
      <c r="B87" s="399" t="s">
        <v>703</v>
      </c>
      <c r="C87" s="399"/>
      <c r="D87" s="399" t="s">
        <v>701</v>
      </c>
      <c r="E87" s="403">
        <f>E88</f>
        <v>0</v>
      </c>
      <c r="F87" s="403">
        <f t="shared" ref="F87:P87" si="85">F88</f>
        <v>0</v>
      </c>
      <c r="G87" s="403">
        <f t="shared" si="85"/>
        <v>0</v>
      </c>
      <c r="H87" s="403">
        <f t="shared" si="85"/>
        <v>0</v>
      </c>
      <c r="I87" s="403">
        <f t="shared" si="85"/>
        <v>0</v>
      </c>
      <c r="J87" s="403">
        <f t="shared" si="85"/>
        <v>45000000</v>
      </c>
      <c r="K87" s="403">
        <f t="shared" si="85"/>
        <v>45000000</v>
      </c>
      <c r="L87" s="403">
        <f t="shared" si="85"/>
        <v>0</v>
      </c>
      <c r="M87" s="403">
        <f t="shared" si="85"/>
        <v>0</v>
      </c>
      <c r="N87" s="403">
        <f t="shared" si="85"/>
        <v>0</v>
      </c>
      <c r="O87" s="403">
        <f t="shared" si="85"/>
        <v>45000000</v>
      </c>
      <c r="P87" s="403">
        <f t="shared" si="85"/>
        <v>45000000</v>
      </c>
      <c r="Q87" s="32"/>
      <c r="R87" s="28"/>
    </row>
    <row r="88" spans="1:18" s="35" customFormat="1" ht="48" thickTop="1" thickBot="1" x14ac:dyDescent="0.25">
      <c r="A88" s="457" t="s">
        <v>1135</v>
      </c>
      <c r="B88" s="467" t="s">
        <v>217</v>
      </c>
      <c r="C88" s="457" t="s">
        <v>218</v>
      </c>
      <c r="D88" s="457" t="s">
        <v>41</v>
      </c>
      <c r="E88" s="686">
        <f t="shared" ref="E88" si="86">F88</f>
        <v>0</v>
      </c>
      <c r="F88" s="401"/>
      <c r="G88" s="401"/>
      <c r="H88" s="401"/>
      <c r="I88" s="401"/>
      <c r="J88" s="686">
        <f t="shared" ref="J88" si="87">L88+O88</f>
        <v>45000000</v>
      </c>
      <c r="K88" s="401">
        <v>45000000</v>
      </c>
      <c r="L88" s="401"/>
      <c r="M88" s="401"/>
      <c r="N88" s="401"/>
      <c r="O88" s="402">
        <f t="shared" ref="O88" si="88">K88</f>
        <v>45000000</v>
      </c>
      <c r="P88" s="458">
        <f>E88+J88</f>
        <v>45000000</v>
      </c>
      <c r="Q88" s="32"/>
      <c r="R88" s="28"/>
    </row>
    <row r="89" spans="1:18" s="35" customFormat="1" ht="47.25" thickTop="1" thickBot="1" x14ac:dyDescent="0.25">
      <c r="A89" s="397" t="s">
        <v>1276</v>
      </c>
      <c r="B89" s="397" t="s">
        <v>708</v>
      </c>
      <c r="C89" s="397"/>
      <c r="D89" s="397" t="s">
        <v>709</v>
      </c>
      <c r="E89" s="686">
        <f t="shared" ref="E89:P90" si="89">E90</f>
        <v>0</v>
      </c>
      <c r="F89" s="686">
        <f t="shared" si="89"/>
        <v>0</v>
      </c>
      <c r="G89" s="686">
        <f t="shared" si="89"/>
        <v>0</v>
      </c>
      <c r="H89" s="686">
        <f t="shared" si="89"/>
        <v>0</v>
      </c>
      <c r="I89" s="686">
        <f t="shared" si="89"/>
        <v>0</v>
      </c>
      <c r="J89" s="686">
        <f t="shared" si="89"/>
        <v>3770000</v>
      </c>
      <c r="K89" s="458">
        <f t="shared" si="89"/>
        <v>3770000</v>
      </c>
      <c r="L89" s="458">
        <f t="shared" si="89"/>
        <v>0</v>
      </c>
      <c r="M89" s="458">
        <f t="shared" si="89"/>
        <v>0</v>
      </c>
      <c r="N89" s="458">
        <f t="shared" si="89"/>
        <v>0</v>
      </c>
      <c r="O89" s="458">
        <f t="shared" si="89"/>
        <v>3770000</v>
      </c>
      <c r="P89" s="458">
        <f t="shared" si="89"/>
        <v>3770000</v>
      </c>
      <c r="Q89" s="32"/>
      <c r="R89" s="28"/>
    </row>
    <row r="90" spans="1:18" s="35" customFormat="1" ht="91.5" thickTop="1" thickBot="1" x14ac:dyDescent="0.25">
      <c r="A90" s="399" t="s">
        <v>1277</v>
      </c>
      <c r="B90" s="399" t="s">
        <v>1237</v>
      </c>
      <c r="C90" s="399"/>
      <c r="D90" s="399" t="s">
        <v>1235</v>
      </c>
      <c r="E90" s="403">
        <f t="shared" si="89"/>
        <v>0</v>
      </c>
      <c r="F90" s="403">
        <f t="shared" si="89"/>
        <v>0</v>
      </c>
      <c r="G90" s="403">
        <f t="shared" si="89"/>
        <v>0</v>
      </c>
      <c r="H90" s="403">
        <f t="shared" si="89"/>
        <v>0</v>
      </c>
      <c r="I90" s="403">
        <f t="shared" si="89"/>
        <v>0</v>
      </c>
      <c r="J90" s="403">
        <f t="shared" si="89"/>
        <v>3770000</v>
      </c>
      <c r="K90" s="403">
        <f t="shared" si="89"/>
        <v>3770000</v>
      </c>
      <c r="L90" s="403">
        <f t="shared" si="89"/>
        <v>0</v>
      </c>
      <c r="M90" s="403">
        <f t="shared" si="89"/>
        <v>0</v>
      </c>
      <c r="N90" s="403">
        <f t="shared" si="89"/>
        <v>0</v>
      </c>
      <c r="O90" s="403">
        <f t="shared" si="89"/>
        <v>3770000</v>
      </c>
      <c r="P90" s="403">
        <f t="shared" si="89"/>
        <v>3770000</v>
      </c>
      <c r="Q90" s="32"/>
      <c r="R90" s="28"/>
    </row>
    <row r="91" spans="1:18" s="35" customFormat="1" ht="93" thickTop="1" thickBot="1" x14ac:dyDescent="0.25">
      <c r="A91" s="457" t="s">
        <v>1278</v>
      </c>
      <c r="B91" s="457" t="s">
        <v>1241</v>
      </c>
      <c r="C91" s="457" t="s">
        <v>1239</v>
      </c>
      <c r="D91" s="457" t="s">
        <v>1238</v>
      </c>
      <c r="E91" s="458">
        <f>F91</f>
        <v>0</v>
      </c>
      <c r="F91" s="401"/>
      <c r="G91" s="401"/>
      <c r="H91" s="401"/>
      <c r="I91" s="401"/>
      <c r="J91" s="458">
        <f>L91+O91</f>
        <v>3770000</v>
      </c>
      <c r="K91" s="401">
        <v>3770000</v>
      </c>
      <c r="L91" s="401"/>
      <c r="M91" s="401"/>
      <c r="N91" s="401"/>
      <c r="O91" s="402">
        <f>K91</f>
        <v>3770000</v>
      </c>
      <c r="P91" s="458">
        <f>E91+J91</f>
        <v>3770000</v>
      </c>
      <c r="Q91" s="32"/>
      <c r="R91" s="28"/>
    </row>
    <row r="92" spans="1:18" s="35" customFormat="1" ht="47.25" hidden="1" customHeight="1" thickTop="1" thickBot="1" x14ac:dyDescent="0.25">
      <c r="A92" s="191" t="s">
        <v>1051</v>
      </c>
      <c r="B92" s="191" t="s">
        <v>714</v>
      </c>
      <c r="C92" s="191"/>
      <c r="D92" s="191" t="s">
        <v>715</v>
      </c>
      <c r="E92" s="45">
        <f>E93</f>
        <v>0</v>
      </c>
      <c r="F92" s="45">
        <f t="shared" ref="F92:P93" si="90">F93</f>
        <v>0</v>
      </c>
      <c r="G92" s="45">
        <f t="shared" si="90"/>
        <v>0</v>
      </c>
      <c r="H92" s="45">
        <f t="shared" si="90"/>
        <v>0</v>
      </c>
      <c r="I92" s="45">
        <f t="shared" si="90"/>
        <v>0</v>
      </c>
      <c r="J92" s="45">
        <f t="shared" si="90"/>
        <v>0</v>
      </c>
      <c r="K92" s="45">
        <f t="shared" si="90"/>
        <v>0</v>
      </c>
      <c r="L92" s="45">
        <f t="shared" si="90"/>
        <v>0</v>
      </c>
      <c r="M92" s="45">
        <f t="shared" si="90"/>
        <v>0</v>
      </c>
      <c r="N92" s="45">
        <f t="shared" si="90"/>
        <v>0</v>
      </c>
      <c r="O92" s="45">
        <f t="shared" si="90"/>
        <v>0</v>
      </c>
      <c r="P92" s="45">
        <f t="shared" si="90"/>
        <v>0</v>
      </c>
      <c r="Q92" s="39"/>
      <c r="R92" s="28"/>
    </row>
    <row r="93" spans="1:18" s="35" customFormat="1" ht="271.5" hidden="1" thickTop="1" thickBot="1" x14ac:dyDescent="0.25">
      <c r="A93" s="192" t="s">
        <v>1052</v>
      </c>
      <c r="B93" s="192" t="s">
        <v>717</v>
      </c>
      <c r="C93" s="192"/>
      <c r="D93" s="192" t="s">
        <v>718</v>
      </c>
      <c r="E93" s="193">
        <f>E94</f>
        <v>0</v>
      </c>
      <c r="F93" s="193">
        <f t="shared" si="90"/>
        <v>0</v>
      </c>
      <c r="G93" s="193">
        <f t="shared" si="90"/>
        <v>0</v>
      </c>
      <c r="H93" s="193">
        <f t="shared" si="90"/>
        <v>0</v>
      </c>
      <c r="I93" s="193">
        <f t="shared" si="90"/>
        <v>0</v>
      </c>
      <c r="J93" s="193">
        <f t="shared" si="90"/>
        <v>0</v>
      </c>
      <c r="K93" s="193">
        <f t="shared" si="90"/>
        <v>0</v>
      </c>
      <c r="L93" s="193">
        <f t="shared" si="90"/>
        <v>0</v>
      </c>
      <c r="M93" s="193">
        <f t="shared" si="90"/>
        <v>0</v>
      </c>
      <c r="N93" s="193">
        <f t="shared" si="90"/>
        <v>0</v>
      </c>
      <c r="O93" s="193">
        <f t="shared" si="90"/>
        <v>0</v>
      </c>
      <c r="P93" s="193">
        <f t="shared" si="90"/>
        <v>0</v>
      </c>
      <c r="Q93" s="39"/>
      <c r="R93" s="28"/>
    </row>
    <row r="94" spans="1:18" s="35" customFormat="1" ht="93" hidden="1" thickTop="1" thickBot="1" x14ac:dyDescent="0.25">
      <c r="A94" s="44" t="s">
        <v>1053</v>
      </c>
      <c r="B94" s="44" t="s">
        <v>369</v>
      </c>
      <c r="C94" s="44" t="s">
        <v>43</v>
      </c>
      <c r="D94" s="44" t="s">
        <v>370</v>
      </c>
      <c r="E94" s="45">
        <f t="shared" ref="E94" si="91">F94</f>
        <v>0</v>
      </c>
      <c r="F94" s="46"/>
      <c r="G94" s="46"/>
      <c r="H94" s="46"/>
      <c r="I94" s="46"/>
      <c r="J94" s="45">
        <f>L94+O94</f>
        <v>0</v>
      </c>
      <c r="K94" s="46"/>
      <c r="L94" s="46"/>
      <c r="M94" s="46"/>
      <c r="N94" s="46"/>
      <c r="O94" s="47">
        <f>K94</f>
        <v>0</v>
      </c>
      <c r="P94" s="45">
        <f>E94+J94</f>
        <v>0</v>
      </c>
      <c r="Q94" s="39"/>
      <c r="R94" s="28"/>
    </row>
    <row r="95" spans="1:18" ht="181.5" thickTop="1" thickBot="1" x14ac:dyDescent="0.25">
      <c r="A95" s="472" t="s">
        <v>155</v>
      </c>
      <c r="B95" s="472"/>
      <c r="C95" s="472"/>
      <c r="D95" s="473" t="s">
        <v>18</v>
      </c>
      <c r="E95" s="475">
        <f>E96</f>
        <v>153743130</v>
      </c>
      <c r="F95" s="474">
        <f t="shared" ref="F95:G95" si="92">F96</f>
        <v>153743130</v>
      </c>
      <c r="G95" s="474">
        <f t="shared" si="92"/>
        <v>4896310</v>
      </c>
      <c r="H95" s="474">
        <f>H96</f>
        <v>438898</v>
      </c>
      <c r="I95" s="474">
        <f t="shared" ref="I95" si="93">I96</f>
        <v>0</v>
      </c>
      <c r="J95" s="475">
        <f>J96</f>
        <v>71088766</v>
      </c>
      <c r="K95" s="474">
        <f>K96</f>
        <v>71088766</v>
      </c>
      <c r="L95" s="474">
        <f>L96</f>
        <v>0</v>
      </c>
      <c r="M95" s="474">
        <f t="shared" ref="M95" si="94">M96</f>
        <v>0</v>
      </c>
      <c r="N95" s="474">
        <f>N96</f>
        <v>0</v>
      </c>
      <c r="O95" s="475">
        <f>O96</f>
        <v>71088766</v>
      </c>
      <c r="P95" s="474">
        <f>P96</f>
        <v>224831896</v>
      </c>
      <c r="Q95" s="22"/>
    </row>
    <row r="96" spans="1:18" ht="226.5" thickTop="1" thickBot="1" x14ac:dyDescent="0.25">
      <c r="A96" s="476" t="s">
        <v>156</v>
      </c>
      <c r="B96" s="476"/>
      <c r="C96" s="476"/>
      <c r="D96" s="477" t="s">
        <v>36</v>
      </c>
      <c r="E96" s="478">
        <f>E97+E100+E115+E113</f>
        <v>153743130</v>
      </c>
      <c r="F96" s="478">
        <f t="shared" ref="F96:P96" si="95">F97+F100+F115+F113</f>
        <v>153743130</v>
      </c>
      <c r="G96" s="478">
        <f t="shared" si="95"/>
        <v>4896310</v>
      </c>
      <c r="H96" s="478">
        <f t="shared" si="95"/>
        <v>438898</v>
      </c>
      <c r="I96" s="478">
        <f t="shared" si="95"/>
        <v>0</v>
      </c>
      <c r="J96" s="478">
        <f t="shared" si="95"/>
        <v>71088766</v>
      </c>
      <c r="K96" s="478">
        <f t="shared" si="95"/>
        <v>71088766</v>
      </c>
      <c r="L96" s="478">
        <f t="shared" si="95"/>
        <v>0</v>
      </c>
      <c r="M96" s="478">
        <f t="shared" si="95"/>
        <v>0</v>
      </c>
      <c r="N96" s="478">
        <f t="shared" si="95"/>
        <v>0</v>
      </c>
      <c r="O96" s="478">
        <f t="shared" si="95"/>
        <v>71088766</v>
      </c>
      <c r="P96" s="478">
        <f t="shared" si="95"/>
        <v>224831896</v>
      </c>
      <c r="Q96" s="471" t="b">
        <f>P96=P98+P101+P102+P103+P104+P107+P111+P112+P114+P122+P99+P118</f>
        <v>1</v>
      </c>
      <c r="R96" s="28"/>
    </row>
    <row r="97" spans="1:18" ht="47.25" thickTop="1" thickBot="1" x14ac:dyDescent="0.25">
      <c r="A97" s="397" t="s">
        <v>725</v>
      </c>
      <c r="B97" s="397" t="s">
        <v>696</v>
      </c>
      <c r="C97" s="397"/>
      <c r="D97" s="397" t="s">
        <v>697</v>
      </c>
      <c r="E97" s="686">
        <f>SUM(E98:E99)</f>
        <v>3147800</v>
      </c>
      <c r="F97" s="686">
        <f t="shared" ref="F97:P97" si="96">SUM(F98:F99)</f>
        <v>3147800</v>
      </c>
      <c r="G97" s="686">
        <f t="shared" si="96"/>
        <v>2259700</v>
      </c>
      <c r="H97" s="686">
        <f t="shared" si="96"/>
        <v>222800</v>
      </c>
      <c r="I97" s="686">
        <f t="shared" si="96"/>
        <v>0</v>
      </c>
      <c r="J97" s="686">
        <f t="shared" si="96"/>
        <v>60000</v>
      </c>
      <c r="K97" s="458">
        <f t="shared" si="96"/>
        <v>60000</v>
      </c>
      <c r="L97" s="458">
        <f t="shared" si="96"/>
        <v>0</v>
      </c>
      <c r="M97" s="458">
        <f t="shared" si="96"/>
        <v>0</v>
      </c>
      <c r="N97" s="458">
        <f t="shared" si="96"/>
        <v>0</v>
      </c>
      <c r="O97" s="458">
        <f t="shared" si="96"/>
        <v>60000</v>
      </c>
      <c r="P97" s="458">
        <f t="shared" si="96"/>
        <v>3207800</v>
      </c>
      <c r="Q97" s="32"/>
      <c r="R97" s="28"/>
    </row>
    <row r="98" spans="1:18" ht="230.25" thickTop="1" thickBot="1" x14ac:dyDescent="0.25">
      <c r="A98" s="457" t="s">
        <v>422</v>
      </c>
      <c r="B98" s="457" t="s">
        <v>241</v>
      </c>
      <c r="C98" s="457" t="s">
        <v>239</v>
      </c>
      <c r="D98" s="457" t="s">
        <v>240</v>
      </c>
      <c r="E98" s="686">
        <f>F98</f>
        <v>3140800</v>
      </c>
      <c r="F98" s="401">
        <v>3140800</v>
      </c>
      <c r="G98" s="401">
        <v>2259700</v>
      </c>
      <c r="H98" s="401">
        <f>3700+90000+129100</f>
        <v>222800</v>
      </c>
      <c r="I98" s="401"/>
      <c r="J98" s="686">
        <f t="shared" ref="J98:J124" si="97">L98+O98</f>
        <v>60000</v>
      </c>
      <c r="K98" s="401">
        <v>60000</v>
      </c>
      <c r="L98" s="401"/>
      <c r="M98" s="401"/>
      <c r="N98" s="401"/>
      <c r="O98" s="402">
        <f>K98</f>
        <v>60000</v>
      </c>
      <c r="P98" s="458">
        <f t="shared" ref="P98:P124" si="98">E98+J98</f>
        <v>3200800</v>
      </c>
      <c r="Q98" s="42"/>
      <c r="R98" s="28"/>
    </row>
    <row r="99" spans="1:18" s="118" customFormat="1" ht="184.5" thickTop="1" thickBot="1" x14ac:dyDescent="0.25">
      <c r="A99" s="457" t="s">
        <v>1340</v>
      </c>
      <c r="B99" s="457" t="s">
        <v>368</v>
      </c>
      <c r="C99" s="457" t="s">
        <v>637</v>
      </c>
      <c r="D99" s="457" t="s">
        <v>638</v>
      </c>
      <c r="E99" s="686">
        <f>F99</f>
        <v>7000</v>
      </c>
      <c r="F99" s="401">
        <v>7000</v>
      </c>
      <c r="G99" s="401"/>
      <c r="H99" s="401"/>
      <c r="I99" s="401"/>
      <c r="J99" s="686">
        <f t="shared" si="97"/>
        <v>0</v>
      </c>
      <c r="K99" s="401"/>
      <c r="L99" s="401"/>
      <c r="M99" s="401"/>
      <c r="N99" s="401"/>
      <c r="O99" s="402">
        <f>K99</f>
        <v>0</v>
      </c>
      <c r="P99" s="458">
        <f t="shared" si="98"/>
        <v>7000</v>
      </c>
      <c r="Q99" s="42"/>
      <c r="R99" s="28"/>
    </row>
    <row r="100" spans="1:18" ht="47.25" thickTop="1" thickBot="1" x14ac:dyDescent="0.25">
      <c r="A100" s="397" t="s">
        <v>726</v>
      </c>
      <c r="B100" s="397" t="s">
        <v>727</v>
      </c>
      <c r="C100" s="397"/>
      <c r="D100" s="397" t="s">
        <v>728</v>
      </c>
      <c r="E100" s="686">
        <f>SUM(E101:E112)-E106-E108-E110</f>
        <v>150495330</v>
      </c>
      <c r="F100" s="686">
        <f t="shared" ref="F100:P100" si="99">SUM(F101:F112)-F106-F108-F110</f>
        <v>150495330</v>
      </c>
      <c r="G100" s="686">
        <f t="shared" si="99"/>
        <v>2636610</v>
      </c>
      <c r="H100" s="686">
        <f t="shared" si="99"/>
        <v>216098</v>
      </c>
      <c r="I100" s="686">
        <f t="shared" si="99"/>
        <v>0</v>
      </c>
      <c r="J100" s="686">
        <f t="shared" si="99"/>
        <v>36719407</v>
      </c>
      <c r="K100" s="458">
        <f t="shared" si="99"/>
        <v>36719407</v>
      </c>
      <c r="L100" s="458">
        <f t="shared" si="99"/>
        <v>0</v>
      </c>
      <c r="M100" s="458">
        <f t="shared" si="99"/>
        <v>0</v>
      </c>
      <c r="N100" s="458">
        <f t="shared" si="99"/>
        <v>0</v>
      </c>
      <c r="O100" s="458">
        <f t="shared" si="99"/>
        <v>36719407</v>
      </c>
      <c r="P100" s="458">
        <f t="shared" si="99"/>
        <v>187214737</v>
      </c>
      <c r="Q100" s="42"/>
      <c r="R100" s="42"/>
    </row>
    <row r="101" spans="1:18" ht="138.75" thickTop="1" thickBot="1" x14ac:dyDescent="0.25">
      <c r="A101" s="457" t="s">
        <v>219</v>
      </c>
      <c r="B101" s="457" t="s">
        <v>216</v>
      </c>
      <c r="C101" s="457" t="s">
        <v>220</v>
      </c>
      <c r="D101" s="457" t="s">
        <v>19</v>
      </c>
      <c r="E101" s="686">
        <f>F101</f>
        <v>63154753</v>
      </c>
      <c r="F101" s="401">
        <f>(32850105+1231068)+17889080+11808500+575000-1100000-99000</f>
        <v>63154753</v>
      </c>
      <c r="G101" s="401"/>
      <c r="H101" s="401"/>
      <c r="I101" s="401"/>
      <c r="J101" s="686">
        <f t="shared" si="97"/>
        <v>30899407</v>
      </c>
      <c r="K101" s="401">
        <f>(2200000+490000)+18809407+11200000-1800000</f>
        <v>30899407</v>
      </c>
      <c r="L101" s="401"/>
      <c r="M101" s="401"/>
      <c r="N101" s="401"/>
      <c r="O101" s="402">
        <f>K101</f>
        <v>30899407</v>
      </c>
      <c r="P101" s="458">
        <f t="shared" si="98"/>
        <v>94054160</v>
      </c>
      <c r="Q101" s="22"/>
      <c r="R101" s="32"/>
    </row>
    <row r="102" spans="1:18" ht="138.75" thickTop="1" thickBot="1" x14ac:dyDescent="0.25">
      <c r="A102" s="457" t="s">
        <v>512</v>
      </c>
      <c r="B102" s="457" t="s">
        <v>515</v>
      </c>
      <c r="C102" s="457" t="s">
        <v>514</v>
      </c>
      <c r="D102" s="457" t="s">
        <v>513</v>
      </c>
      <c r="E102" s="458">
        <f>F102</f>
        <v>15240699</v>
      </c>
      <c r="F102" s="401">
        <f>(11450199+1590500)+2200000</f>
        <v>15240699</v>
      </c>
      <c r="G102" s="401"/>
      <c r="H102" s="401"/>
      <c r="I102" s="401"/>
      <c r="J102" s="458">
        <f t="shared" si="97"/>
        <v>0</v>
      </c>
      <c r="K102" s="401"/>
      <c r="L102" s="401"/>
      <c r="M102" s="401"/>
      <c r="N102" s="401"/>
      <c r="O102" s="402">
        <f>K102</f>
        <v>0</v>
      </c>
      <c r="P102" s="458">
        <f t="shared" si="98"/>
        <v>15240699</v>
      </c>
      <c r="Q102" s="22"/>
      <c r="R102" s="42"/>
    </row>
    <row r="103" spans="1:18" ht="184.5" thickTop="1" thickBot="1" x14ac:dyDescent="0.25">
      <c r="A103" s="457" t="s">
        <v>221</v>
      </c>
      <c r="B103" s="457" t="s">
        <v>222</v>
      </c>
      <c r="C103" s="457" t="s">
        <v>223</v>
      </c>
      <c r="D103" s="457" t="s">
        <v>224</v>
      </c>
      <c r="E103" s="458">
        <f t="shared" ref="E103:E124" si="100">F103</f>
        <v>18957732</v>
      </c>
      <c r="F103" s="401">
        <f>(10157732)+3800000+5000000</f>
        <v>18957732</v>
      </c>
      <c r="G103" s="401"/>
      <c r="H103" s="401"/>
      <c r="I103" s="401"/>
      <c r="J103" s="458">
        <f t="shared" si="97"/>
        <v>5820000</v>
      </c>
      <c r="K103" s="401">
        <f>920000+4900000</f>
        <v>5820000</v>
      </c>
      <c r="L103" s="401"/>
      <c r="M103" s="401"/>
      <c r="N103" s="401"/>
      <c r="O103" s="402">
        <f>K103</f>
        <v>5820000</v>
      </c>
      <c r="P103" s="458">
        <f t="shared" si="98"/>
        <v>24777732</v>
      </c>
      <c r="Q103" s="22"/>
      <c r="R103" s="42"/>
    </row>
    <row r="104" spans="1:18" ht="184.5" thickTop="1" thickBot="1" x14ac:dyDescent="0.25">
      <c r="A104" s="457" t="s">
        <v>225</v>
      </c>
      <c r="B104" s="457" t="s">
        <v>226</v>
      </c>
      <c r="C104" s="457" t="s">
        <v>227</v>
      </c>
      <c r="D104" s="457" t="s">
        <v>351</v>
      </c>
      <c r="E104" s="458">
        <f t="shared" si="100"/>
        <v>25043595</v>
      </c>
      <c r="F104" s="401">
        <v>25043595</v>
      </c>
      <c r="G104" s="401"/>
      <c r="H104" s="401"/>
      <c r="I104" s="401"/>
      <c r="J104" s="458">
        <f t="shared" si="97"/>
        <v>0</v>
      </c>
      <c r="K104" s="401"/>
      <c r="L104" s="401"/>
      <c r="M104" s="401"/>
      <c r="N104" s="401"/>
      <c r="O104" s="402">
        <f>K104</f>
        <v>0</v>
      </c>
      <c r="P104" s="458">
        <f t="shared" si="98"/>
        <v>25043595</v>
      </c>
      <c r="Q104" s="22"/>
      <c r="R104" s="42"/>
    </row>
    <row r="105" spans="1:18" ht="93" hidden="1" thickTop="1" thickBot="1" x14ac:dyDescent="0.25">
      <c r="A105" s="171" t="s">
        <v>228</v>
      </c>
      <c r="B105" s="171" t="s">
        <v>229</v>
      </c>
      <c r="C105" s="171" t="s">
        <v>230</v>
      </c>
      <c r="D105" s="171" t="s">
        <v>231</v>
      </c>
      <c r="E105" s="458">
        <f t="shared" si="100"/>
        <v>0</v>
      </c>
      <c r="F105" s="401">
        <f>(7556300)-7556300</f>
        <v>0</v>
      </c>
      <c r="G105" s="401"/>
      <c r="H105" s="401"/>
      <c r="I105" s="401"/>
      <c r="J105" s="458">
        <f t="shared" si="97"/>
        <v>0</v>
      </c>
      <c r="K105" s="401">
        <f>(200000)-200000</f>
        <v>0</v>
      </c>
      <c r="L105" s="401"/>
      <c r="M105" s="401"/>
      <c r="N105" s="401"/>
      <c r="O105" s="402">
        <f>K105</f>
        <v>0</v>
      </c>
      <c r="P105" s="458">
        <f t="shared" si="98"/>
        <v>0</v>
      </c>
      <c r="Q105" s="22"/>
      <c r="R105" s="42"/>
    </row>
    <row r="106" spans="1:18" ht="93" thickTop="1" thickBot="1" x14ac:dyDescent="0.25">
      <c r="A106" s="467" t="s">
        <v>729</v>
      </c>
      <c r="B106" s="467" t="s">
        <v>730</v>
      </c>
      <c r="C106" s="467"/>
      <c r="D106" s="467" t="s">
        <v>731</v>
      </c>
      <c r="E106" s="452">
        <f>E107</f>
        <v>18156325</v>
      </c>
      <c r="F106" s="452">
        <f t="shared" ref="F106:P106" si="101">F107</f>
        <v>18156325</v>
      </c>
      <c r="G106" s="452">
        <f t="shared" si="101"/>
        <v>0</v>
      </c>
      <c r="H106" s="452">
        <f t="shared" si="101"/>
        <v>0</v>
      </c>
      <c r="I106" s="452">
        <f t="shared" si="101"/>
        <v>0</v>
      </c>
      <c r="J106" s="452">
        <f t="shared" si="101"/>
        <v>0</v>
      </c>
      <c r="K106" s="452">
        <f t="shared" si="101"/>
        <v>0</v>
      </c>
      <c r="L106" s="452">
        <f t="shared" si="101"/>
        <v>0</v>
      </c>
      <c r="M106" s="452">
        <f t="shared" si="101"/>
        <v>0</v>
      </c>
      <c r="N106" s="452">
        <f t="shared" si="101"/>
        <v>0</v>
      </c>
      <c r="O106" s="452">
        <f t="shared" si="101"/>
        <v>0</v>
      </c>
      <c r="P106" s="452">
        <f t="shared" si="101"/>
        <v>18156325</v>
      </c>
      <c r="Q106" s="22"/>
      <c r="R106" s="42"/>
    </row>
    <row r="107" spans="1:18" ht="230.25" thickTop="1" thickBot="1" x14ac:dyDescent="0.25">
      <c r="A107" s="457" t="s">
        <v>232</v>
      </c>
      <c r="B107" s="457" t="s">
        <v>233</v>
      </c>
      <c r="C107" s="457" t="s">
        <v>352</v>
      </c>
      <c r="D107" s="457" t="s">
        <v>234</v>
      </c>
      <c r="E107" s="458">
        <f t="shared" si="100"/>
        <v>18156325</v>
      </c>
      <c r="F107" s="401">
        <v>18156325</v>
      </c>
      <c r="G107" s="401"/>
      <c r="H107" s="401"/>
      <c r="I107" s="401"/>
      <c r="J107" s="458">
        <f t="shared" si="97"/>
        <v>0</v>
      </c>
      <c r="K107" s="401"/>
      <c r="L107" s="401"/>
      <c r="M107" s="401"/>
      <c r="N107" s="401"/>
      <c r="O107" s="402">
        <f t="shared" ref="O107:O124" si="102">K107</f>
        <v>0</v>
      </c>
      <c r="P107" s="458">
        <f t="shared" si="98"/>
        <v>18156325</v>
      </c>
      <c r="Q107" s="22"/>
      <c r="R107" s="42"/>
    </row>
    <row r="108" spans="1:18" ht="138.75" hidden="1" thickTop="1" thickBot="1" x14ac:dyDescent="0.25">
      <c r="A108" s="183" t="s">
        <v>732</v>
      </c>
      <c r="B108" s="183" t="s">
        <v>733</v>
      </c>
      <c r="C108" s="183"/>
      <c r="D108" s="183" t="s">
        <v>734</v>
      </c>
      <c r="E108" s="184">
        <f>E109</f>
        <v>0</v>
      </c>
      <c r="F108" s="184">
        <f t="shared" ref="F108:P108" si="103">F109</f>
        <v>0</v>
      </c>
      <c r="G108" s="452">
        <f t="shared" si="103"/>
        <v>0</v>
      </c>
      <c r="H108" s="452">
        <f t="shared" si="103"/>
        <v>0</v>
      </c>
      <c r="I108" s="452">
        <f t="shared" si="103"/>
        <v>0</v>
      </c>
      <c r="J108" s="481">
        <f t="shared" si="103"/>
        <v>0</v>
      </c>
      <c r="K108" s="481">
        <f t="shared" si="103"/>
        <v>0</v>
      </c>
      <c r="L108" s="481">
        <f t="shared" si="103"/>
        <v>0</v>
      </c>
      <c r="M108" s="481">
        <f t="shared" si="103"/>
        <v>0</v>
      </c>
      <c r="N108" s="481">
        <f t="shared" si="103"/>
        <v>0</v>
      </c>
      <c r="O108" s="481">
        <f t="shared" si="103"/>
        <v>0</v>
      </c>
      <c r="P108" s="481">
        <f t="shared" si="103"/>
        <v>0</v>
      </c>
      <c r="Q108" s="22"/>
      <c r="R108" s="42"/>
    </row>
    <row r="109" spans="1:18" ht="184.5" hidden="1" thickTop="1" thickBot="1" x14ac:dyDescent="0.25">
      <c r="A109" s="171" t="s">
        <v>482</v>
      </c>
      <c r="B109" s="171" t="s">
        <v>483</v>
      </c>
      <c r="C109" s="171" t="s">
        <v>235</v>
      </c>
      <c r="D109" s="171" t="s">
        <v>484</v>
      </c>
      <c r="E109" s="170">
        <f t="shared" si="100"/>
        <v>0</v>
      </c>
      <c r="F109" s="177">
        <v>0</v>
      </c>
      <c r="G109" s="401"/>
      <c r="H109" s="401"/>
      <c r="I109" s="401"/>
      <c r="J109" s="500">
        <f t="shared" si="97"/>
        <v>0</v>
      </c>
      <c r="K109" s="480"/>
      <c r="L109" s="480"/>
      <c r="M109" s="480"/>
      <c r="N109" s="480"/>
      <c r="O109" s="501">
        <f t="shared" si="102"/>
        <v>0</v>
      </c>
      <c r="P109" s="500">
        <f t="shared" si="98"/>
        <v>0</v>
      </c>
      <c r="Q109" s="22"/>
      <c r="R109" s="42"/>
    </row>
    <row r="110" spans="1:18" ht="138.75" thickTop="1" thickBot="1" x14ac:dyDescent="0.25">
      <c r="A110" s="467" t="s">
        <v>735</v>
      </c>
      <c r="B110" s="467" t="s">
        <v>736</v>
      </c>
      <c r="C110" s="467"/>
      <c r="D110" s="467" t="s">
        <v>737</v>
      </c>
      <c r="E110" s="452">
        <f>SUM(E111:E112)</f>
        <v>9942226</v>
      </c>
      <c r="F110" s="452">
        <f t="shared" ref="F110:P110" si="104">SUM(F111:F112)</f>
        <v>9942226</v>
      </c>
      <c r="G110" s="452">
        <f t="shared" si="104"/>
        <v>2636610</v>
      </c>
      <c r="H110" s="452">
        <f t="shared" si="104"/>
        <v>216098</v>
      </c>
      <c r="I110" s="452">
        <f t="shared" si="104"/>
        <v>0</v>
      </c>
      <c r="J110" s="452">
        <f t="shared" si="104"/>
        <v>0</v>
      </c>
      <c r="K110" s="452">
        <f t="shared" si="104"/>
        <v>0</v>
      </c>
      <c r="L110" s="452">
        <f t="shared" si="104"/>
        <v>0</v>
      </c>
      <c r="M110" s="452">
        <f t="shared" si="104"/>
        <v>0</v>
      </c>
      <c r="N110" s="452">
        <f t="shared" si="104"/>
        <v>0</v>
      </c>
      <c r="O110" s="452">
        <f t="shared" si="104"/>
        <v>0</v>
      </c>
      <c r="P110" s="452">
        <f t="shared" si="104"/>
        <v>9942226</v>
      </c>
      <c r="Q110" s="22"/>
      <c r="R110" s="42"/>
    </row>
    <row r="111" spans="1:18" s="35" customFormat="1" ht="138.75" thickTop="1" thickBot="1" x14ac:dyDescent="0.25">
      <c r="A111" s="457" t="s">
        <v>327</v>
      </c>
      <c r="B111" s="457" t="s">
        <v>329</v>
      </c>
      <c r="C111" s="457" t="s">
        <v>235</v>
      </c>
      <c r="D111" s="482" t="s">
        <v>325</v>
      </c>
      <c r="E111" s="458">
        <f t="shared" si="100"/>
        <v>3648776</v>
      </c>
      <c r="F111" s="401">
        <v>3648776</v>
      </c>
      <c r="G111" s="401">
        <v>2636610</v>
      </c>
      <c r="H111" s="401">
        <v>216098</v>
      </c>
      <c r="I111" s="401"/>
      <c r="J111" s="458">
        <f t="shared" si="97"/>
        <v>0</v>
      </c>
      <c r="K111" s="401"/>
      <c r="L111" s="401"/>
      <c r="M111" s="401"/>
      <c r="N111" s="401"/>
      <c r="O111" s="402">
        <f t="shared" si="102"/>
        <v>0</v>
      </c>
      <c r="P111" s="458">
        <f t="shared" si="98"/>
        <v>3648776</v>
      </c>
      <c r="Q111" s="39"/>
      <c r="R111" s="28"/>
    </row>
    <row r="112" spans="1:18" s="35" customFormat="1" ht="93" thickTop="1" thickBot="1" x14ac:dyDescent="0.25">
      <c r="A112" s="457" t="s">
        <v>328</v>
      </c>
      <c r="B112" s="457" t="s">
        <v>330</v>
      </c>
      <c r="C112" s="457" t="s">
        <v>235</v>
      </c>
      <c r="D112" s="482" t="s">
        <v>326</v>
      </c>
      <c r="E112" s="686">
        <f t="shared" si="100"/>
        <v>6293450</v>
      </c>
      <c r="F112" s="401">
        <f>(5434200)+859250</f>
        <v>6293450</v>
      </c>
      <c r="G112" s="401"/>
      <c r="H112" s="401"/>
      <c r="I112" s="401"/>
      <c r="J112" s="686">
        <f t="shared" si="97"/>
        <v>0</v>
      </c>
      <c r="K112" s="401"/>
      <c r="L112" s="401"/>
      <c r="M112" s="401"/>
      <c r="N112" s="401"/>
      <c r="O112" s="402">
        <f t="shared" si="102"/>
        <v>0</v>
      </c>
      <c r="P112" s="458">
        <f t="shared" si="98"/>
        <v>6293450</v>
      </c>
      <c r="Q112" s="39"/>
      <c r="R112" s="42"/>
    </row>
    <row r="113" spans="1:20" s="35" customFormat="1" ht="91.5" thickTop="1" thickBot="1" x14ac:dyDescent="0.25">
      <c r="A113" s="397" t="s">
        <v>1250</v>
      </c>
      <c r="B113" s="397" t="s">
        <v>723</v>
      </c>
      <c r="C113" s="397"/>
      <c r="D113" s="397" t="s">
        <v>724</v>
      </c>
      <c r="E113" s="686">
        <f>E114</f>
        <v>100000</v>
      </c>
      <c r="F113" s="686">
        <f t="shared" ref="F113:P113" si="105">F114</f>
        <v>100000</v>
      </c>
      <c r="G113" s="686">
        <f t="shared" si="105"/>
        <v>0</v>
      </c>
      <c r="H113" s="686">
        <f t="shared" si="105"/>
        <v>0</v>
      </c>
      <c r="I113" s="686">
        <f t="shared" si="105"/>
        <v>0</v>
      </c>
      <c r="J113" s="686">
        <f t="shared" si="105"/>
        <v>0</v>
      </c>
      <c r="K113" s="458">
        <f t="shared" si="105"/>
        <v>0</v>
      </c>
      <c r="L113" s="458">
        <f t="shared" si="105"/>
        <v>0</v>
      </c>
      <c r="M113" s="458">
        <f t="shared" si="105"/>
        <v>0</v>
      </c>
      <c r="N113" s="458">
        <f t="shared" si="105"/>
        <v>0</v>
      </c>
      <c r="O113" s="458">
        <f t="shared" si="105"/>
        <v>0</v>
      </c>
      <c r="P113" s="458">
        <f t="shared" si="105"/>
        <v>100000</v>
      </c>
      <c r="Q113" s="39"/>
      <c r="R113" s="42"/>
    </row>
    <row r="114" spans="1:20" s="35" customFormat="1" ht="276" thickTop="1" thickBot="1" x14ac:dyDescent="0.25">
      <c r="A114" s="457" t="s">
        <v>1251</v>
      </c>
      <c r="B114" s="457" t="s">
        <v>1252</v>
      </c>
      <c r="C114" s="457" t="s">
        <v>211</v>
      </c>
      <c r="D114" s="482" t="s">
        <v>1253</v>
      </c>
      <c r="E114" s="686">
        <f t="shared" ref="E114" si="106">F114</f>
        <v>100000</v>
      </c>
      <c r="F114" s="401">
        <v>100000</v>
      </c>
      <c r="G114" s="401"/>
      <c r="H114" s="401"/>
      <c r="I114" s="401"/>
      <c r="J114" s="686">
        <f t="shared" ref="J114" si="107">L114+O114</f>
        <v>0</v>
      </c>
      <c r="K114" s="401"/>
      <c r="L114" s="401"/>
      <c r="M114" s="401"/>
      <c r="N114" s="401"/>
      <c r="O114" s="402">
        <f t="shared" ref="O114" si="108">K114</f>
        <v>0</v>
      </c>
      <c r="P114" s="458">
        <f t="shared" ref="P114" si="109">E114+J114</f>
        <v>100000</v>
      </c>
      <c r="Q114" s="39"/>
      <c r="R114" s="42"/>
    </row>
    <row r="115" spans="1:20" s="35" customFormat="1" ht="47.25" thickTop="1" thickBot="1" x14ac:dyDescent="0.25">
      <c r="A115" s="397" t="s">
        <v>762</v>
      </c>
      <c r="B115" s="397" t="s">
        <v>760</v>
      </c>
      <c r="C115" s="397"/>
      <c r="D115" s="397" t="s">
        <v>761</v>
      </c>
      <c r="E115" s="686">
        <f>SUM(E121)+E116</f>
        <v>0</v>
      </c>
      <c r="F115" s="686">
        <f t="shared" ref="F115:P115" si="110">SUM(F121)+F116</f>
        <v>0</v>
      </c>
      <c r="G115" s="686">
        <f t="shared" si="110"/>
        <v>0</v>
      </c>
      <c r="H115" s="686">
        <f t="shared" si="110"/>
        <v>0</v>
      </c>
      <c r="I115" s="686">
        <f t="shared" si="110"/>
        <v>0</v>
      </c>
      <c r="J115" s="686">
        <f t="shared" si="110"/>
        <v>34309359</v>
      </c>
      <c r="K115" s="458">
        <f t="shared" si="110"/>
        <v>34309359</v>
      </c>
      <c r="L115" s="458">
        <f t="shared" si="110"/>
        <v>0</v>
      </c>
      <c r="M115" s="458">
        <f t="shared" si="110"/>
        <v>0</v>
      </c>
      <c r="N115" s="458">
        <f t="shared" si="110"/>
        <v>0</v>
      </c>
      <c r="O115" s="458">
        <f t="shared" si="110"/>
        <v>34309359</v>
      </c>
      <c r="P115" s="458">
        <f t="shared" si="110"/>
        <v>34309359</v>
      </c>
      <c r="Q115" s="39"/>
      <c r="R115" s="42"/>
    </row>
    <row r="116" spans="1:20" s="35" customFormat="1" ht="91.5" thickTop="1" thickBot="1" x14ac:dyDescent="0.25">
      <c r="A116" s="399" t="s">
        <v>1082</v>
      </c>
      <c r="B116" s="399" t="s">
        <v>816</v>
      </c>
      <c r="C116" s="399"/>
      <c r="D116" s="399" t="s">
        <v>817</v>
      </c>
      <c r="E116" s="403">
        <f>E119+E117</f>
        <v>0</v>
      </c>
      <c r="F116" s="403">
        <f t="shared" ref="F116:P116" si="111">F119+F117</f>
        <v>0</v>
      </c>
      <c r="G116" s="403">
        <f t="shared" si="111"/>
        <v>0</v>
      </c>
      <c r="H116" s="403">
        <f t="shared" si="111"/>
        <v>0</v>
      </c>
      <c r="I116" s="403">
        <f t="shared" si="111"/>
        <v>0</v>
      </c>
      <c r="J116" s="403">
        <f t="shared" si="111"/>
        <v>11239495</v>
      </c>
      <c r="K116" s="403">
        <f t="shared" si="111"/>
        <v>11239495</v>
      </c>
      <c r="L116" s="403">
        <f t="shared" si="111"/>
        <v>0</v>
      </c>
      <c r="M116" s="403">
        <f t="shared" si="111"/>
        <v>0</v>
      </c>
      <c r="N116" s="403">
        <f t="shared" si="111"/>
        <v>0</v>
      </c>
      <c r="O116" s="403">
        <f t="shared" si="111"/>
        <v>11239495</v>
      </c>
      <c r="P116" s="403">
        <f t="shared" si="111"/>
        <v>11239495</v>
      </c>
      <c r="Q116" s="39"/>
      <c r="R116" s="42"/>
    </row>
    <row r="117" spans="1:20" s="35" customFormat="1" ht="146.25" thickTop="1" thickBot="1" x14ac:dyDescent="0.25">
      <c r="A117" s="467" t="s">
        <v>1231</v>
      </c>
      <c r="B117" s="467" t="s">
        <v>834</v>
      </c>
      <c r="C117" s="467"/>
      <c r="D117" s="467" t="s">
        <v>1343</v>
      </c>
      <c r="E117" s="452">
        <f>E118</f>
        <v>0</v>
      </c>
      <c r="F117" s="452">
        <f t="shared" ref="F117:P117" si="112">F118</f>
        <v>0</v>
      </c>
      <c r="G117" s="452">
        <f t="shared" si="112"/>
        <v>0</v>
      </c>
      <c r="H117" s="452">
        <f t="shared" si="112"/>
        <v>0</v>
      </c>
      <c r="I117" s="452">
        <f t="shared" si="112"/>
        <v>0</v>
      </c>
      <c r="J117" s="452">
        <f t="shared" si="112"/>
        <v>11239495</v>
      </c>
      <c r="K117" s="452">
        <f t="shared" si="112"/>
        <v>11239495</v>
      </c>
      <c r="L117" s="452">
        <f t="shared" si="112"/>
        <v>0</v>
      </c>
      <c r="M117" s="452">
        <f t="shared" si="112"/>
        <v>0</v>
      </c>
      <c r="N117" s="452">
        <f t="shared" si="112"/>
        <v>0</v>
      </c>
      <c r="O117" s="452">
        <f t="shared" si="112"/>
        <v>11239495</v>
      </c>
      <c r="P117" s="452">
        <f t="shared" si="112"/>
        <v>11239495</v>
      </c>
      <c r="Q117" s="39"/>
      <c r="R117" s="42"/>
    </row>
    <row r="118" spans="1:20" s="35" customFormat="1" ht="99.75" thickTop="1" thickBot="1" x14ac:dyDescent="0.25">
      <c r="A118" s="457" t="s">
        <v>1230</v>
      </c>
      <c r="B118" s="457" t="s">
        <v>1232</v>
      </c>
      <c r="C118" s="457" t="s">
        <v>310</v>
      </c>
      <c r="D118" s="457" t="s">
        <v>1342</v>
      </c>
      <c r="E118" s="458">
        <f t="shared" ref="E118" si="113">F118</f>
        <v>0</v>
      </c>
      <c r="F118" s="401"/>
      <c r="G118" s="401"/>
      <c r="H118" s="401"/>
      <c r="I118" s="401"/>
      <c r="J118" s="458">
        <f t="shared" ref="J118" si="114">L118+O118</f>
        <v>11239495</v>
      </c>
      <c r="K118" s="401">
        <v>11239495</v>
      </c>
      <c r="L118" s="401"/>
      <c r="M118" s="401"/>
      <c r="N118" s="401"/>
      <c r="O118" s="402">
        <f>K118</f>
        <v>11239495</v>
      </c>
      <c r="P118" s="458">
        <f t="shared" ref="P118" si="115">E118+J118</f>
        <v>11239495</v>
      </c>
      <c r="Q118" s="39"/>
      <c r="R118" s="42"/>
    </row>
    <row r="119" spans="1:20" s="35" customFormat="1" ht="93" hidden="1" thickTop="1" thickBot="1" x14ac:dyDescent="0.25">
      <c r="A119" s="189" t="s">
        <v>1083</v>
      </c>
      <c r="B119" s="189" t="s">
        <v>1081</v>
      </c>
      <c r="C119" s="189"/>
      <c r="D119" s="189" t="s">
        <v>1080</v>
      </c>
      <c r="E119" s="190">
        <f>E120</f>
        <v>0</v>
      </c>
      <c r="F119" s="190">
        <f t="shared" ref="F119:P119" si="116">F120</f>
        <v>0</v>
      </c>
      <c r="G119" s="190">
        <f t="shared" si="116"/>
        <v>0</v>
      </c>
      <c r="H119" s="190">
        <f t="shared" si="116"/>
        <v>0</v>
      </c>
      <c r="I119" s="190">
        <f t="shared" si="116"/>
        <v>0</v>
      </c>
      <c r="J119" s="190">
        <f t="shared" si="116"/>
        <v>0</v>
      </c>
      <c r="K119" s="190">
        <f t="shared" si="116"/>
        <v>0</v>
      </c>
      <c r="L119" s="190">
        <f t="shared" si="116"/>
        <v>0</v>
      </c>
      <c r="M119" s="190">
        <f t="shared" si="116"/>
        <v>0</v>
      </c>
      <c r="N119" s="190">
        <f t="shared" si="116"/>
        <v>0</v>
      </c>
      <c r="O119" s="190">
        <f t="shared" si="116"/>
        <v>0</v>
      </c>
      <c r="P119" s="190">
        <f t="shared" si="116"/>
        <v>0</v>
      </c>
      <c r="Q119" s="39"/>
      <c r="R119" s="42"/>
    </row>
    <row r="120" spans="1:20" s="35" customFormat="1" ht="230.25" hidden="1" thickTop="1" thickBot="1" x14ac:dyDescent="0.25">
      <c r="A120" s="44" t="s">
        <v>1084</v>
      </c>
      <c r="B120" s="44" t="s">
        <v>1085</v>
      </c>
      <c r="C120" s="44" t="s">
        <v>171</v>
      </c>
      <c r="D120" s="44" t="s">
        <v>1086</v>
      </c>
      <c r="E120" s="45">
        <f t="shared" si="100"/>
        <v>0</v>
      </c>
      <c r="F120" s="46"/>
      <c r="G120" s="46"/>
      <c r="H120" s="46"/>
      <c r="I120" s="46"/>
      <c r="J120" s="45">
        <f t="shared" si="97"/>
        <v>0</v>
      </c>
      <c r="K120" s="46"/>
      <c r="L120" s="46"/>
      <c r="M120" s="46"/>
      <c r="N120" s="46"/>
      <c r="O120" s="47">
        <f>K120</f>
        <v>0</v>
      </c>
      <c r="P120" s="45">
        <f t="shared" si="98"/>
        <v>0</v>
      </c>
      <c r="Q120" s="39"/>
      <c r="R120" s="28"/>
    </row>
    <row r="121" spans="1:20" s="30" customFormat="1" ht="136.5" thickTop="1" thickBot="1" x14ac:dyDescent="0.25">
      <c r="A121" s="399" t="s">
        <v>738</v>
      </c>
      <c r="B121" s="399" t="s">
        <v>703</v>
      </c>
      <c r="C121" s="399"/>
      <c r="D121" s="399" t="s">
        <v>701</v>
      </c>
      <c r="E121" s="403">
        <f>E122</f>
        <v>0</v>
      </c>
      <c r="F121" s="403">
        <f t="shared" ref="F121:P121" si="117">F122</f>
        <v>0</v>
      </c>
      <c r="G121" s="403">
        <f t="shared" si="117"/>
        <v>0</v>
      </c>
      <c r="H121" s="403">
        <f t="shared" si="117"/>
        <v>0</v>
      </c>
      <c r="I121" s="403">
        <f t="shared" si="117"/>
        <v>0</v>
      </c>
      <c r="J121" s="403">
        <f t="shared" si="117"/>
        <v>23069864</v>
      </c>
      <c r="K121" s="403">
        <f t="shared" si="117"/>
        <v>23069864</v>
      </c>
      <c r="L121" s="403">
        <f t="shared" si="117"/>
        <v>0</v>
      </c>
      <c r="M121" s="403">
        <f t="shared" si="117"/>
        <v>0</v>
      </c>
      <c r="N121" s="403">
        <f t="shared" si="117"/>
        <v>0</v>
      </c>
      <c r="O121" s="403">
        <f t="shared" si="117"/>
        <v>23069864</v>
      </c>
      <c r="P121" s="403">
        <f t="shared" si="117"/>
        <v>23069864</v>
      </c>
      <c r="Q121" s="194"/>
      <c r="R121" s="43"/>
    </row>
    <row r="122" spans="1:20" s="30" customFormat="1" ht="48" thickTop="1" thickBot="1" x14ac:dyDescent="0.25">
      <c r="A122" s="457" t="s">
        <v>1338</v>
      </c>
      <c r="B122" s="457" t="s">
        <v>217</v>
      </c>
      <c r="C122" s="457" t="s">
        <v>218</v>
      </c>
      <c r="D122" s="457" t="s">
        <v>41</v>
      </c>
      <c r="E122" s="458">
        <f t="shared" si="100"/>
        <v>0</v>
      </c>
      <c r="F122" s="401"/>
      <c r="G122" s="401"/>
      <c r="H122" s="401"/>
      <c r="I122" s="401"/>
      <c r="J122" s="458">
        <f t="shared" ref="J122" si="118">L122+O122</f>
        <v>23069864</v>
      </c>
      <c r="K122" s="401">
        <f>(8590009+2371500-60000)+907081+9009016+2252258</f>
        <v>23069864</v>
      </c>
      <c r="L122" s="401"/>
      <c r="M122" s="401"/>
      <c r="N122" s="401"/>
      <c r="O122" s="402">
        <f t="shared" ref="O122" si="119">K122</f>
        <v>23069864</v>
      </c>
      <c r="P122" s="458">
        <f t="shared" si="98"/>
        <v>23069864</v>
      </c>
      <c r="Q122" s="194"/>
      <c r="R122" s="43"/>
    </row>
    <row r="123" spans="1:20" s="35" customFormat="1" ht="138.75" hidden="1" thickTop="1" thickBot="1" x14ac:dyDescent="0.25">
      <c r="A123" s="44" t="s">
        <v>441</v>
      </c>
      <c r="B123" s="44" t="s">
        <v>202</v>
      </c>
      <c r="C123" s="44" t="s">
        <v>171</v>
      </c>
      <c r="D123" s="44" t="s">
        <v>34</v>
      </c>
      <c r="E123" s="45">
        <f t="shared" si="100"/>
        <v>0</v>
      </c>
      <c r="F123" s="46"/>
      <c r="G123" s="46"/>
      <c r="H123" s="46"/>
      <c r="I123" s="46"/>
      <c r="J123" s="45">
        <f t="shared" si="97"/>
        <v>0</v>
      </c>
      <c r="K123" s="46"/>
      <c r="L123" s="46"/>
      <c r="M123" s="46"/>
      <c r="N123" s="46"/>
      <c r="O123" s="47">
        <f t="shared" si="102"/>
        <v>0</v>
      </c>
      <c r="P123" s="45">
        <f t="shared" si="98"/>
        <v>0</v>
      </c>
      <c r="Q123" s="39"/>
      <c r="R123" s="28"/>
    </row>
    <row r="124" spans="1:20" s="35" customFormat="1" ht="93" hidden="1" thickTop="1" thickBot="1" x14ac:dyDescent="0.25">
      <c r="A124" s="44" t="s">
        <v>516</v>
      </c>
      <c r="B124" s="44" t="s">
        <v>369</v>
      </c>
      <c r="C124" s="44" t="s">
        <v>43</v>
      </c>
      <c r="D124" s="44" t="s">
        <v>370</v>
      </c>
      <c r="E124" s="45">
        <f t="shared" si="100"/>
        <v>0</v>
      </c>
      <c r="F124" s="46"/>
      <c r="G124" s="46"/>
      <c r="H124" s="46"/>
      <c r="I124" s="46"/>
      <c r="J124" s="45">
        <f t="shared" si="97"/>
        <v>0</v>
      </c>
      <c r="K124" s="46"/>
      <c r="L124" s="46"/>
      <c r="M124" s="46"/>
      <c r="N124" s="46"/>
      <c r="O124" s="47">
        <f t="shared" si="102"/>
        <v>0</v>
      </c>
      <c r="P124" s="45">
        <f t="shared" si="98"/>
        <v>0</v>
      </c>
      <c r="Q124" s="39"/>
      <c r="R124" s="32"/>
    </row>
    <row r="125" spans="1:20" ht="226.5" thickTop="1" thickBot="1" x14ac:dyDescent="0.25">
      <c r="A125" s="472" t="s">
        <v>157</v>
      </c>
      <c r="B125" s="472"/>
      <c r="C125" s="472"/>
      <c r="D125" s="473" t="s">
        <v>37</v>
      </c>
      <c r="E125" s="475">
        <f>E126</f>
        <v>252857274.09</v>
      </c>
      <c r="F125" s="474">
        <f t="shared" ref="F125:G125" si="120">F126</f>
        <v>252857274.09</v>
      </c>
      <c r="G125" s="474">
        <f t="shared" si="120"/>
        <v>82238610</v>
      </c>
      <c r="H125" s="474">
        <f>H126</f>
        <v>5468491.0899999999</v>
      </c>
      <c r="I125" s="474">
        <f t="shared" ref="I125" si="121">I126</f>
        <v>0</v>
      </c>
      <c r="J125" s="475">
        <f>J126</f>
        <v>96251517</v>
      </c>
      <c r="K125" s="474">
        <f>K126</f>
        <v>87959988</v>
      </c>
      <c r="L125" s="474">
        <f>L126</f>
        <v>8126529</v>
      </c>
      <c r="M125" s="474">
        <f t="shared" ref="M125" si="122">M126</f>
        <v>2184040</v>
      </c>
      <c r="N125" s="474">
        <f>N126</f>
        <v>758110</v>
      </c>
      <c r="O125" s="475">
        <f>O126</f>
        <v>88124988</v>
      </c>
      <c r="P125" s="474">
        <f>P126</f>
        <v>349108791.09000003</v>
      </c>
      <c r="Q125" s="22"/>
    </row>
    <row r="126" spans="1:20" ht="271.5" thickTop="1" thickBot="1" x14ac:dyDescent="0.25">
      <c r="A126" s="476" t="s">
        <v>158</v>
      </c>
      <c r="B126" s="476"/>
      <c r="C126" s="476"/>
      <c r="D126" s="477" t="s">
        <v>38</v>
      </c>
      <c r="E126" s="478">
        <f>E127+E131+E171+E175</f>
        <v>252857274.09</v>
      </c>
      <c r="F126" s="478">
        <f>F127+F131+F171+F175</f>
        <v>252857274.09</v>
      </c>
      <c r="G126" s="478">
        <f>G127+G131+G171+G175</f>
        <v>82238610</v>
      </c>
      <c r="H126" s="478">
        <f>H127+H131+H171+H175</f>
        <v>5468491.0899999999</v>
      </c>
      <c r="I126" s="478">
        <f>I127+I131+I171+I175</f>
        <v>0</v>
      </c>
      <c r="J126" s="478">
        <f t="shared" ref="J126:J152" si="123">L126+O126</f>
        <v>96251517</v>
      </c>
      <c r="K126" s="478">
        <f>K127+K131+K171+K175</f>
        <v>87959988</v>
      </c>
      <c r="L126" s="478">
        <f>L127+L131+L171+L175</f>
        <v>8126529</v>
      </c>
      <c r="M126" s="478">
        <f>M127+M131+M171+M175</f>
        <v>2184040</v>
      </c>
      <c r="N126" s="478">
        <f>N127+N131+N171+N175</f>
        <v>758110</v>
      </c>
      <c r="O126" s="478">
        <f>O127+O131+O171+O175</f>
        <v>88124988</v>
      </c>
      <c r="P126" s="478">
        <f>E126+J126</f>
        <v>349108791.09000003</v>
      </c>
      <c r="Q126" s="404" t="b">
        <f>P126=P128+P129+P130+P133+P134+P135+P136+P137+P139+P142+P143+P145+P146+P149+P151+P167+P169+P170+P173+P152+P138+P140+P148+P180</f>
        <v>1</v>
      </c>
      <c r="R126" s="49"/>
      <c r="S126" s="49"/>
      <c r="T126" s="48"/>
    </row>
    <row r="127" spans="1:20" ht="47.25" thickTop="1" thickBot="1" x14ac:dyDescent="0.25">
      <c r="A127" s="397" t="s">
        <v>739</v>
      </c>
      <c r="B127" s="397" t="s">
        <v>696</v>
      </c>
      <c r="C127" s="397"/>
      <c r="D127" s="397" t="s">
        <v>697</v>
      </c>
      <c r="E127" s="686">
        <f t="shared" ref="E127:P127" si="124">SUM(E128:E130)</f>
        <v>52802585</v>
      </c>
      <c r="F127" s="686">
        <f t="shared" si="124"/>
        <v>52802585</v>
      </c>
      <c r="G127" s="686">
        <f t="shared" si="124"/>
        <v>38000000</v>
      </c>
      <c r="H127" s="686">
        <f t="shared" si="124"/>
        <v>2160585</v>
      </c>
      <c r="I127" s="686">
        <f t="shared" si="124"/>
        <v>0</v>
      </c>
      <c r="J127" s="686">
        <f t="shared" si="124"/>
        <v>300000</v>
      </c>
      <c r="K127" s="559">
        <f t="shared" si="124"/>
        <v>300000</v>
      </c>
      <c r="L127" s="559">
        <f t="shared" si="124"/>
        <v>0</v>
      </c>
      <c r="M127" s="559">
        <f t="shared" si="124"/>
        <v>0</v>
      </c>
      <c r="N127" s="559">
        <f t="shared" si="124"/>
        <v>0</v>
      </c>
      <c r="O127" s="559">
        <f t="shared" si="124"/>
        <v>300000</v>
      </c>
      <c r="P127" s="559">
        <f t="shared" si="124"/>
        <v>53102585</v>
      </c>
      <c r="Q127" s="50"/>
      <c r="R127" s="49"/>
      <c r="T127" s="48"/>
    </row>
    <row r="128" spans="1:20" ht="230.25" thickTop="1" thickBot="1" x14ac:dyDescent="0.25">
      <c r="A128" s="558" t="s">
        <v>421</v>
      </c>
      <c r="B128" s="558" t="s">
        <v>241</v>
      </c>
      <c r="C128" s="558" t="s">
        <v>239</v>
      </c>
      <c r="D128" s="558" t="s">
        <v>240</v>
      </c>
      <c r="E128" s="686">
        <f t="shared" ref="E128" si="125">F128</f>
        <v>52715585</v>
      </c>
      <c r="F128" s="401">
        <v>52715585</v>
      </c>
      <c r="G128" s="401">
        <v>38000000</v>
      </c>
      <c r="H128" s="401">
        <f>1250000+59135+812450+39000</f>
        <v>2160585</v>
      </c>
      <c r="I128" s="401"/>
      <c r="J128" s="686">
        <f t="shared" si="123"/>
        <v>300000</v>
      </c>
      <c r="K128" s="401">
        <f>300000</f>
        <v>300000</v>
      </c>
      <c r="L128" s="401"/>
      <c r="M128" s="401"/>
      <c r="N128" s="401"/>
      <c r="O128" s="402">
        <f>K128</f>
        <v>300000</v>
      </c>
      <c r="P128" s="559">
        <f t="shared" ref="P128:P143" si="126">E128+J128</f>
        <v>53015585</v>
      </c>
      <c r="Q128" s="50"/>
      <c r="R128" s="49"/>
      <c r="T128" s="48"/>
    </row>
    <row r="129" spans="1:20" ht="184.5" thickTop="1" thickBot="1" x14ac:dyDescent="0.25">
      <c r="A129" s="558" t="s">
        <v>640</v>
      </c>
      <c r="B129" s="558" t="s">
        <v>368</v>
      </c>
      <c r="C129" s="558" t="s">
        <v>637</v>
      </c>
      <c r="D129" s="558" t="s">
        <v>638</v>
      </c>
      <c r="E129" s="686">
        <f t="shared" ref="E129:E130" si="127">F129</f>
        <v>57000</v>
      </c>
      <c r="F129" s="401">
        <v>57000</v>
      </c>
      <c r="G129" s="401"/>
      <c r="H129" s="401"/>
      <c r="I129" s="401"/>
      <c r="J129" s="686">
        <f t="shared" ref="J129:J130" si="128">L129+O129</f>
        <v>0</v>
      </c>
      <c r="K129" s="401"/>
      <c r="L129" s="401"/>
      <c r="M129" s="401"/>
      <c r="N129" s="401"/>
      <c r="O129" s="402">
        <f>K129</f>
        <v>0</v>
      </c>
      <c r="P129" s="559">
        <f t="shared" ref="P129:P130" si="129">E129+J129</f>
        <v>57000</v>
      </c>
      <c r="Q129" s="50"/>
      <c r="R129" s="49"/>
      <c r="T129" s="48"/>
    </row>
    <row r="130" spans="1:20" ht="93" thickTop="1" thickBot="1" x14ac:dyDescent="0.25">
      <c r="A130" s="558" t="s">
        <v>935</v>
      </c>
      <c r="B130" s="558" t="s">
        <v>43</v>
      </c>
      <c r="C130" s="558" t="s">
        <v>42</v>
      </c>
      <c r="D130" s="558" t="s">
        <v>253</v>
      </c>
      <c r="E130" s="686">
        <f t="shared" si="127"/>
        <v>30000</v>
      </c>
      <c r="F130" s="401">
        <v>30000</v>
      </c>
      <c r="G130" s="401"/>
      <c r="H130" s="401"/>
      <c r="I130" s="401"/>
      <c r="J130" s="686">
        <f t="shared" si="128"/>
        <v>0</v>
      </c>
      <c r="K130" s="401"/>
      <c r="L130" s="401"/>
      <c r="M130" s="401"/>
      <c r="N130" s="401"/>
      <c r="O130" s="402"/>
      <c r="P130" s="559">
        <f t="shared" si="129"/>
        <v>30000</v>
      </c>
      <c r="Q130" s="50"/>
      <c r="R130" s="49"/>
      <c r="T130" s="48"/>
    </row>
    <row r="131" spans="1:20" ht="91.5" thickTop="1" thickBot="1" x14ac:dyDescent="0.25">
      <c r="A131" s="397" t="s">
        <v>740</v>
      </c>
      <c r="B131" s="397" t="s">
        <v>723</v>
      </c>
      <c r="C131" s="397"/>
      <c r="D131" s="397" t="s">
        <v>724</v>
      </c>
      <c r="E131" s="686">
        <f t="shared" ref="E131:P131" si="130">SUM(E132:E170)-E132-E141-E150-E153-E168-E147-E144</f>
        <v>200054689.09</v>
      </c>
      <c r="F131" s="686">
        <f t="shared" si="130"/>
        <v>200054689.09</v>
      </c>
      <c r="G131" s="686">
        <f t="shared" si="130"/>
        <v>44238610</v>
      </c>
      <c r="H131" s="686">
        <f t="shared" si="130"/>
        <v>3307906.09</v>
      </c>
      <c r="I131" s="686">
        <f t="shared" si="130"/>
        <v>0</v>
      </c>
      <c r="J131" s="686">
        <f t="shared" si="130"/>
        <v>84951517</v>
      </c>
      <c r="K131" s="559">
        <f t="shared" si="130"/>
        <v>76659988</v>
      </c>
      <c r="L131" s="559">
        <f t="shared" si="130"/>
        <v>8126529</v>
      </c>
      <c r="M131" s="559">
        <f t="shared" si="130"/>
        <v>2184040</v>
      </c>
      <c r="N131" s="559">
        <f t="shared" si="130"/>
        <v>758110</v>
      </c>
      <c r="O131" s="559">
        <f t="shared" si="130"/>
        <v>76824988</v>
      </c>
      <c r="P131" s="559">
        <f t="shared" si="130"/>
        <v>285006206.09000003</v>
      </c>
      <c r="Q131" s="50"/>
      <c r="R131" s="49"/>
      <c r="T131" s="48"/>
    </row>
    <row r="132" spans="1:20" s="37" customFormat="1" ht="367.5" thickTop="1" thickBot="1" x14ac:dyDescent="0.25">
      <c r="A132" s="467" t="s">
        <v>741</v>
      </c>
      <c r="B132" s="467" t="s">
        <v>742</v>
      </c>
      <c r="C132" s="467"/>
      <c r="D132" s="467" t="s">
        <v>743</v>
      </c>
      <c r="E132" s="452">
        <f>SUM(E133:E137)</f>
        <v>65960000</v>
      </c>
      <c r="F132" s="452">
        <f t="shared" ref="F132:P132" si="131">SUM(F133:F137)</f>
        <v>65960000</v>
      </c>
      <c r="G132" s="452">
        <f t="shared" si="131"/>
        <v>0</v>
      </c>
      <c r="H132" s="452">
        <f t="shared" si="131"/>
        <v>0</v>
      </c>
      <c r="I132" s="452">
        <f t="shared" si="131"/>
        <v>0</v>
      </c>
      <c r="J132" s="452">
        <f t="shared" si="131"/>
        <v>150000</v>
      </c>
      <c r="K132" s="452">
        <f t="shared" si="131"/>
        <v>150000</v>
      </c>
      <c r="L132" s="452">
        <f t="shared" si="131"/>
        <v>0</v>
      </c>
      <c r="M132" s="452">
        <f t="shared" si="131"/>
        <v>0</v>
      </c>
      <c r="N132" s="452">
        <f t="shared" si="131"/>
        <v>0</v>
      </c>
      <c r="O132" s="452">
        <f t="shared" si="131"/>
        <v>150000</v>
      </c>
      <c r="P132" s="452">
        <f t="shared" si="131"/>
        <v>66110000</v>
      </c>
      <c r="Q132" s="195"/>
      <c r="R132" s="51"/>
      <c r="T132" s="52"/>
    </row>
    <row r="133" spans="1:20" s="35" customFormat="1" ht="184.5" thickTop="1" thickBot="1" x14ac:dyDescent="0.25">
      <c r="A133" s="558" t="s">
        <v>274</v>
      </c>
      <c r="B133" s="558" t="s">
        <v>275</v>
      </c>
      <c r="C133" s="558" t="s">
        <v>210</v>
      </c>
      <c r="D133" s="469" t="s">
        <v>276</v>
      </c>
      <c r="E133" s="686">
        <f>F133</f>
        <v>360000</v>
      </c>
      <c r="F133" s="401">
        <v>360000</v>
      </c>
      <c r="G133" s="401"/>
      <c r="H133" s="401"/>
      <c r="I133" s="401"/>
      <c r="J133" s="686">
        <f t="shared" si="123"/>
        <v>150000</v>
      </c>
      <c r="K133" s="401">
        <v>150000</v>
      </c>
      <c r="L133" s="401"/>
      <c r="M133" s="401"/>
      <c r="N133" s="401"/>
      <c r="O133" s="402">
        <f t="shared" ref="O133:O152" si="132">K133</f>
        <v>150000</v>
      </c>
      <c r="P133" s="559">
        <f t="shared" si="126"/>
        <v>510000</v>
      </c>
      <c r="Q133" s="39"/>
      <c r="R133" s="49"/>
    </row>
    <row r="134" spans="1:20" s="35" customFormat="1" ht="138.75" thickTop="1" thickBot="1" x14ac:dyDescent="0.25">
      <c r="A134" s="558" t="s">
        <v>277</v>
      </c>
      <c r="B134" s="558" t="s">
        <v>278</v>
      </c>
      <c r="C134" s="558" t="s">
        <v>211</v>
      </c>
      <c r="D134" s="558" t="s">
        <v>6</v>
      </c>
      <c r="E134" s="686">
        <f t="shared" ref="E134:E182" si="133">F134</f>
        <v>700000</v>
      </c>
      <c r="F134" s="401">
        <v>700000</v>
      </c>
      <c r="G134" s="401"/>
      <c r="H134" s="401"/>
      <c r="I134" s="401"/>
      <c r="J134" s="686">
        <f t="shared" si="123"/>
        <v>0</v>
      </c>
      <c r="K134" s="401"/>
      <c r="L134" s="401"/>
      <c r="M134" s="401"/>
      <c r="N134" s="401"/>
      <c r="O134" s="402">
        <f t="shared" si="132"/>
        <v>0</v>
      </c>
      <c r="P134" s="559">
        <f t="shared" si="126"/>
        <v>700000</v>
      </c>
      <c r="Q134" s="39"/>
      <c r="R134" s="53"/>
    </row>
    <row r="135" spans="1:20" s="35" customFormat="1" ht="230.25" thickTop="1" thickBot="1" x14ac:dyDescent="0.25">
      <c r="A135" s="558" t="s">
        <v>280</v>
      </c>
      <c r="B135" s="558" t="s">
        <v>281</v>
      </c>
      <c r="C135" s="558" t="s">
        <v>211</v>
      </c>
      <c r="D135" s="558" t="s">
        <v>7</v>
      </c>
      <c r="E135" s="686">
        <f t="shared" si="133"/>
        <v>19200000</v>
      </c>
      <c r="F135" s="401">
        <v>19200000</v>
      </c>
      <c r="G135" s="401"/>
      <c r="H135" s="401"/>
      <c r="I135" s="401"/>
      <c r="J135" s="686">
        <f t="shared" si="123"/>
        <v>0</v>
      </c>
      <c r="K135" s="401"/>
      <c r="L135" s="401"/>
      <c r="M135" s="401"/>
      <c r="N135" s="401"/>
      <c r="O135" s="402">
        <f t="shared" si="132"/>
        <v>0</v>
      </c>
      <c r="P135" s="559">
        <f t="shared" si="126"/>
        <v>19200000</v>
      </c>
      <c r="Q135" s="39"/>
      <c r="R135" s="53"/>
    </row>
    <row r="136" spans="1:20" s="35" customFormat="1" ht="184.5" thickTop="1" thickBot="1" x14ac:dyDescent="0.25">
      <c r="A136" s="558" t="s">
        <v>282</v>
      </c>
      <c r="B136" s="558" t="s">
        <v>279</v>
      </c>
      <c r="C136" s="558" t="s">
        <v>211</v>
      </c>
      <c r="D136" s="558" t="s">
        <v>8</v>
      </c>
      <c r="E136" s="686">
        <f t="shared" si="133"/>
        <v>700000</v>
      </c>
      <c r="F136" s="401">
        <v>700000</v>
      </c>
      <c r="G136" s="401"/>
      <c r="H136" s="401"/>
      <c r="I136" s="401"/>
      <c r="J136" s="686">
        <f t="shared" si="123"/>
        <v>0</v>
      </c>
      <c r="K136" s="401"/>
      <c r="L136" s="401"/>
      <c r="M136" s="401"/>
      <c r="N136" s="401"/>
      <c r="O136" s="402">
        <f t="shared" si="132"/>
        <v>0</v>
      </c>
      <c r="P136" s="559">
        <f t="shared" si="126"/>
        <v>700000</v>
      </c>
      <c r="Q136" s="39"/>
      <c r="R136" s="53"/>
    </row>
    <row r="137" spans="1:20" s="35" customFormat="1" ht="230.25" thickTop="1" thickBot="1" x14ac:dyDescent="0.25">
      <c r="A137" s="558" t="s">
        <v>283</v>
      </c>
      <c r="B137" s="558" t="s">
        <v>284</v>
      </c>
      <c r="C137" s="558" t="s">
        <v>211</v>
      </c>
      <c r="D137" s="558" t="s">
        <v>9</v>
      </c>
      <c r="E137" s="686">
        <f t="shared" si="133"/>
        <v>45000000</v>
      </c>
      <c r="F137" s="401">
        <v>45000000</v>
      </c>
      <c r="G137" s="401"/>
      <c r="H137" s="401"/>
      <c r="I137" s="401"/>
      <c r="J137" s="686">
        <f t="shared" si="123"/>
        <v>0</v>
      </c>
      <c r="K137" s="401"/>
      <c r="L137" s="401"/>
      <c r="M137" s="401"/>
      <c r="N137" s="401"/>
      <c r="O137" s="402">
        <f t="shared" si="132"/>
        <v>0</v>
      </c>
      <c r="P137" s="559">
        <f t="shared" si="126"/>
        <v>45000000</v>
      </c>
      <c r="Q137" s="39"/>
      <c r="R137" s="53"/>
    </row>
    <row r="138" spans="1:20" s="35" customFormat="1" ht="184.5" thickTop="1" thickBot="1" x14ac:dyDescent="0.25">
      <c r="A138" s="698" t="s">
        <v>485</v>
      </c>
      <c r="B138" s="698" t="s">
        <v>486</v>
      </c>
      <c r="C138" s="698" t="s">
        <v>211</v>
      </c>
      <c r="D138" s="698" t="s">
        <v>487</v>
      </c>
      <c r="E138" s="699">
        <f t="shared" si="133"/>
        <v>272462</v>
      </c>
      <c r="F138" s="401">
        <v>272462</v>
      </c>
      <c r="G138" s="401"/>
      <c r="H138" s="401"/>
      <c r="I138" s="401"/>
      <c r="J138" s="699">
        <f t="shared" si="123"/>
        <v>0</v>
      </c>
      <c r="K138" s="401"/>
      <c r="L138" s="401"/>
      <c r="M138" s="401"/>
      <c r="N138" s="401"/>
      <c r="O138" s="402">
        <f t="shared" si="132"/>
        <v>0</v>
      </c>
      <c r="P138" s="699">
        <f t="shared" si="126"/>
        <v>272462</v>
      </c>
      <c r="Q138" s="39"/>
      <c r="R138" s="53"/>
    </row>
    <row r="139" spans="1:20" s="35" customFormat="1" ht="138.75" thickTop="1" thickBot="1" x14ac:dyDescent="0.25">
      <c r="A139" s="558" t="s">
        <v>936</v>
      </c>
      <c r="B139" s="558" t="s">
        <v>937</v>
      </c>
      <c r="C139" s="558" t="s">
        <v>211</v>
      </c>
      <c r="D139" s="558" t="s">
        <v>938</v>
      </c>
      <c r="E139" s="686">
        <f t="shared" ref="E139" si="134">F139</f>
        <v>2313890</v>
      </c>
      <c r="F139" s="401">
        <f>(180000)+2133890</f>
        <v>2313890</v>
      </c>
      <c r="G139" s="401"/>
      <c r="H139" s="401"/>
      <c r="I139" s="401"/>
      <c r="J139" s="686">
        <f t="shared" ref="J139" si="135">L139+O139</f>
        <v>0</v>
      </c>
      <c r="K139" s="401"/>
      <c r="L139" s="401"/>
      <c r="M139" s="401"/>
      <c r="N139" s="401"/>
      <c r="O139" s="402">
        <f t="shared" ref="O139" si="136">K139</f>
        <v>0</v>
      </c>
      <c r="P139" s="559">
        <f t="shared" ref="P139" si="137">E139+J139</f>
        <v>2313890</v>
      </c>
      <c r="Q139" s="39"/>
      <c r="R139" s="53"/>
    </row>
    <row r="140" spans="1:20" ht="184.5" thickTop="1" thickBot="1" x14ac:dyDescent="0.25">
      <c r="A140" s="698" t="s">
        <v>488</v>
      </c>
      <c r="B140" s="698" t="s">
        <v>489</v>
      </c>
      <c r="C140" s="698" t="s">
        <v>210</v>
      </c>
      <c r="D140" s="698" t="s">
        <v>490</v>
      </c>
      <c r="E140" s="699">
        <f t="shared" si="133"/>
        <v>546559</v>
      </c>
      <c r="F140" s="401">
        <v>546559</v>
      </c>
      <c r="G140" s="401"/>
      <c r="H140" s="401"/>
      <c r="I140" s="401"/>
      <c r="J140" s="699">
        <f t="shared" si="123"/>
        <v>0</v>
      </c>
      <c r="K140" s="401"/>
      <c r="L140" s="401"/>
      <c r="M140" s="401"/>
      <c r="N140" s="401"/>
      <c r="O140" s="402">
        <f>K140</f>
        <v>0</v>
      </c>
      <c r="P140" s="699">
        <f t="shared" si="126"/>
        <v>546559</v>
      </c>
      <c r="Q140" s="22"/>
      <c r="R140" s="53"/>
    </row>
    <row r="141" spans="1:20" s="35" customFormat="1" ht="321.75" thickTop="1" thickBot="1" x14ac:dyDescent="0.25">
      <c r="A141" s="467" t="s">
        <v>744</v>
      </c>
      <c r="B141" s="467" t="s">
        <v>745</v>
      </c>
      <c r="C141" s="467"/>
      <c r="D141" s="467" t="s">
        <v>746</v>
      </c>
      <c r="E141" s="452">
        <f>SUM(E142:E143)</f>
        <v>55558936.090000004</v>
      </c>
      <c r="F141" s="452">
        <f t="shared" ref="F141:P141" si="138">SUM(F142:F143)</f>
        <v>55558936.090000004</v>
      </c>
      <c r="G141" s="452">
        <f t="shared" si="138"/>
        <v>29597320</v>
      </c>
      <c r="H141" s="452">
        <f t="shared" si="138"/>
        <v>1467754.0899999999</v>
      </c>
      <c r="I141" s="452">
        <f t="shared" si="138"/>
        <v>0</v>
      </c>
      <c r="J141" s="452">
        <f t="shared" si="138"/>
        <v>1280200</v>
      </c>
      <c r="K141" s="452">
        <f t="shared" si="138"/>
        <v>550200</v>
      </c>
      <c r="L141" s="452">
        <f t="shared" si="138"/>
        <v>640000</v>
      </c>
      <c r="M141" s="452">
        <f t="shared" si="138"/>
        <v>361000</v>
      </c>
      <c r="N141" s="452">
        <f t="shared" si="138"/>
        <v>55000</v>
      </c>
      <c r="O141" s="452">
        <f t="shared" si="138"/>
        <v>640200</v>
      </c>
      <c r="P141" s="452">
        <f t="shared" si="138"/>
        <v>56839136.090000004</v>
      </c>
      <c r="Q141" s="39"/>
      <c r="R141" s="54"/>
    </row>
    <row r="142" spans="1:20" ht="321.75" thickTop="1" thickBot="1" x14ac:dyDescent="0.25">
      <c r="A142" s="558" t="s">
        <v>272</v>
      </c>
      <c r="B142" s="558" t="s">
        <v>270</v>
      </c>
      <c r="C142" s="558" t="s">
        <v>205</v>
      </c>
      <c r="D142" s="558" t="s">
        <v>17</v>
      </c>
      <c r="E142" s="686">
        <f t="shared" si="133"/>
        <v>45777796.090000004</v>
      </c>
      <c r="F142" s="401">
        <f>(42897540)+2880256.09</f>
        <v>45777796.090000004</v>
      </c>
      <c r="G142" s="401">
        <v>23147377</v>
      </c>
      <c r="H142" s="401">
        <f>(460000+20896+240000+9600)+13680.09</f>
        <v>744176.09</v>
      </c>
      <c r="I142" s="401"/>
      <c r="J142" s="686">
        <f t="shared" si="123"/>
        <v>874200</v>
      </c>
      <c r="K142" s="401">
        <v>144200</v>
      </c>
      <c r="L142" s="401">
        <v>640000</v>
      </c>
      <c r="M142" s="401">
        <v>361000</v>
      </c>
      <c r="N142" s="401">
        <v>55000</v>
      </c>
      <c r="O142" s="402">
        <f>K142+90000</f>
        <v>234200</v>
      </c>
      <c r="P142" s="559">
        <f t="shared" si="126"/>
        <v>46651996.090000004</v>
      </c>
      <c r="Q142" s="22"/>
      <c r="R142" s="49"/>
    </row>
    <row r="143" spans="1:20" ht="184.5" thickTop="1" thickBot="1" x14ac:dyDescent="0.25">
      <c r="A143" s="558" t="s">
        <v>273</v>
      </c>
      <c r="B143" s="558" t="s">
        <v>271</v>
      </c>
      <c r="C143" s="558" t="s">
        <v>204</v>
      </c>
      <c r="D143" s="558" t="s">
        <v>462</v>
      </c>
      <c r="E143" s="686">
        <f t="shared" si="133"/>
        <v>9781140</v>
      </c>
      <c r="F143" s="401">
        <f>(9450798)+330342</f>
        <v>9781140</v>
      </c>
      <c r="G143" s="401">
        <f>3615752+2834191</f>
        <v>6449943</v>
      </c>
      <c r="H143" s="401">
        <f>309600+8200+75000+750+258003+8750+63000+275</f>
        <v>723578</v>
      </c>
      <c r="I143" s="401"/>
      <c r="J143" s="686">
        <f t="shared" si="123"/>
        <v>406000</v>
      </c>
      <c r="K143" s="401">
        <v>406000</v>
      </c>
      <c r="L143" s="401"/>
      <c r="M143" s="401"/>
      <c r="N143" s="401"/>
      <c r="O143" s="402">
        <f t="shared" si="132"/>
        <v>406000</v>
      </c>
      <c r="P143" s="559">
        <f t="shared" si="126"/>
        <v>10187140</v>
      </c>
      <c r="Q143" s="22"/>
      <c r="R143" s="49"/>
    </row>
    <row r="144" spans="1:20" ht="138.75" thickTop="1" thickBot="1" x14ac:dyDescent="0.25">
      <c r="A144" s="467" t="s">
        <v>1041</v>
      </c>
      <c r="B144" s="467" t="s">
        <v>777</v>
      </c>
      <c r="C144" s="467"/>
      <c r="D144" s="467" t="s">
        <v>778</v>
      </c>
      <c r="E144" s="452">
        <f>E145</f>
        <v>8857655</v>
      </c>
      <c r="F144" s="452">
        <f t="shared" ref="F144:P144" si="139">F145</f>
        <v>8857655</v>
      </c>
      <c r="G144" s="452">
        <f t="shared" si="139"/>
        <v>6439226</v>
      </c>
      <c r="H144" s="452">
        <f t="shared" si="139"/>
        <v>378205</v>
      </c>
      <c r="I144" s="452">
        <f t="shared" si="139"/>
        <v>0</v>
      </c>
      <c r="J144" s="452">
        <f t="shared" si="139"/>
        <v>0</v>
      </c>
      <c r="K144" s="452">
        <f t="shared" si="139"/>
        <v>0</v>
      </c>
      <c r="L144" s="452">
        <f t="shared" si="139"/>
        <v>0</v>
      </c>
      <c r="M144" s="452">
        <f t="shared" si="139"/>
        <v>0</v>
      </c>
      <c r="N144" s="452">
        <f t="shared" si="139"/>
        <v>0</v>
      </c>
      <c r="O144" s="452">
        <f t="shared" si="139"/>
        <v>0</v>
      </c>
      <c r="P144" s="452">
        <f t="shared" si="139"/>
        <v>8857655</v>
      </c>
      <c r="Q144" s="22"/>
      <c r="R144" s="49"/>
    </row>
    <row r="145" spans="1:18" ht="138.75" thickTop="1" thickBot="1" x14ac:dyDescent="0.25">
      <c r="A145" s="558" t="s">
        <v>1267</v>
      </c>
      <c r="B145" s="558" t="s">
        <v>189</v>
      </c>
      <c r="C145" s="558" t="s">
        <v>190</v>
      </c>
      <c r="D145" s="558" t="s">
        <v>650</v>
      </c>
      <c r="E145" s="398">
        <f t="shared" ref="E145" si="140">F145</f>
        <v>8857655</v>
      </c>
      <c r="F145" s="453">
        <v>8857655</v>
      </c>
      <c r="G145" s="453">
        <v>6439226</v>
      </c>
      <c r="H145" s="453">
        <f>132665+22900+161200+61440</f>
        <v>378205</v>
      </c>
      <c r="I145" s="453"/>
      <c r="J145" s="686">
        <f t="shared" ref="J145" si="141">L145+O145</f>
        <v>0</v>
      </c>
      <c r="K145" s="453"/>
      <c r="L145" s="454"/>
      <c r="M145" s="454"/>
      <c r="N145" s="454"/>
      <c r="O145" s="402">
        <f t="shared" ref="O145" si="142">K145</f>
        <v>0</v>
      </c>
      <c r="P145" s="559">
        <f>+J145+E145</f>
        <v>8857655</v>
      </c>
      <c r="Q145" s="22"/>
      <c r="R145" s="49"/>
    </row>
    <row r="146" spans="1:18" ht="409.6" thickTop="1" thickBot="1" x14ac:dyDescent="0.25">
      <c r="A146" s="558" t="s">
        <v>268</v>
      </c>
      <c r="B146" s="558" t="s">
        <v>269</v>
      </c>
      <c r="C146" s="558" t="s">
        <v>204</v>
      </c>
      <c r="D146" s="558" t="s">
        <v>460</v>
      </c>
      <c r="E146" s="686">
        <f t="shared" si="133"/>
        <v>4673200</v>
      </c>
      <c r="F146" s="401">
        <v>4673200</v>
      </c>
      <c r="G146" s="401"/>
      <c r="H146" s="401"/>
      <c r="I146" s="401"/>
      <c r="J146" s="686">
        <f t="shared" si="123"/>
        <v>0</v>
      </c>
      <c r="K146" s="559"/>
      <c r="L146" s="401"/>
      <c r="M146" s="401"/>
      <c r="N146" s="401"/>
      <c r="O146" s="402">
        <f t="shared" si="132"/>
        <v>0</v>
      </c>
      <c r="P146" s="559">
        <f>+J146+E146</f>
        <v>4673200</v>
      </c>
      <c r="Q146" s="22"/>
      <c r="R146" s="53"/>
    </row>
    <row r="147" spans="1:18" ht="138.75" thickTop="1" thickBot="1" x14ac:dyDescent="0.25">
      <c r="A147" s="467" t="s">
        <v>895</v>
      </c>
      <c r="B147" s="467" t="s">
        <v>896</v>
      </c>
      <c r="C147" s="467"/>
      <c r="D147" s="467" t="s">
        <v>897</v>
      </c>
      <c r="E147" s="452">
        <f t="shared" si="133"/>
        <v>142618</v>
      </c>
      <c r="F147" s="452">
        <f>F148</f>
        <v>142618</v>
      </c>
      <c r="G147" s="452">
        <f t="shared" ref="G147:I147" si="143">G148</f>
        <v>0</v>
      </c>
      <c r="H147" s="452">
        <f t="shared" si="143"/>
        <v>0</v>
      </c>
      <c r="I147" s="452">
        <f t="shared" si="143"/>
        <v>0</v>
      </c>
      <c r="J147" s="452">
        <f t="shared" si="123"/>
        <v>0</v>
      </c>
      <c r="K147" s="452">
        <f t="shared" ref="K147:N147" si="144">K148</f>
        <v>0</v>
      </c>
      <c r="L147" s="452">
        <f t="shared" si="144"/>
        <v>0</v>
      </c>
      <c r="M147" s="452">
        <f t="shared" si="144"/>
        <v>0</v>
      </c>
      <c r="N147" s="452">
        <f t="shared" si="144"/>
        <v>0</v>
      </c>
      <c r="O147" s="452">
        <f t="shared" si="132"/>
        <v>0</v>
      </c>
      <c r="P147" s="452">
        <f>+J147+E147</f>
        <v>142618</v>
      </c>
      <c r="Q147" s="22"/>
      <c r="R147" s="53"/>
    </row>
    <row r="148" spans="1:18" ht="321.75" thickTop="1" thickBot="1" x14ac:dyDescent="0.25">
      <c r="A148" s="698" t="s">
        <v>491</v>
      </c>
      <c r="B148" s="698" t="s">
        <v>492</v>
      </c>
      <c r="C148" s="698" t="s">
        <v>204</v>
      </c>
      <c r="D148" s="698" t="s">
        <v>493</v>
      </c>
      <c r="E148" s="699">
        <f t="shared" si="133"/>
        <v>142618</v>
      </c>
      <c r="F148" s="401">
        <v>142618</v>
      </c>
      <c r="G148" s="401"/>
      <c r="H148" s="401"/>
      <c r="I148" s="401"/>
      <c r="J148" s="699">
        <f t="shared" si="123"/>
        <v>0</v>
      </c>
      <c r="K148" s="699"/>
      <c r="L148" s="401"/>
      <c r="M148" s="401"/>
      <c r="N148" s="401"/>
      <c r="O148" s="402">
        <f t="shared" si="132"/>
        <v>0</v>
      </c>
      <c r="P148" s="699">
        <f>+J148+E148</f>
        <v>142618</v>
      </c>
      <c r="Q148" s="22"/>
      <c r="R148" s="53"/>
    </row>
    <row r="149" spans="1:18" ht="409.6" thickTop="1" thickBot="1" x14ac:dyDescent="0.25">
      <c r="A149" s="558" t="s">
        <v>354</v>
      </c>
      <c r="B149" s="558" t="s">
        <v>353</v>
      </c>
      <c r="C149" s="558" t="s">
        <v>50</v>
      </c>
      <c r="D149" s="558" t="s">
        <v>461</v>
      </c>
      <c r="E149" s="686">
        <f t="shared" si="133"/>
        <v>3222500</v>
      </c>
      <c r="F149" s="401">
        <v>3222500</v>
      </c>
      <c r="G149" s="401"/>
      <c r="H149" s="401"/>
      <c r="I149" s="401"/>
      <c r="J149" s="686">
        <f t="shared" si="123"/>
        <v>0</v>
      </c>
      <c r="K149" s="559"/>
      <c r="L149" s="401"/>
      <c r="M149" s="401"/>
      <c r="N149" s="401"/>
      <c r="O149" s="402">
        <f t="shared" si="132"/>
        <v>0</v>
      </c>
      <c r="P149" s="559">
        <f>E149+J149</f>
        <v>3222500</v>
      </c>
      <c r="Q149" s="22"/>
      <c r="R149" s="53"/>
    </row>
    <row r="150" spans="1:18" s="35" customFormat="1" ht="93" thickTop="1" thickBot="1" x14ac:dyDescent="0.25">
      <c r="A150" s="467" t="s">
        <v>747</v>
      </c>
      <c r="B150" s="467" t="s">
        <v>748</v>
      </c>
      <c r="C150" s="467"/>
      <c r="D150" s="467" t="s">
        <v>749</v>
      </c>
      <c r="E150" s="452">
        <f>E151</f>
        <v>710000</v>
      </c>
      <c r="F150" s="452">
        <f t="shared" ref="F150:P150" si="145">F151</f>
        <v>710000</v>
      </c>
      <c r="G150" s="452">
        <f t="shared" si="145"/>
        <v>0</v>
      </c>
      <c r="H150" s="452">
        <f t="shared" si="145"/>
        <v>0</v>
      </c>
      <c r="I150" s="452">
        <f t="shared" si="145"/>
        <v>0</v>
      </c>
      <c r="J150" s="452">
        <f t="shared" si="145"/>
        <v>0</v>
      </c>
      <c r="K150" s="452">
        <f t="shared" si="145"/>
        <v>0</v>
      </c>
      <c r="L150" s="452">
        <f t="shared" si="145"/>
        <v>0</v>
      </c>
      <c r="M150" s="452">
        <f t="shared" si="145"/>
        <v>0</v>
      </c>
      <c r="N150" s="452">
        <f t="shared" si="145"/>
        <v>0</v>
      </c>
      <c r="O150" s="452">
        <f t="shared" si="145"/>
        <v>0</v>
      </c>
      <c r="P150" s="452">
        <f t="shared" si="145"/>
        <v>710000</v>
      </c>
      <c r="Q150" s="39"/>
      <c r="R150" s="54"/>
    </row>
    <row r="151" spans="1:18" ht="276" thickTop="1" thickBot="1" x14ac:dyDescent="0.25">
      <c r="A151" s="558" t="s">
        <v>331</v>
      </c>
      <c r="B151" s="558" t="s">
        <v>332</v>
      </c>
      <c r="C151" s="558" t="s">
        <v>210</v>
      </c>
      <c r="D151" s="558" t="s">
        <v>647</v>
      </c>
      <c r="E151" s="686">
        <f t="shared" si="133"/>
        <v>710000</v>
      </c>
      <c r="F151" s="401">
        <f>600000+110000</f>
        <v>710000</v>
      </c>
      <c r="G151" s="401"/>
      <c r="H151" s="401"/>
      <c r="I151" s="401"/>
      <c r="J151" s="686">
        <f t="shared" si="123"/>
        <v>0</v>
      </c>
      <c r="K151" s="401"/>
      <c r="L151" s="401"/>
      <c r="M151" s="401"/>
      <c r="N151" s="401"/>
      <c r="O151" s="402">
        <f t="shared" si="132"/>
        <v>0</v>
      </c>
      <c r="P151" s="559">
        <f>E151+J151</f>
        <v>710000</v>
      </c>
      <c r="Q151" s="22"/>
      <c r="R151" s="53"/>
    </row>
    <row r="152" spans="1:18" ht="93" thickTop="1" thickBot="1" x14ac:dyDescent="0.25">
      <c r="A152" s="558" t="s">
        <v>434</v>
      </c>
      <c r="B152" s="558" t="s">
        <v>378</v>
      </c>
      <c r="C152" s="558" t="s">
        <v>379</v>
      </c>
      <c r="D152" s="558" t="s">
        <v>377</v>
      </c>
      <c r="E152" s="687">
        <f t="shared" si="133"/>
        <v>117000</v>
      </c>
      <c r="F152" s="401">
        <v>117000</v>
      </c>
      <c r="G152" s="401">
        <v>90000</v>
      </c>
      <c r="H152" s="401"/>
      <c r="I152" s="401"/>
      <c r="J152" s="686">
        <f t="shared" si="123"/>
        <v>0</v>
      </c>
      <c r="K152" s="401"/>
      <c r="L152" s="401"/>
      <c r="M152" s="401"/>
      <c r="N152" s="401"/>
      <c r="O152" s="402">
        <f t="shared" si="132"/>
        <v>0</v>
      </c>
      <c r="P152" s="559">
        <f>E152+J152</f>
        <v>117000</v>
      </c>
      <c r="Q152" s="22"/>
      <c r="R152" s="53"/>
    </row>
    <row r="153" spans="1:18" ht="276" hidden="1" thickTop="1" thickBot="1" x14ac:dyDescent="0.25">
      <c r="A153" s="502" t="s">
        <v>1088</v>
      </c>
      <c r="B153" s="502" t="s">
        <v>1089</v>
      </c>
      <c r="C153" s="502"/>
      <c r="D153" s="502" t="s">
        <v>1087</v>
      </c>
      <c r="E153" s="452">
        <f>E154+E157+E161+E164</f>
        <v>0</v>
      </c>
      <c r="F153" s="452">
        <f t="shared" ref="F153:P153" si="146">F154+F157+F161+F164</f>
        <v>0</v>
      </c>
      <c r="G153" s="452">
        <f t="shared" si="146"/>
        <v>0</v>
      </c>
      <c r="H153" s="452">
        <f t="shared" si="146"/>
        <v>0</v>
      </c>
      <c r="I153" s="452">
        <f t="shared" si="146"/>
        <v>0</v>
      </c>
      <c r="J153" s="452">
        <f t="shared" si="146"/>
        <v>0</v>
      </c>
      <c r="K153" s="481">
        <f t="shared" si="146"/>
        <v>0</v>
      </c>
      <c r="L153" s="481">
        <f t="shared" si="146"/>
        <v>0</v>
      </c>
      <c r="M153" s="481">
        <f t="shared" si="146"/>
        <v>0</v>
      </c>
      <c r="N153" s="481">
        <f t="shared" si="146"/>
        <v>0</v>
      </c>
      <c r="O153" s="481">
        <f t="shared" si="146"/>
        <v>0</v>
      </c>
      <c r="P153" s="481">
        <f t="shared" si="146"/>
        <v>0</v>
      </c>
      <c r="Q153" s="22"/>
      <c r="R153" s="53"/>
    </row>
    <row r="154" spans="1:18" ht="409.6" hidden="1" thickTop="1" thickBot="1" x14ac:dyDescent="0.7">
      <c r="A154" s="819" t="s">
        <v>1093</v>
      </c>
      <c r="B154" s="819" t="s">
        <v>1094</v>
      </c>
      <c r="C154" s="819" t="s">
        <v>50</v>
      </c>
      <c r="D154" s="566" t="s">
        <v>1090</v>
      </c>
      <c r="E154" s="820">
        <f t="shared" ref="E154:E157" si="147">F154</f>
        <v>0</v>
      </c>
      <c r="F154" s="820"/>
      <c r="G154" s="820"/>
      <c r="H154" s="820"/>
      <c r="I154" s="820"/>
      <c r="J154" s="820">
        <f t="shared" ref="J154:J157" si="148">L154+O154</f>
        <v>0</v>
      </c>
      <c r="K154" s="816">
        <v>0</v>
      </c>
      <c r="L154" s="813"/>
      <c r="M154" s="813"/>
      <c r="N154" s="813"/>
      <c r="O154" s="816">
        <f t="shared" ref="O154:O157" si="149">K154</f>
        <v>0</v>
      </c>
      <c r="P154" s="813">
        <f t="shared" ref="P154:P157" si="150">E154+J154</f>
        <v>0</v>
      </c>
      <c r="Q154" s="832"/>
      <c r="R154" s="817"/>
    </row>
    <row r="155" spans="1:18" ht="409.6" hidden="1" thickBot="1" x14ac:dyDescent="0.25">
      <c r="A155" s="814"/>
      <c r="B155" s="814"/>
      <c r="C155" s="814"/>
      <c r="D155" s="567" t="s">
        <v>1091</v>
      </c>
      <c r="E155" s="821"/>
      <c r="F155" s="821"/>
      <c r="G155" s="821"/>
      <c r="H155" s="821"/>
      <c r="I155" s="821"/>
      <c r="J155" s="821"/>
      <c r="K155" s="814"/>
      <c r="L155" s="814"/>
      <c r="M155" s="814"/>
      <c r="N155" s="814"/>
      <c r="O155" s="814"/>
      <c r="P155" s="814"/>
      <c r="Q155" s="832"/>
      <c r="R155" s="818"/>
    </row>
    <row r="156" spans="1:18" ht="409.6" hidden="1" thickBot="1" x14ac:dyDescent="0.25">
      <c r="A156" s="815"/>
      <c r="B156" s="815"/>
      <c r="C156" s="815"/>
      <c r="D156" s="568" t="s">
        <v>1092</v>
      </c>
      <c r="E156" s="822"/>
      <c r="F156" s="822"/>
      <c r="G156" s="822"/>
      <c r="H156" s="822"/>
      <c r="I156" s="822"/>
      <c r="J156" s="822"/>
      <c r="K156" s="815"/>
      <c r="L156" s="815"/>
      <c r="M156" s="815"/>
      <c r="N156" s="815"/>
      <c r="O156" s="815"/>
      <c r="P156" s="815"/>
      <c r="Q156" s="832"/>
      <c r="R156" s="818"/>
    </row>
    <row r="157" spans="1:18" ht="409.6" hidden="1" thickTop="1" thickBot="1" x14ac:dyDescent="0.7">
      <c r="A157" s="819" t="s">
        <v>1099</v>
      </c>
      <c r="B157" s="819" t="s">
        <v>1100</v>
      </c>
      <c r="C157" s="819" t="s">
        <v>50</v>
      </c>
      <c r="D157" s="566" t="s">
        <v>1095</v>
      </c>
      <c r="E157" s="820">
        <f t="shared" si="147"/>
        <v>0</v>
      </c>
      <c r="F157" s="820"/>
      <c r="G157" s="820"/>
      <c r="H157" s="820"/>
      <c r="I157" s="820"/>
      <c r="J157" s="820">
        <f t="shared" si="148"/>
        <v>0</v>
      </c>
      <c r="K157" s="816">
        <v>0</v>
      </c>
      <c r="L157" s="813"/>
      <c r="M157" s="813"/>
      <c r="N157" s="813"/>
      <c r="O157" s="813">
        <f t="shared" si="149"/>
        <v>0</v>
      </c>
      <c r="P157" s="813">
        <f t="shared" si="150"/>
        <v>0</v>
      </c>
      <c r="Q157" s="22"/>
      <c r="R157" s="817"/>
    </row>
    <row r="158" spans="1:18" ht="409.6" hidden="1" thickBot="1" x14ac:dyDescent="0.25">
      <c r="A158" s="814"/>
      <c r="B158" s="814"/>
      <c r="C158" s="814"/>
      <c r="D158" s="567" t="s">
        <v>1096</v>
      </c>
      <c r="E158" s="821"/>
      <c r="F158" s="821"/>
      <c r="G158" s="821"/>
      <c r="H158" s="821"/>
      <c r="I158" s="821"/>
      <c r="J158" s="821"/>
      <c r="K158" s="814"/>
      <c r="L158" s="814"/>
      <c r="M158" s="814"/>
      <c r="N158" s="814"/>
      <c r="O158" s="814"/>
      <c r="P158" s="814"/>
      <c r="Q158" s="22"/>
      <c r="R158" s="831"/>
    </row>
    <row r="159" spans="1:18" ht="409.6" hidden="1" thickBot="1" x14ac:dyDescent="0.25">
      <c r="A159" s="814"/>
      <c r="B159" s="814"/>
      <c r="C159" s="814"/>
      <c r="D159" s="567" t="s">
        <v>1097</v>
      </c>
      <c r="E159" s="821"/>
      <c r="F159" s="821"/>
      <c r="G159" s="821"/>
      <c r="H159" s="821"/>
      <c r="I159" s="821"/>
      <c r="J159" s="821"/>
      <c r="K159" s="814"/>
      <c r="L159" s="814"/>
      <c r="M159" s="814"/>
      <c r="N159" s="814"/>
      <c r="O159" s="814"/>
      <c r="P159" s="814"/>
      <c r="Q159" s="22"/>
      <c r="R159" s="831"/>
    </row>
    <row r="160" spans="1:18" ht="229.5" hidden="1" thickBot="1" x14ac:dyDescent="0.25">
      <c r="A160" s="815"/>
      <c r="B160" s="815"/>
      <c r="C160" s="815"/>
      <c r="D160" s="568" t="s">
        <v>1098</v>
      </c>
      <c r="E160" s="822"/>
      <c r="F160" s="822"/>
      <c r="G160" s="822"/>
      <c r="H160" s="822"/>
      <c r="I160" s="822"/>
      <c r="J160" s="822"/>
      <c r="K160" s="815"/>
      <c r="L160" s="815"/>
      <c r="M160" s="815"/>
      <c r="N160" s="815"/>
      <c r="O160" s="815"/>
      <c r="P160" s="815"/>
      <c r="Q160" s="22"/>
      <c r="R160" s="831"/>
    </row>
    <row r="161" spans="1:18" ht="409.6" hidden="1" thickTop="1" thickBot="1" x14ac:dyDescent="0.7">
      <c r="A161" s="819" t="s">
        <v>1101</v>
      </c>
      <c r="B161" s="819" t="s">
        <v>1102</v>
      </c>
      <c r="C161" s="819" t="s">
        <v>50</v>
      </c>
      <c r="D161" s="566" t="s">
        <v>1103</v>
      </c>
      <c r="E161" s="820">
        <f t="shared" ref="E161" si="151">F161</f>
        <v>0</v>
      </c>
      <c r="F161" s="820"/>
      <c r="G161" s="820"/>
      <c r="H161" s="820"/>
      <c r="I161" s="820"/>
      <c r="J161" s="820">
        <f t="shared" ref="J161" si="152">L161+O161</f>
        <v>0</v>
      </c>
      <c r="K161" s="816">
        <v>0</v>
      </c>
      <c r="L161" s="813"/>
      <c r="M161" s="813"/>
      <c r="N161" s="813"/>
      <c r="O161" s="816">
        <f t="shared" ref="O161" si="153">K161</f>
        <v>0</v>
      </c>
      <c r="P161" s="813">
        <f t="shared" ref="P161" si="154">E161+J161</f>
        <v>0</v>
      </c>
      <c r="Q161" s="22"/>
      <c r="R161" s="817"/>
    </row>
    <row r="162" spans="1:18" ht="409.6" hidden="1" thickBot="1" x14ac:dyDescent="0.25">
      <c r="A162" s="814"/>
      <c r="B162" s="814"/>
      <c r="C162" s="814"/>
      <c r="D162" s="567" t="s">
        <v>1104</v>
      </c>
      <c r="E162" s="821"/>
      <c r="F162" s="821"/>
      <c r="G162" s="821"/>
      <c r="H162" s="821"/>
      <c r="I162" s="821"/>
      <c r="J162" s="821"/>
      <c r="K162" s="814"/>
      <c r="L162" s="814"/>
      <c r="M162" s="814"/>
      <c r="N162" s="814"/>
      <c r="O162" s="814"/>
      <c r="P162" s="814"/>
      <c r="Q162" s="22"/>
      <c r="R162" s="818"/>
    </row>
    <row r="163" spans="1:18" ht="138" hidden="1" thickBot="1" x14ac:dyDescent="0.25">
      <c r="A163" s="815"/>
      <c r="B163" s="815"/>
      <c r="C163" s="815"/>
      <c r="D163" s="568" t="s">
        <v>1105</v>
      </c>
      <c r="E163" s="822"/>
      <c r="F163" s="822"/>
      <c r="G163" s="822"/>
      <c r="H163" s="822"/>
      <c r="I163" s="822"/>
      <c r="J163" s="822"/>
      <c r="K163" s="815"/>
      <c r="L163" s="815"/>
      <c r="M163" s="815"/>
      <c r="N163" s="815"/>
      <c r="O163" s="815"/>
      <c r="P163" s="815"/>
      <c r="Q163" s="22"/>
      <c r="R163" s="818"/>
    </row>
    <row r="164" spans="1:18" ht="409.6" hidden="1" thickTop="1" thickBot="1" x14ac:dyDescent="0.7">
      <c r="A164" s="819" t="s">
        <v>1109</v>
      </c>
      <c r="B164" s="819" t="s">
        <v>1110</v>
      </c>
      <c r="C164" s="819" t="s">
        <v>50</v>
      </c>
      <c r="D164" s="566" t="s">
        <v>1106</v>
      </c>
      <c r="E164" s="820">
        <f t="shared" ref="E164" si="155">F164</f>
        <v>0</v>
      </c>
      <c r="F164" s="820"/>
      <c r="G164" s="820"/>
      <c r="H164" s="820"/>
      <c r="I164" s="820"/>
      <c r="J164" s="820">
        <f t="shared" ref="J164" si="156">L164+O164</f>
        <v>0</v>
      </c>
      <c r="K164" s="816">
        <v>0</v>
      </c>
      <c r="L164" s="813"/>
      <c r="M164" s="813"/>
      <c r="N164" s="813"/>
      <c r="O164" s="816">
        <f t="shared" ref="O164" si="157">K164</f>
        <v>0</v>
      </c>
      <c r="P164" s="813">
        <f t="shared" ref="P164" si="158">E164+J164</f>
        <v>0</v>
      </c>
      <c r="Q164" s="22"/>
      <c r="R164" s="817"/>
    </row>
    <row r="165" spans="1:18" ht="409.6" hidden="1" customHeight="1" thickBot="1" x14ac:dyDescent="0.25">
      <c r="A165" s="814"/>
      <c r="B165" s="814"/>
      <c r="C165" s="814"/>
      <c r="D165" s="567" t="s">
        <v>1107</v>
      </c>
      <c r="E165" s="821"/>
      <c r="F165" s="821"/>
      <c r="G165" s="821"/>
      <c r="H165" s="821"/>
      <c r="I165" s="821"/>
      <c r="J165" s="821"/>
      <c r="K165" s="814"/>
      <c r="L165" s="814"/>
      <c r="M165" s="814"/>
      <c r="N165" s="814"/>
      <c r="O165" s="814"/>
      <c r="P165" s="814"/>
      <c r="Q165" s="22"/>
      <c r="R165" s="818"/>
    </row>
    <row r="166" spans="1:18" ht="92.25" hidden="1" thickBot="1" x14ac:dyDescent="0.25">
      <c r="A166" s="815"/>
      <c r="B166" s="815"/>
      <c r="C166" s="815"/>
      <c r="D166" s="568" t="s">
        <v>1108</v>
      </c>
      <c r="E166" s="822"/>
      <c r="F166" s="822"/>
      <c r="G166" s="822"/>
      <c r="H166" s="822"/>
      <c r="I166" s="822"/>
      <c r="J166" s="822"/>
      <c r="K166" s="815"/>
      <c r="L166" s="815"/>
      <c r="M166" s="815"/>
      <c r="N166" s="815"/>
      <c r="O166" s="815"/>
      <c r="P166" s="815"/>
      <c r="Q166" s="22"/>
      <c r="R166" s="818"/>
    </row>
    <row r="167" spans="1:18" s="118" customFormat="1" ht="276" thickTop="1" thickBot="1" x14ac:dyDescent="0.25">
      <c r="A167" s="558" t="s">
        <v>1255</v>
      </c>
      <c r="B167" s="558" t="s">
        <v>1252</v>
      </c>
      <c r="C167" s="558" t="s">
        <v>211</v>
      </c>
      <c r="D167" s="482" t="s">
        <v>1253</v>
      </c>
      <c r="E167" s="687">
        <f t="shared" ref="E167" si="159">F167</f>
        <v>7631150</v>
      </c>
      <c r="F167" s="401">
        <f>(5000000)+107700+50000+199000+1089450+400000+1310000-525000</f>
        <v>7631150</v>
      </c>
      <c r="G167" s="401"/>
      <c r="H167" s="401"/>
      <c r="I167" s="401"/>
      <c r="J167" s="686">
        <f t="shared" ref="J167" si="160">L167+O167</f>
        <v>57008848</v>
      </c>
      <c r="K167" s="401">
        <f>(5000000)+(40318548-107700-400000+9300000)+1000000+350000+98000+1450000</f>
        <v>57008848</v>
      </c>
      <c r="L167" s="401"/>
      <c r="M167" s="401"/>
      <c r="N167" s="401"/>
      <c r="O167" s="402">
        <f t="shared" ref="O167" si="161">K167</f>
        <v>57008848</v>
      </c>
      <c r="P167" s="559">
        <f>E167+J167</f>
        <v>64639998</v>
      </c>
      <c r="Q167" s="22"/>
      <c r="R167" s="122"/>
    </row>
    <row r="168" spans="1:18" s="35" customFormat="1" ht="48" thickTop="1" thickBot="1" x14ac:dyDescent="0.25">
      <c r="A168" s="467" t="s">
        <v>750</v>
      </c>
      <c r="B168" s="467" t="s">
        <v>751</v>
      </c>
      <c r="C168" s="467"/>
      <c r="D168" s="467" t="s">
        <v>752</v>
      </c>
      <c r="E168" s="452">
        <f>SUM(E169:E170)</f>
        <v>50048719</v>
      </c>
      <c r="F168" s="452">
        <f t="shared" ref="F168:P168" si="162">SUM(F169:F170)</f>
        <v>50048719</v>
      </c>
      <c r="G168" s="452">
        <f t="shared" si="162"/>
        <v>8112064</v>
      </c>
      <c r="H168" s="452">
        <f t="shared" si="162"/>
        <v>1461947</v>
      </c>
      <c r="I168" s="452">
        <f t="shared" si="162"/>
        <v>0</v>
      </c>
      <c r="J168" s="452">
        <f t="shared" si="162"/>
        <v>26512469</v>
      </c>
      <c r="K168" s="452">
        <f t="shared" si="162"/>
        <v>18950940</v>
      </c>
      <c r="L168" s="452">
        <f t="shared" si="162"/>
        <v>7486529</v>
      </c>
      <c r="M168" s="452">
        <f t="shared" si="162"/>
        <v>1823040</v>
      </c>
      <c r="N168" s="452">
        <f t="shared" si="162"/>
        <v>703110</v>
      </c>
      <c r="O168" s="452">
        <f t="shared" si="162"/>
        <v>19025940</v>
      </c>
      <c r="P168" s="452">
        <f t="shared" si="162"/>
        <v>76561188</v>
      </c>
      <c r="Q168" s="39"/>
      <c r="R168" s="54"/>
    </row>
    <row r="169" spans="1:18" ht="184.5" thickTop="1" thickBot="1" x14ac:dyDescent="0.25">
      <c r="A169" s="558" t="s">
        <v>333</v>
      </c>
      <c r="B169" s="558" t="s">
        <v>335</v>
      </c>
      <c r="C169" s="558" t="s">
        <v>196</v>
      </c>
      <c r="D169" s="482" t="s">
        <v>337</v>
      </c>
      <c r="E169" s="686">
        <f t="shared" si="133"/>
        <v>17877620</v>
      </c>
      <c r="F169" s="401">
        <f>(14017567)+840600+184900+2193237+128340+53992+40000+248684+133000+37300</f>
        <v>17877620</v>
      </c>
      <c r="G169" s="453">
        <f>(2640302+2693831+1937331)+840600</f>
        <v>8112064</v>
      </c>
      <c r="H169" s="453">
        <f>(31650+235100+40550+93360+440000+207240+260480+25227)+128340</f>
        <v>1461947</v>
      </c>
      <c r="I169" s="401"/>
      <c r="J169" s="686">
        <f t="shared" ref="J169:J182" si="163">L169+O169</f>
        <v>8058469</v>
      </c>
      <c r="K169" s="401">
        <v>496940</v>
      </c>
      <c r="L169" s="401">
        <f>(1000000+211210)+1468040+322969+220000+57650+3663660+190000+350000+3000</f>
        <v>7486529</v>
      </c>
      <c r="M169" s="401">
        <f>(350000+5000)+1468040</f>
        <v>1823040</v>
      </c>
      <c r="N169" s="401">
        <f>(158000+195110)+350000</f>
        <v>703110</v>
      </c>
      <c r="O169" s="402">
        <f>(K169)+75000</f>
        <v>571940</v>
      </c>
      <c r="P169" s="559">
        <f t="shared" ref="P169:P182" si="164">E169+J169</f>
        <v>25936089</v>
      </c>
      <c r="Q169" s="22"/>
      <c r="R169" s="49"/>
    </row>
    <row r="170" spans="1:18" ht="138.75" thickTop="1" thickBot="1" x14ac:dyDescent="0.25">
      <c r="A170" s="558" t="s">
        <v>334</v>
      </c>
      <c r="B170" s="558" t="s">
        <v>336</v>
      </c>
      <c r="C170" s="558" t="s">
        <v>196</v>
      </c>
      <c r="D170" s="482" t="s">
        <v>338</v>
      </c>
      <c r="E170" s="686">
        <f t="shared" si="133"/>
        <v>32171099</v>
      </c>
      <c r="F170" s="401">
        <f>(27546299)-1800000+5000000+14400+50400+500000+598500+250000+11500</f>
        <v>32171099</v>
      </c>
      <c r="G170" s="401"/>
      <c r="H170" s="401"/>
      <c r="I170" s="401"/>
      <c r="J170" s="686">
        <f t="shared" si="163"/>
        <v>18454000</v>
      </c>
      <c r="K170" s="401">
        <f>(18038400)+415600</f>
        <v>18454000</v>
      </c>
      <c r="L170" s="401"/>
      <c r="M170" s="401"/>
      <c r="N170" s="401"/>
      <c r="O170" s="402">
        <f t="shared" ref="O170:O182" si="165">K170</f>
        <v>18454000</v>
      </c>
      <c r="P170" s="559">
        <f t="shared" si="164"/>
        <v>50625099</v>
      </c>
      <c r="Q170" s="22"/>
      <c r="R170" s="49"/>
    </row>
    <row r="171" spans="1:18" ht="91.5" thickTop="1" thickBot="1" x14ac:dyDescent="0.25">
      <c r="A171" s="397" t="s">
        <v>753</v>
      </c>
      <c r="B171" s="397" t="s">
        <v>754</v>
      </c>
      <c r="C171" s="397"/>
      <c r="D171" s="548" t="s">
        <v>755</v>
      </c>
      <c r="E171" s="686">
        <f>SUM(E172)</f>
        <v>0</v>
      </c>
      <c r="F171" s="686">
        <f t="shared" ref="F171:P171" si="166">SUM(F172)</f>
        <v>0</v>
      </c>
      <c r="G171" s="686">
        <f t="shared" si="166"/>
        <v>0</v>
      </c>
      <c r="H171" s="686">
        <f t="shared" si="166"/>
        <v>0</v>
      </c>
      <c r="I171" s="686">
        <f t="shared" si="166"/>
        <v>0</v>
      </c>
      <c r="J171" s="686">
        <f>SUM(J172)</f>
        <v>10000000</v>
      </c>
      <c r="K171" s="559">
        <f t="shared" si="166"/>
        <v>10000000</v>
      </c>
      <c r="L171" s="559">
        <f t="shared" si="166"/>
        <v>0</v>
      </c>
      <c r="M171" s="559">
        <f t="shared" si="166"/>
        <v>0</v>
      </c>
      <c r="N171" s="559">
        <f t="shared" si="166"/>
        <v>0</v>
      </c>
      <c r="O171" s="559">
        <f t="shared" si="166"/>
        <v>10000000</v>
      </c>
      <c r="P171" s="559">
        <f t="shared" si="166"/>
        <v>10000000</v>
      </c>
      <c r="Q171" s="22"/>
      <c r="R171" s="49"/>
    </row>
    <row r="172" spans="1:18" s="35" customFormat="1" ht="138.75" thickTop="1" thickBot="1" x14ac:dyDescent="0.25">
      <c r="A172" s="467" t="s">
        <v>756</v>
      </c>
      <c r="B172" s="467" t="s">
        <v>757</v>
      </c>
      <c r="C172" s="467"/>
      <c r="D172" s="569" t="s">
        <v>758</v>
      </c>
      <c r="E172" s="452">
        <f>SUM(E173:E174)</f>
        <v>0</v>
      </c>
      <c r="F172" s="452">
        <f>SUM(F173:F174)</f>
        <v>0</v>
      </c>
      <c r="G172" s="452">
        <f>SUM(G173:G174)</f>
        <v>0</v>
      </c>
      <c r="H172" s="452">
        <f>SUM(H173:H174)</f>
        <v>0</v>
      </c>
      <c r="I172" s="452">
        <f>SUM(I173:I174)</f>
        <v>0</v>
      </c>
      <c r="J172" s="452">
        <f t="shared" ref="J172:O172" si="167">SUM(J173:J174)</f>
        <v>10000000</v>
      </c>
      <c r="K172" s="452">
        <f t="shared" si="167"/>
        <v>10000000</v>
      </c>
      <c r="L172" s="452">
        <f t="shared" si="167"/>
        <v>0</v>
      </c>
      <c r="M172" s="452">
        <f t="shared" si="167"/>
        <v>0</v>
      </c>
      <c r="N172" s="452">
        <f t="shared" si="167"/>
        <v>0</v>
      </c>
      <c r="O172" s="452">
        <f t="shared" si="167"/>
        <v>10000000</v>
      </c>
      <c r="P172" s="452">
        <f>SUM(P173:P174)</f>
        <v>10000000</v>
      </c>
      <c r="Q172" s="39"/>
      <c r="R172" s="55"/>
    </row>
    <row r="173" spans="1:18" ht="184.5" thickTop="1" thickBot="1" x14ac:dyDescent="0.25">
      <c r="A173" s="558" t="s">
        <v>373</v>
      </c>
      <c r="B173" s="558" t="s">
        <v>371</v>
      </c>
      <c r="C173" s="558" t="s">
        <v>346</v>
      </c>
      <c r="D173" s="482" t="s">
        <v>372</v>
      </c>
      <c r="E173" s="559">
        <f t="shared" si="133"/>
        <v>0</v>
      </c>
      <c r="F173" s="401"/>
      <c r="G173" s="401"/>
      <c r="H173" s="401"/>
      <c r="I173" s="401"/>
      <c r="J173" s="559">
        <f t="shared" si="163"/>
        <v>10000000</v>
      </c>
      <c r="K173" s="401">
        <v>10000000</v>
      </c>
      <c r="L173" s="401"/>
      <c r="M173" s="401"/>
      <c r="N173" s="401"/>
      <c r="O173" s="402">
        <f t="shared" si="165"/>
        <v>10000000</v>
      </c>
      <c r="P173" s="559">
        <f t="shared" si="164"/>
        <v>10000000</v>
      </c>
      <c r="Q173" s="22"/>
      <c r="R173" s="49"/>
    </row>
    <row r="174" spans="1:18" ht="409.6" hidden="1" thickTop="1" thickBot="1" x14ac:dyDescent="0.25">
      <c r="A174" s="44" t="s">
        <v>1111</v>
      </c>
      <c r="B174" s="44" t="s">
        <v>1112</v>
      </c>
      <c r="C174" s="44" t="s">
        <v>346</v>
      </c>
      <c r="D174" s="199" t="s">
        <v>1113</v>
      </c>
      <c r="E174" s="45">
        <f t="shared" si="133"/>
        <v>0</v>
      </c>
      <c r="F174" s="46"/>
      <c r="G174" s="46"/>
      <c r="H174" s="46"/>
      <c r="I174" s="46"/>
      <c r="J174" s="45">
        <f t="shared" si="163"/>
        <v>0</v>
      </c>
      <c r="K174" s="46">
        <v>0</v>
      </c>
      <c r="L174" s="46"/>
      <c r="M174" s="46"/>
      <c r="N174" s="46"/>
      <c r="O174" s="47">
        <f t="shared" si="165"/>
        <v>0</v>
      </c>
      <c r="P174" s="45">
        <f t="shared" si="164"/>
        <v>0</v>
      </c>
      <c r="Q174" s="22"/>
      <c r="R174" s="49"/>
    </row>
    <row r="175" spans="1:18" ht="47.25" thickTop="1" thickBot="1" x14ac:dyDescent="0.25">
      <c r="A175" s="397" t="s">
        <v>763</v>
      </c>
      <c r="B175" s="397" t="s">
        <v>760</v>
      </c>
      <c r="C175" s="397"/>
      <c r="D175" s="397" t="s">
        <v>761</v>
      </c>
      <c r="E175" s="739">
        <f>E179+E176</f>
        <v>0</v>
      </c>
      <c r="F175" s="739">
        <f t="shared" ref="F175:P175" si="168">F179+F176</f>
        <v>0</v>
      </c>
      <c r="G175" s="739">
        <f t="shared" si="168"/>
        <v>0</v>
      </c>
      <c r="H175" s="739">
        <f t="shared" si="168"/>
        <v>0</v>
      </c>
      <c r="I175" s="739">
        <f t="shared" si="168"/>
        <v>0</v>
      </c>
      <c r="J175" s="739">
        <f t="shared" si="168"/>
        <v>1000000</v>
      </c>
      <c r="K175" s="739">
        <f t="shared" si="168"/>
        <v>1000000</v>
      </c>
      <c r="L175" s="739">
        <f t="shared" si="168"/>
        <v>0</v>
      </c>
      <c r="M175" s="739">
        <f t="shared" si="168"/>
        <v>0</v>
      </c>
      <c r="N175" s="739">
        <f t="shared" si="168"/>
        <v>0</v>
      </c>
      <c r="O175" s="739">
        <f t="shared" si="168"/>
        <v>1000000</v>
      </c>
      <c r="P175" s="739">
        <f t="shared" si="168"/>
        <v>1000000</v>
      </c>
      <c r="Q175" s="22"/>
      <c r="R175" s="49"/>
    </row>
    <row r="176" spans="1:18" ht="91.5" hidden="1" thickTop="1" thickBot="1" x14ac:dyDescent="0.25">
      <c r="A176" s="179" t="s">
        <v>942</v>
      </c>
      <c r="B176" s="179" t="s">
        <v>816</v>
      </c>
      <c r="C176" s="179"/>
      <c r="D176" s="179" t="s">
        <v>817</v>
      </c>
      <c r="E176" s="180">
        <f>E177</f>
        <v>0</v>
      </c>
      <c r="F176" s="180">
        <f t="shared" ref="F176:P181" si="169">F177</f>
        <v>0</v>
      </c>
      <c r="G176" s="180">
        <f t="shared" si="169"/>
        <v>0</v>
      </c>
      <c r="H176" s="180">
        <f t="shared" si="169"/>
        <v>0</v>
      </c>
      <c r="I176" s="180">
        <f t="shared" si="169"/>
        <v>0</v>
      </c>
      <c r="J176" s="180">
        <f t="shared" si="169"/>
        <v>0</v>
      </c>
      <c r="K176" s="180">
        <f t="shared" si="169"/>
        <v>0</v>
      </c>
      <c r="L176" s="180">
        <f t="shared" si="169"/>
        <v>0</v>
      </c>
      <c r="M176" s="180">
        <f t="shared" si="169"/>
        <v>0</v>
      </c>
      <c r="N176" s="180">
        <f t="shared" si="169"/>
        <v>0</v>
      </c>
      <c r="O176" s="180">
        <f t="shared" si="169"/>
        <v>0</v>
      </c>
      <c r="P176" s="180">
        <f t="shared" si="169"/>
        <v>0</v>
      </c>
      <c r="Q176" s="22"/>
      <c r="R176" s="49"/>
    </row>
    <row r="177" spans="1:18" ht="146.25" hidden="1" thickTop="1" thickBot="1" x14ac:dyDescent="0.25">
      <c r="A177" s="183" t="s">
        <v>939</v>
      </c>
      <c r="B177" s="183" t="s">
        <v>834</v>
      </c>
      <c r="C177" s="183"/>
      <c r="D177" s="183" t="s">
        <v>1290</v>
      </c>
      <c r="E177" s="184">
        <f>E178</f>
        <v>0</v>
      </c>
      <c r="F177" s="184">
        <f t="shared" si="169"/>
        <v>0</v>
      </c>
      <c r="G177" s="184">
        <f t="shared" si="169"/>
        <v>0</v>
      </c>
      <c r="H177" s="184">
        <f t="shared" si="169"/>
        <v>0</v>
      </c>
      <c r="I177" s="184">
        <f t="shared" si="169"/>
        <v>0</v>
      </c>
      <c r="J177" s="184">
        <f t="shared" si="169"/>
        <v>0</v>
      </c>
      <c r="K177" s="184">
        <f t="shared" si="169"/>
        <v>0</v>
      </c>
      <c r="L177" s="184">
        <f t="shared" si="169"/>
        <v>0</v>
      </c>
      <c r="M177" s="184">
        <f t="shared" si="169"/>
        <v>0</v>
      </c>
      <c r="N177" s="184">
        <f t="shared" si="169"/>
        <v>0</v>
      </c>
      <c r="O177" s="184">
        <f t="shared" si="169"/>
        <v>0</v>
      </c>
      <c r="P177" s="184">
        <f t="shared" si="169"/>
        <v>0</v>
      </c>
      <c r="Q177" s="22"/>
      <c r="R177" s="49"/>
    </row>
    <row r="178" spans="1:18" ht="99.75" hidden="1" thickTop="1" thickBot="1" x14ac:dyDescent="0.25">
      <c r="A178" s="171" t="s">
        <v>940</v>
      </c>
      <c r="B178" s="171" t="s">
        <v>941</v>
      </c>
      <c r="C178" s="171" t="s">
        <v>310</v>
      </c>
      <c r="D178" s="171" t="s">
        <v>1291</v>
      </c>
      <c r="E178" s="170">
        <f>E179</f>
        <v>0</v>
      </c>
      <c r="F178" s="177"/>
      <c r="G178" s="177"/>
      <c r="H178" s="177"/>
      <c r="I178" s="177"/>
      <c r="J178" s="170">
        <f>L178+O178</f>
        <v>0</v>
      </c>
      <c r="K178" s="177">
        <f>(2296400)-2296400</f>
        <v>0</v>
      </c>
      <c r="L178" s="177"/>
      <c r="M178" s="177"/>
      <c r="N178" s="177"/>
      <c r="O178" s="175">
        <f>K178</f>
        <v>0</v>
      </c>
      <c r="P178" s="170">
        <f>E178+J178</f>
        <v>0</v>
      </c>
      <c r="Q178" s="22"/>
      <c r="R178" s="49"/>
    </row>
    <row r="179" spans="1:18" ht="136.5" thickTop="1" thickBot="1" x14ac:dyDescent="0.25">
      <c r="A179" s="399" t="s">
        <v>765</v>
      </c>
      <c r="B179" s="399" t="s">
        <v>703</v>
      </c>
      <c r="C179" s="399"/>
      <c r="D179" s="399" t="s">
        <v>701</v>
      </c>
      <c r="E179" s="403">
        <f>E181+E180</f>
        <v>0</v>
      </c>
      <c r="F179" s="403">
        <f t="shared" ref="F179:I179" si="170">F181+F180</f>
        <v>0</v>
      </c>
      <c r="G179" s="403">
        <f t="shared" si="170"/>
        <v>0</v>
      </c>
      <c r="H179" s="403">
        <f t="shared" si="170"/>
        <v>0</v>
      </c>
      <c r="I179" s="403">
        <f t="shared" si="170"/>
        <v>0</v>
      </c>
      <c r="J179" s="403">
        <f>J181+J180</f>
        <v>1000000</v>
      </c>
      <c r="K179" s="403">
        <f t="shared" ref="K179" si="171">K181+K180</f>
        <v>1000000</v>
      </c>
      <c r="L179" s="403">
        <f t="shared" ref="L179" si="172">L181+L180</f>
        <v>0</v>
      </c>
      <c r="M179" s="403">
        <f t="shared" ref="M179" si="173">M181+M180</f>
        <v>0</v>
      </c>
      <c r="N179" s="403">
        <f t="shared" ref="N179" si="174">N181+N180</f>
        <v>0</v>
      </c>
      <c r="O179" s="403">
        <f t="shared" ref="O179" si="175">O181+O180</f>
        <v>1000000</v>
      </c>
      <c r="P179" s="403">
        <f>P181+P180</f>
        <v>1000000</v>
      </c>
      <c r="Q179" s="22"/>
      <c r="R179" s="49"/>
    </row>
    <row r="180" spans="1:18" s="118" customFormat="1" ht="48" thickTop="1" thickBot="1" x14ac:dyDescent="0.25">
      <c r="A180" s="738" t="s">
        <v>1419</v>
      </c>
      <c r="B180" s="738" t="s">
        <v>217</v>
      </c>
      <c r="C180" s="738" t="s">
        <v>218</v>
      </c>
      <c r="D180" s="738" t="s">
        <v>41</v>
      </c>
      <c r="E180" s="739">
        <f t="shared" ref="E180" si="176">F180</f>
        <v>0</v>
      </c>
      <c r="F180" s="401"/>
      <c r="G180" s="401"/>
      <c r="H180" s="401"/>
      <c r="I180" s="401"/>
      <c r="J180" s="739">
        <f t="shared" ref="J180" si="177">L180+O180</f>
        <v>1000000</v>
      </c>
      <c r="K180" s="401">
        <f>300000+700000</f>
        <v>1000000</v>
      </c>
      <c r="L180" s="401"/>
      <c r="M180" s="401"/>
      <c r="N180" s="401"/>
      <c r="O180" s="402">
        <f t="shared" ref="O180" si="178">K180</f>
        <v>1000000</v>
      </c>
      <c r="P180" s="739">
        <f t="shared" ref="P180" si="179">E180+J180</f>
        <v>1000000</v>
      </c>
      <c r="Q180" s="22"/>
      <c r="R180" s="736"/>
    </row>
    <row r="181" spans="1:18" ht="48" hidden="1" thickTop="1" thickBot="1" x14ac:dyDescent="0.25">
      <c r="A181" s="183" t="s">
        <v>764</v>
      </c>
      <c r="B181" s="183" t="s">
        <v>706</v>
      </c>
      <c r="C181" s="183"/>
      <c r="D181" s="198" t="s">
        <v>704</v>
      </c>
      <c r="E181" s="184">
        <f>E182</f>
        <v>0</v>
      </c>
      <c r="F181" s="184">
        <f t="shared" si="169"/>
        <v>0</v>
      </c>
      <c r="G181" s="184">
        <f t="shared" si="169"/>
        <v>0</v>
      </c>
      <c r="H181" s="184">
        <f t="shared" si="169"/>
        <v>0</v>
      </c>
      <c r="I181" s="184">
        <f t="shared" si="169"/>
        <v>0</v>
      </c>
      <c r="J181" s="184">
        <f t="shared" si="169"/>
        <v>0</v>
      </c>
      <c r="K181" s="184">
        <f t="shared" si="169"/>
        <v>0</v>
      </c>
      <c r="L181" s="184">
        <f t="shared" si="169"/>
        <v>0</v>
      </c>
      <c r="M181" s="184">
        <f t="shared" si="169"/>
        <v>0</v>
      </c>
      <c r="N181" s="184">
        <f t="shared" si="169"/>
        <v>0</v>
      </c>
      <c r="O181" s="184">
        <f t="shared" si="169"/>
        <v>0</v>
      </c>
      <c r="P181" s="184">
        <f t="shared" si="169"/>
        <v>0</v>
      </c>
      <c r="Q181" s="22"/>
      <c r="R181" s="49"/>
    </row>
    <row r="182" spans="1:18" ht="409.6" hidden="1" thickTop="1" thickBot="1" x14ac:dyDescent="0.7">
      <c r="A182" s="838" t="s">
        <v>429</v>
      </c>
      <c r="B182" s="838" t="s">
        <v>344</v>
      </c>
      <c r="C182" s="838" t="s">
        <v>171</v>
      </c>
      <c r="D182" s="200" t="s">
        <v>446</v>
      </c>
      <c r="E182" s="842">
        <f t="shared" si="133"/>
        <v>0</v>
      </c>
      <c r="F182" s="823"/>
      <c r="G182" s="823"/>
      <c r="H182" s="823"/>
      <c r="I182" s="823"/>
      <c r="J182" s="842">
        <f t="shared" si="163"/>
        <v>0</v>
      </c>
      <c r="K182" s="823"/>
      <c r="L182" s="823"/>
      <c r="M182" s="823"/>
      <c r="N182" s="823"/>
      <c r="O182" s="827">
        <f t="shared" si="165"/>
        <v>0</v>
      </c>
      <c r="P182" s="829">
        <f t="shared" si="164"/>
        <v>0</v>
      </c>
      <c r="Q182" s="22"/>
      <c r="R182" s="53"/>
    </row>
    <row r="183" spans="1:18" ht="184.5" hidden="1" thickTop="1" thickBot="1" x14ac:dyDescent="0.25">
      <c r="A183" s="825"/>
      <c r="B183" s="848"/>
      <c r="C183" s="825"/>
      <c r="D183" s="201" t="s">
        <v>447</v>
      </c>
      <c r="E183" s="825"/>
      <c r="F183" s="826"/>
      <c r="G183" s="826"/>
      <c r="H183" s="826"/>
      <c r="I183" s="826"/>
      <c r="J183" s="825"/>
      <c r="K183" s="825"/>
      <c r="L183" s="826"/>
      <c r="M183" s="826"/>
      <c r="N183" s="826"/>
      <c r="O183" s="828"/>
      <c r="P183" s="830"/>
      <c r="Q183" s="22"/>
      <c r="R183" s="53"/>
    </row>
    <row r="184" spans="1:18" ht="181.5" thickTop="1" thickBot="1" x14ac:dyDescent="0.25">
      <c r="A184" s="472">
        <v>1000000</v>
      </c>
      <c r="B184" s="472"/>
      <c r="C184" s="472"/>
      <c r="D184" s="473" t="s">
        <v>24</v>
      </c>
      <c r="E184" s="475">
        <f>E185</f>
        <v>155724377</v>
      </c>
      <c r="F184" s="474">
        <f t="shared" ref="F184:G184" si="180">F185</f>
        <v>155724377</v>
      </c>
      <c r="G184" s="474">
        <f t="shared" si="180"/>
        <v>109636660</v>
      </c>
      <c r="H184" s="474">
        <f>H185</f>
        <v>8494910</v>
      </c>
      <c r="I184" s="474">
        <f>I185</f>
        <v>0</v>
      </c>
      <c r="J184" s="475">
        <f>J185</f>
        <v>12189428</v>
      </c>
      <c r="K184" s="474">
        <f>K185</f>
        <v>2877973</v>
      </c>
      <c r="L184" s="474">
        <f>L185</f>
        <v>9125775</v>
      </c>
      <c r="M184" s="474">
        <f t="shared" ref="M184" si="181">M185</f>
        <v>6635445</v>
      </c>
      <c r="N184" s="474">
        <f>N185</f>
        <v>290560</v>
      </c>
      <c r="O184" s="475">
        <f>O185</f>
        <v>3063653</v>
      </c>
      <c r="P184" s="474">
        <f t="shared" ref="P184" si="182">P185</f>
        <v>167913805</v>
      </c>
      <c r="Q184" s="22"/>
    </row>
    <row r="185" spans="1:18" ht="226.5" thickTop="1" thickBot="1" x14ac:dyDescent="0.25">
      <c r="A185" s="476">
        <v>1010000</v>
      </c>
      <c r="B185" s="476"/>
      <c r="C185" s="476"/>
      <c r="D185" s="477" t="s">
        <v>39</v>
      </c>
      <c r="E185" s="478">
        <f>E186+E188+E203+E197</f>
        <v>155724377</v>
      </c>
      <c r="F185" s="478">
        <f>F186+F188+F203+F197</f>
        <v>155724377</v>
      </c>
      <c r="G185" s="478">
        <f>G186+G188+G203+G197</f>
        <v>109636660</v>
      </c>
      <c r="H185" s="478">
        <f>H186+H188+H203+H197</f>
        <v>8494910</v>
      </c>
      <c r="I185" s="478">
        <f>I186+I188+I203+I197</f>
        <v>0</v>
      </c>
      <c r="J185" s="478">
        <f t="shared" ref="J185:J196" si="183">L185+O185</f>
        <v>12189428</v>
      </c>
      <c r="K185" s="478">
        <f>K186+K188+K203+K197</f>
        <v>2877973</v>
      </c>
      <c r="L185" s="478">
        <f>L186+L188+L203+L197</f>
        <v>9125775</v>
      </c>
      <c r="M185" s="478">
        <f>M186+M188+M203+M197</f>
        <v>6635445</v>
      </c>
      <c r="N185" s="478">
        <f>N186+N188+N203+N197</f>
        <v>290560</v>
      </c>
      <c r="O185" s="478">
        <f>O186+O188+O203+O197</f>
        <v>3063653</v>
      </c>
      <c r="P185" s="478">
        <f t="shared" ref="P185:P196" si="184">E185+J185</f>
        <v>167913805</v>
      </c>
      <c r="Q185" s="404" t="b">
        <f>P185=P187+P189+P190+P191+P192+P195+P196+P200+P201+P193</f>
        <v>1</v>
      </c>
      <c r="R185" s="49"/>
    </row>
    <row r="186" spans="1:18" ht="47.25" thickTop="1" thickBot="1" x14ac:dyDescent="0.25">
      <c r="A186" s="397" t="s">
        <v>766</v>
      </c>
      <c r="B186" s="397" t="s">
        <v>720</v>
      </c>
      <c r="C186" s="397"/>
      <c r="D186" s="397" t="s">
        <v>721</v>
      </c>
      <c r="E186" s="686">
        <f>E187</f>
        <v>84572397</v>
      </c>
      <c r="F186" s="686">
        <f t="shared" ref="F186:P186" si="185">F187</f>
        <v>84572397</v>
      </c>
      <c r="G186" s="686">
        <f t="shared" si="185"/>
        <v>64285530</v>
      </c>
      <c r="H186" s="686">
        <f t="shared" si="185"/>
        <v>4817890</v>
      </c>
      <c r="I186" s="686">
        <f t="shared" si="185"/>
        <v>0</v>
      </c>
      <c r="J186" s="686">
        <f t="shared" si="185"/>
        <v>8830411</v>
      </c>
      <c r="K186" s="559">
        <f t="shared" si="185"/>
        <v>449556</v>
      </c>
      <c r="L186" s="559">
        <f t="shared" si="185"/>
        <v>8300355</v>
      </c>
      <c r="M186" s="559">
        <f t="shared" si="185"/>
        <v>6236945</v>
      </c>
      <c r="N186" s="559">
        <f t="shared" si="185"/>
        <v>219760</v>
      </c>
      <c r="O186" s="559">
        <f t="shared" si="185"/>
        <v>530056</v>
      </c>
      <c r="P186" s="559">
        <f t="shared" si="185"/>
        <v>93402808</v>
      </c>
      <c r="Q186" s="50"/>
      <c r="R186" s="49"/>
    </row>
    <row r="187" spans="1:18" ht="138.75" thickTop="1" thickBot="1" x14ac:dyDescent="0.25">
      <c r="A187" s="558" t="s">
        <v>648</v>
      </c>
      <c r="B187" s="558" t="s">
        <v>649</v>
      </c>
      <c r="C187" s="558" t="s">
        <v>186</v>
      </c>
      <c r="D187" s="558" t="s">
        <v>1164</v>
      </c>
      <c r="E187" s="686">
        <f>F187</f>
        <v>84572397</v>
      </c>
      <c r="F187" s="401">
        <f>(84107362)+75000+70050+117335+30000+84500+24640+18420+26600+18490</f>
        <v>84572397</v>
      </c>
      <c r="G187" s="401">
        <v>64285530</v>
      </c>
      <c r="H187" s="401">
        <f>3908750+56010+676580+140800+35750</f>
        <v>4817890</v>
      </c>
      <c r="I187" s="401"/>
      <c r="J187" s="686">
        <f t="shared" si="183"/>
        <v>8830411</v>
      </c>
      <c r="K187" s="401">
        <f>108181+51007+290368</f>
        <v>449556</v>
      </c>
      <c r="L187" s="401">
        <v>8300355</v>
      </c>
      <c r="M187" s="401">
        <v>6236945</v>
      </c>
      <c r="N187" s="401">
        <v>219760</v>
      </c>
      <c r="O187" s="402">
        <f>(K187+80500)</f>
        <v>530056</v>
      </c>
      <c r="P187" s="559">
        <f t="shared" si="184"/>
        <v>93402808</v>
      </c>
      <c r="Q187" s="22"/>
      <c r="R187" s="49"/>
    </row>
    <row r="188" spans="1:18" s="26" customFormat="1" ht="47.25" thickTop="1" thickBot="1" x14ac:dyDescent="0.25">
      <c r="A188" s="397" t="s">
        <v>767</v>
      </c>
      <c r="B188" s="397" t="s">
        <v>768</v>
      </c>
      <c r="C188" s="397"/>
      <c r="D188" s="397" t="s">
        <v>769</v>
      </c>
      <c r="E188" s="686">
        <f>SUM(E189:E196)-E194</f>
        <v>70089355</v>
      </c>
      <c r="F188" s="686">
        <f t="shared" ref="F188:P188" si="186">SUM(F189:F196)-F194</f>
        <v>70089355</v>
      </c>
      <c r="G188" s="686">
        <f t="shared" si="186"/>
        <v>45351130</v>
      </c>
      <c r="H188" s="686">
        <f t="shared" si="186"/>
        <v>3677020</v>
      </c>
      <c r="I188" s="686">
        <f t="shared" si="186"/>
        <v>0</v>
      </c>
      <c r="J188" s="686">
        <f t="shared" si="186"/>
        <v>1354000</v>
      </c>
      <c r="K188" s="559">
        <f t="shared" si="186"/>
        <v>423400</v>
      </c>
      <c r="L188" s="559">
        <f t="shared" si="186"/>
        <v>825420</v>
      </c>
      <c r="M188" s="559">
        <f t="shared" si="186"/>
        <v>398500</v>
      </c>
      <c r="N188" s="559">
        <f t="shared" si="186"/>
        <v>70800</v>
      </c>
      <c r="O188" s="559">
        <f t="shared" si="186"/>
        <v>528580</v>
      </c>
      <c r="P188" s="559">
        <f t="shared" si="186"/>
        <v>71443355</v>
      </c>
      <c r="Q188" s="27"/>
      <c r="R188" s="53"/>
    </row>
    <row r="189" spans="1:18" ht="48" thickTop="1" thickBot="1" x14ac:dyDescent="0.25">
      <c r="A189" s="558" t="s">
        <v>172</v>
      </c>
      <c r="B189" s="558" t="s">
        <v>173</v>
      </c>
      <c r="C189" s="558" t="s">
        <v>175</v>
      </c>
      <c r="D189" s="558" t="s">
        <v>176</v>
      </c>
      <c r="E189" s="686">
        <f t="shared" ref="E189:E192" si="187">F189</f>
        <v>1156300</v>
      </c>
      <c r="F189" s="401">
        <v>1156300</v>
      </c>
      <c r="G189" s="401"/>
      <c r="H189" s="401"/>
      <c r="I189" s="401"/>
      <c r="J189" s="686">
        <f t="shared" si="183"/>
        <v>0</v>
      </c>
      <c r="K189" s="401"/>
      <c r="L189" s="401"/>
      <c r="M189" s="401"/>
      <c r="N189" s="401"/>
      <c r="O189" s="402">
        <f t="shared" ref="O189:O196" si="188">K189</f>
        <v>0</v>
      </c>
      <c r="P189" s="559">
        <f t="shared" si="184"/>
        <v>1156300</v>
      </c>
      <c r="Q189" s="22"/>
      <c r="R189" s="53"/>
    </row>
    <row r="190" spans="1:18" ht="93" thickTop="1" thickBot="1" x14ac:dyDescent="0.25">
      <c r="A190" s="558" t="s">
        <v>177</v>
      </c>
      <c r="B190" s="558" t="s">
        <v>178</v>
      </c>
      <c r="C190" s="558" t="s">
        <v>179</v>
      </c>
      <c r="D190" s="558" t="s">
        <v>180</v>
      </c>
      <c r="E190" s="559">
        <f t="shared" si="187"/>
        <v>16416487</v>
      </c>
      <c r="F190" s="401">
        <f>(16118413)+250574+47500</f>
        <v>16416487</v>
      </c>
      <c r="G190" s="401">
        <v>11788315</v>
      </c>
      <c r="H190" s="401">
        <f>893700+15910+218600+34700+26500</f>
        <v>1189410</v>
      </c>
      <c r="I190" s="401"/>
      <c r="J190" s="559">
        <f t="shared" si="183"/>
        <v>134000</v>
      </c>
      <c r="K190" s="401"/>
      <c r="L190" s="401">
        <v>134000</v>
      </c>
      <c r="M190" s="401">
        <v>20500</v>
      </c>
      <c r="N190" s="401">
        <v>21000</v>
      </c>
      <c r="O190" s="402">
        <f t="shared" si="188"/>
        <v>0</v>
      </c>
      <c r="P190" s="559">
        <f t="shared" si="184"/>
        <v>16550487</v>
      </c>
      <c r="Q190" s="22"/>
      <c r="R190" s="49"/>
    </row>
    <row r="191" spans="1:18" ht="93" thickTop="1" thickBot="1" x14ac:dyDescent="0.25">
      <c r="A191" s="558" t="s">
        <v>181</v>
      </c>
      <c r="B191" s="558" t="s">
        <v>182</v>
      </c>
      <c r="C191" s="558" t="s">
        <v>179</v>
      </c>
      <c r="D191" s="558" t="s">
        <v>470</v>
      </c>
      <c r="E191" s="559">
        <f t="shared" si="187"/>
        <v>2464930</v>
      </c>
      <c r="F191" s="401">
        <v>2464930</v>
      </c>
      <c r="G191" s="401">
        <f>1555565</f>
        <v>1555565</v>
      </c>
      <c r="H191" s="401">
        <f>335800+7790+159800+4800</f>
        <v>508190</v>
      </c>
      <c r="I191" s="401"/>
      <c r="J191" s="559">
        <f t="shared" si="183"/>
        <v>101600</v>
      </c>
      <c r="K191" s="401"/>
      <c r="L191" s="401">
        <v>101600</v>
      </c>
      <c r="M191" s="401">
        <v>14100</v>
      </c>
      <c r="N191" s="401">
        <v>5700</v>
      </c>
      <c r="O191" s="402">
        <f t="shared" si="188"/>
        <v>0</v>
      </c>
      <c r="P191" s="559">
        <f t="shared" si="184"/>
        <v>2566530</v>
      </c>
      <c r="Q191" s="22"/>
      <c r="R191" s="49"/>
    </row>
    <row r="192" spans="1:18" ht="184.5" thickTop="1" thickBot="1" x14ac:dyDescent="0.25">
      <c r="A192" s="558" t="s">
        <v>183</v>
      </c>
      <c r="B192" s="558" t="s">
        <v>174</v>
      </c>
      <c r="C192" s="558" t="s">
        <v>184</v>
      </c>
      <c r="D192" s="558" t="s">
        <v>185</v>
      </c>
      <c r="E192" s="559">
        <f t="shared" si="187"/>
        <v>19030730</v>
      </c>
      <c r="F192" s="401">
        <f>(18010605)+14500+7000+271173+567382+380+104000+35690+20000</f>
        <v>19030730</v>
      </c>
      <c r="G192" s="401">
        <v>12568760</v>
      </c>
      <c r="H192" s="401">
        <f>946300+17820+790800+99600+41200</f>
        <v>1895720</v>
      </c>
      <c r="I192" s="401"/>
      <c r="J192" s="559">
        <f t="shared" si="183"/>
        <v>971400</v>
      </c>
      <c r="K192" s="401">
        <f>72000+50000+50000+251400</f>
        <v>423400</v>
      </c>
      <c r="L192" s="401">
        <v>511620</v>
      </c>
      <c r="M192" s="401">
        <v>353500</v>
      </c>
      <c r="N192" s="401">
        <v>44100</v>
      </c>
      <c r="O192" s="402">
        <f>(K192+36380)</f>
        <v>459780</v>
      </c>
      <c r="P192" s="559">
        <f t="shared" si="184"/>
        <v>20002130</v>
      </c>
      <c r="Q192" s="22"/>
      <c r="R192" s="49"/>
    </row>
    <row r="193" spans="1:18" s="118" customFormat="1" ht="93" thickTop="1" thickBot="1" x14ac:dyDescent="0.25">
      <c r="A193" s="558" t="s">
        <v>1246</v>
      </c>
      <c r="B193" s="558" t="s">
        <v>1247</v>
      </c>
      <c r="C193" s="558" t="s">
        <v>1249</v>
      </c>
      <c r="D193" s="558" t="s">
        <v>1248</v>
      </c>
      <c r="E193" s="559">
        <f t="shared" ref="E193" si="189">F193</f>
        <v>45500</v>
      </c>
      <c r="F193" s="401">
        <v>45500</v>
      </c>
      <c r="G193" s="401"/>
      <c r="H193" s="401"/>
      <c r="I193" s="401"/>
      <c r="J193" s="559">
        <f t="shared" ref="J193" si="190">L193+O193</f>
        <v>0</v>
      </c>
      <c r="K193" s="401"/>
      <c r="L193" s="401"/>
      <c r="M193" s="401"/>
      <c r="N193" s="401"/>
      <c r="O193" s="402">
        <f>(K193)</f>
        <v>0</v>
      </c>
      <c r="P193" s="559">
        <f t="shared" ref="P193" si="191">E193+J193</f>
        <v>45500</v>
      </c>
      <c r="Q193" s="22"/>
      <c r="R193" s="119"/>
    </row>
    <row r="194" spans="1:18" ht="138.75" thickTop="1" thickBot="1" x14ac:dyDescent="0.25">
      <c r="A194" s="467" t="s">
        <v>770</v>
      </c>
      <c r="B194" s="467" t="s">
        <v>771</v>
      </c>
      <c r="C194" s="467"/>
      <c r="D194" s="467" t="s">
        <v>772</v>
      </c>
      <c r="E194" s="452">
        <f>SUM(E195:E196)</f>
        <v>30975408</v>
      </c>
      <c r="F194" s="452">
        <f t="shared" ref="F194:P194" si="192">SUM(F195:F196)</f>
        <v>30975408</v>
      </c>
      <c r="G194" s="452">
        <f t="shared" si="192"/>
        <v>19438490</v>
      </c>
      <c r="H194" s="452">
        <f t="shared" si="192"/>
        <v>83700</v>
      </c>
      <c r="I194" s="452">
        <f t="shared" si="192"/>
        <v>0</v>
      </c>
      <c r="J194" s="452">
        <f t="shared" si="192"/>
        <v>147000</v>
      </c>
      <c r="K194" s="452">
        <f t="shared" si="192"/>
        <v>0</v>
      </c>
      <c r="L194" s="452">
        <f t="shared" si="192"/>
        <v>78200</v>
      </c>
      <c r="M194" s="452">
        <f t="shared" si="192"/>
        <v>10400</v>
      </c>
      <c r="N194" s="452">
        <f t="shared" si="192"/>
        <v>0</v>
      </c>
      <c r="O194" s="452">
        <f t="shared" si="192"/>
        <v>68800</v>
      </c>
      <c r="P194" s="452">
        <f t="shared" si="192"/>
        <v>31122408</v>
      </c>
      <c r="Q194" s="22"/>
      <c r="R194" s="49"/>
    </row>
    <row r="195" spans="1:18" ht="138.75" thickTop="1" thickBot="1" x14ac:dyDescent="0.25">
      <c r="A195" s="558" t="s">
        <v>339</v>
      </c>
      <c r="B195" s="558" t="s">
        <v>340</v>
      </c>
      <c r="C195" s="558" t="s">
        <v>187</v>
      </c>
      <c r="D195" s="558" t="s">
        <v>471</v>
      </c>
      <c r="E195" s="559">
        <f>F195</f>
        <v>25361387</v>
      </c>
      <c r="F195" s="401">
        <f>(24992887)+368500</f>
        <v>25361387</v>
      </c>
      <c r="G195" s="401">
        <v>19438490</v>
      </c>
      <c r="H195" s="401">
        <f>70300+13000+400</f>
        <v>83700</v>
      </c>
      <c r="I195" s="401"/>
      <c r="J195" s="559">
        <f t="shared" si="183"/>
        <v>147000</v>
      </c>
      <c r="K195" s="401"/>
      <c r="L195" s="401">
        <v>78200</v>
      </c>
      <c r="M195" s="401">
        <v>10400</v>
      </c>
      <c r="N195" s="401"/>
      <c r="O195" s="402">
        <f>(K195)+68800</f>
        <v>68800</v>
      </c>
      <c r="P195" s="559">
        <f t="shared" si="184"/>
        <v>25508387</v>
      </c>
      <c r="Q195" s="22"/>
      <c r="R195" s="49"/>
    </row>
    <row r="196" spans="1:18" ht="93" thickTop="1" thickBot="1" x14ac:dyDescent="0.25">
      <c r="A196" s="558" t="s">
        <v>341</v>
      </c>
      <c r="B196" s="558" t="s">
        <v>342</v>
      </c>
      <c r="C196" s="558" t="s">
        <v>187</v>
      </c>
      <c r="D196" s="558" t="s">
        <v>472</v>
      </c>
      <c r="E196" s="686">
        <f>F196</f>
        <v>5614021</v>
      </c>
      <c r="F196" s="401">
        <f>(5345661)+268360</f>
        <v>5614021</v>
      </c>
      <c r="G196" s="401"/>
      <c r="H196" s="401"/>
      <c r="I196" s="401"/>
      <c r="J196" s="686">
        <f t="shared" si="183"/>
        <v>0</v>
      </c>
      <c r="K196" s="401"/>
      <c r="L196" s="401"/>
      <c r="M196" s="401"/>
      <c r="N196" s="401"/>
      <c r="O196" s="402">
        <f t="shared" si="188"/>
        <v>0</v>
      </c>
      <c r="P196" s="559">
        <f t="shared" si="184"/>
        <v>5614021</v>
      </c>
      <c r="Q196" s="22"/>
      <c r="R196" s="53"/>
    </row>
    <row r="197" spans="1:18" ht="47.25" thickTop="1" thickBot="1" x14ac:dyDescent="0.25">
      <c r="A197" s="397" t="s">
        <v>931</v>
      </c>
      <c r="B197" s="397" t="s">
        <v>760</v>
      </c>
      <c r="C197" s="397"/>
      <c r="D197" s="397" t="s">
        <v>761</v>
      </c>
      <c r="E197" s="686">
        <f>SUM(E198)</f>
        <v>1062625</v>
      </c>
      <c r="F197" s="686">
        <f t="shared" ref="F197:P197" si="193">SUM(F198)</f>
        <v>1062625</v>
      </c>
      <c r="G197" s="686">
        <f t="shared" si="193"/>
        <v>0</v>
      </c>
      <c r="H197" s="686">
        <f t="shared" si="193"/>
        <v>0</v>
      </c>
      <c r="I197" s="686">
        <f t="shared" si="193"/>
        <v>0</v>
      </c>
      <c r="J197" s="686">
        <f t="shared" si="193"/>
        <v>2005017</v>
      </c>
      <c r="K197" s="559">
        <f t="shared" si="193"/>
        <v>2005017</v>
      </c>
      <c r="L197" s="559">
        <f t="shared" si="193"/>
        <v>0</v>
      </c>
      <c r="M197" s="559">
        <f t="shared" si="193"/>
        <v>0</v>
      </c>
      <c r="N197" s="559">
        <f t="shared" si="193"/>
        <v>0</v>
      </c>
      <c r="O197" s="559">
        <f t="shared" si="193"/>
        <v>2005017</v>
      </c>
      <c r="P197" s="559">
        <f t="shared" si="193"/>
        <v>3067642</v>
      </c>
      <c r="Q197" s="22"/>
      <c r="R197" s="53"/>
    </row>
    <row r="198" spans="1:18" ht="136.5" thickTop="1" thickBot="1" x14ac:dyDescent="0.25">
      <c r="A198" s="399" t="s">
        <v>932</v>
      </c>
      <c r="B198" s="399" t="s">
        <v>703</v>
      </c>
      <c r="C198" s="399"/>
      <c r="D198" s="399" t="s">
        <v>701</v>
      </c>
      <c r="E198" s="403">
        <f>E199+E202+E201</f>
        <v>1062625</v>
      </c>
      <c r="F198" s="403">
        <f t="shared" ref="F198:P198" si="194">F199+F202+F201</f>
        <v>1062625</v>
      </c>
      <c r="G198" s="403">
        <f t="shared" si="194"/>
        <v>0</v>
      </c>
      <c r="H198" s="403">
        <f t="shared" si="194"/>
        <v>0</v>
      </c>
      <c r="I198" s="403">
        <f t="shared" si="194"/>
        <v>0</v>
      </c>
      <c r="J198" s="403">
        <f t="shared" si="194"/>
        <v>2005017</v>
      </c>
      <c r="K198" s="403">
        <f t="shared" si="194"/>
        <v>2005017</v>
      </c>
      <c r="L198" s="403">
        <f t="shared" si="194"/>
        <v>0</v>
      </c>
      <c r="M198" s="403">
        <f t="shared" si="194"/>
        <v>0</v>
      </c>
      <c r="N198" s="403">
        <f t="shared" si="194"/>
        <v>0</v>
      </c>
      <c r="O198" s="403">
        <f t="shared" si="194"/>
        <v>2005017</v>
      </c>
      <c r="P198" s="403">
        <f t="shared" si="194"/>
        <v>3067642</v>
      </c>
      <c r="Q198" s="22"/>
      <c r="R198" s="53"/>
    </row>
    <row r="199" spans="1:18" ht="93" thickTop="1" thickBot="1" x14ac:dyDescent="0.25">
      <c r="A199" s="467" t="s">
        <v>1055</v>
      </c>
      <c r="B199" s="467" t="s">
        <v>1056</v>
      </c>
      <c r="C199" s="467"/>
      <c r="D199" s="467" t="s">
        <v>1054</v>
      </c>
      <c r="E199" s="452">
        <f>E200</f>
        <v>1062625</v>
      </c>
      <c r="F199" s="452">
        <f t="shared" ref="F199:P199" si="195">F200</f>
        <v>1062625</v>
      </c>
      <c r="G199" s="452">
        <f t="shared" si="195"/>
        <v>0</v>
      </c>
      <c r="H199" s="452">
        <f t="shared" si="195"/>
        <v>0</v>
      </c>
      <c r="I199" s="452">
        <f t="shared" si="195"/>
        <v>0</v>
      </c>
      <c r="J199" s="452">
        <f t="shared" si="195"/>
        <v>0</v>
      </c>
      <c r="K199" s="452">
        <f t="shared" si="195"/>
        <v>0</v>
      </c>
      <c r="L199" s="452">
        <f t="shared" si="195"/>
        <v>0</v>
      </c>
      <c r="M199" s="452">
        <f t="shared" si="195"/>
        <v>0</v>
      </c>
      <c r="N199" s="452">
        <f t="shared" si="195"/>
        <v>0</v>
      </c>
      <c r="O199" s="452">
        <f t="shared" si="195"/>
        <v>0</v>
      </c>
      <c r="P199" s="452">
        <f t="shared" si="195"/>
        <v>1062625</v>
      </c>
      <c r="Q199" s="22"/>
      <c r="R199" s="53"/>
    </row>
    <row r="200" spans="1:18" ht="93" thickTop="1" thickBot="1" x14ac:dyDescent="0.25">
      <c r="A200" s="558" t="s">
        <v>1058</v>
      </c>
      <c r="B200" s="558" t="s">
        <v>1059</v>
      </c>
      <c r="C200" s="558" t="s">
        <v>218</v>
      </c>
      <c r="D200" s="558" t="s">
        <v>1057</v>
      </c>
      <c r="E200" s="559">
        <f t="shared" ref="E200" si="196">F200</f>
        <v>1062625</v>
      </c>
      <c r="F200" s="401">
        <v>1062625</v>
      </c>
      <c r="G200" s="401"/>
      <c r="H200" s="401"/>
      <c r="I200" s="401"/>
      <c r="J200" s="559">
        <f>L200+O200</f>
        <v>0</v>
      </c>
      <c r="K200" s="401"/>
      <c r="L200" s="401"/>
      <c r="M200" s="401"/>
      <c r="N200" s="401"/>
      <c r="O200" s="402">
        <f>K200</f>
        <v>0</v>
      </c>
      <c r="P200" s="559">
        <f>E200+J200</f>
        <v>1062625</v>
      </c>
      <c r="Q200" s="22"/>
      <c r="R200" s="53"/>
    </row>
    <row r="201" spans="1:18" s="118" customFormat="1" ht="48" thickTop="1" thickBot="1" x14ac:dyDescent="0.25">
      <c r="A201" s="558" t="s">
        <v>1354</v>
      </c>
      <c r="B201" s="558" t="s">
        <v>217</v>
      </c>
      <c r="C201" s="558" t="s">
        <v>218</v>
      </c>
      <c r="D201" s="558" t="s">
        <v>41</v>
      </c>
      <c r="E201" s="559">
        <f t="shared" ref="E201" si="197">F201</f>
        <v>0</v>
      </c>
      <c r="F201" s="401"/>
      <c r="G201" s="401"/>
      <c r="H201" s="401"/>
      <c r="I201" s="401"/>
      <c r="J201" s="559">
        <f>L201+O201</f>
        <v>2005017</v>
      </c>
      <c r="K201" s="401">
        <f>800000+1205017</f>
        <v>2005017</v>
      </c>
      <c r="L201" s="401"/>
      <c r="M201" s="401"/>
      <c r="N201" s="401"/>
      <c r="O201" s="402">
        <f>K201</f>
        <v>2005017</v>
      </c>
      <c r="P201" s="559">
        <f>E201+J201</f>
        <v>2005017</v>
      </c>
      <c r="Q201" s="22"/>
      <c r="R201" s="53"/>
    </row>
    <row r="202" spans="1:18" ht="138.75" hidden="1" thickTop="1" thickBot="1" x14ac:dyDescent="0.25">
      <c r="A202" s="171" t="s">
        <v>933</v>
      </c>
      <c r="B202" s="171" t="s">
        <v>202</v>
      </c>
      <c r="C202" s="171" t="s">
        <v>171</v>
      </c>
      <c r="D202" s="171" t="s">
        <v>34</v>
      </c>
      <c r="E202" s="170">
        <f t="shared" ref="E202" si="198">F202</f>
        <v>0</v>
      </c>
      <c r="F202" s="177"/>
      <c r="G202" s="177"/>
      <c r="H202" s="177"/>
      <c r="I202" s="177"/>
      <c r="J202" s="170">
        <f t="shared" ref="J202" si="199">L202+O202</f>
        <v>0</v>
      </c>
      <c r="K202" s="177"/>
      <c r="L202" s="177"/>
      <c r="M202" s="177"/>
      <c r="N202" s="177"/>
      <c r="O202" s="175">
        <f t="shared" ref="O202" si="200">K202</f>
        <v>0</v>
      </c>
      <c r="P202" s="170">
        <f t="shared" ref="P202" si="201">E202+J202</f>
        <v>0</v>
      </c>
      <c r="Q202" s="22"/>
      <c r="R202" s="49"/>
    </row>
    <row r="203" spans="1:18" ht="47.25" hidden="1" thickTop="1" thickBot="1" x14ac:dyDescent="0.25">
      <c r="A203" s="191" t="s">
        <v>773</v>
      </c>
      <c r="B203" s="191" t="s">
        <v>714</v>
      </c>
      <c r="C203" s="191"/>
      <c r="D203" s="191" t="s">
        <v>715</v>
      </c>
      <c r="E203" s="45">
        <f>E204</f>
        <v>0</v>
      </c>
      <c r="F203" s="45">
        <f t="shared" ref="F203:P204" si="202">F204</f>
        <v>0</v>
      </c>
      <c r="G203" s="45">
        <f t="shared" si="202"/>
        <v>0</v>
      </c>
      <c r="H203" s="45">
        <f t="shared" si="202"/>
        <v>0</v>
      </c>
      <c r="I203" s="45">
        <f t="shared" si="202"/>
        <v>0</v>
      </c>
      <c r="J203" s="45">
        <f t="shared" si="202"/>
        <v>0</v>
      </c>
      <c r="K203" s="45">
        <f t="shared" si="202"/>
        <v>0</v>
      </c>
      <c r="L203" s="45">
        <f t="shared" si="202"/>
        <v>0</v>
      </c>
      <c r="M203" s="45">
        <f t="shared" si="202"/>
        <v>0</v>
      </c>
      <c r="N203" s="45">
        <f t="shared" si="202"/>
        <v>0</v>
      </c>
      <c r="O203" s="45">
        <f t="shared" si="202"/>
        <v>0</v>
      </c>
      <c r="P203" s="45">
        <f t="shared" si="202"/>
        <v>0</v>
      </c>
      <c r="Q203" s="22"/>
      <c r="R203" s="53"/>
    </row>
    <row r="204" spans="1:18" ht="271.5" hidden="1" thickTop="1" thickBot="1" x14ac:dyDescent="0.25">
      <c r="A204" s="192" t="s">
        <v>774</v>
      </c>
      <c r="B204" s="192" t="s">
        <v>717</v>
      </c>
      <c r="C204" s="192"/>
      <c r="D204" s="192" t="s">
        <v>718</v>
      </c>
      <c r="E204" s="193">
        <f>E205</f>
        <v>0</v>
      </c>
      <c r="F204" s="193">
        <f t="shared" si="202"/>
        <v>0</v>
      </c>
      <c r="G204" s="193">
        <f t="shared" si="202"/>
        <v>0</v>
      </c>
      <c r="H204" s="193">
        <f t="shared" si="202"/>
        <v>0</v>
      </c>
      <c r="I204" s="193">
        <f t="shared" si="202"/>
        <v>0</v>
      </c>
      <c r="J204" s="193">
        <f t="shared" si="202"/>
        <v>0</v>
      </c>
      <c r="K204" s="193">
        <f t="shared" si="202"/>
        <v>0</v>
      </c>
      <c r="L204" s="193">
        <f t="shared" si="202"/>
        <v>0</v>
      </c>
      <c r="M204" s="193">
        <f t="shared" si="202"/>
        <v>0</v>
      </c>
      <c r="N204" s="193">
        <f t="shared" si="202"/>
        <v>0</v>
      </c>
      <c r="O204" s="193">
        <f t="shared" si="202"/>
        <v>0</v>
      </c>
      <c r="P204" s="193">
        <f t="shared" si="202"/>
        <v>0</v>
      </c>
      <c r="Q204" s="22"/>
      <c r="R204" s="53"/>
    </row>
    <row r="205" spans="1:18" ht="93" hidden="1" thickTop="1" thickBot="1" x14ac:dyDescent="0.25">
      <c r="A205" s="44" t="s">
        <v>595</v>
      </c>
      <c r="B205" s="44" t="s">
        <v>369</v>
      </c>
      <c r="C205" s="44" t="s">
        <v>43</v>
      </c>
      <c r="D205" s="44" t="s">
        <v>370</v>
      </c>
      <c r="E205" s="45">
        <f t="shared" ref="E205" si="203">F205</f>
        <v>0</v>
      </c>
      <c r="F205" s="46">
        <v>0</v>
      </c>
      <c r="G205" s="46"/>
      <c r="H205" s="46"/>
      <c r="I205" s="46"/>
      <c r="J205" s="45">
        <f>L205+O205</f>
        <v>0</v>
      </c>
      <c r="K205" s="46"/>
      <c r="L205" s="46"/>
      <c r="M205" s="46"/>
      <c r="N205" s="46"/>
      <c r="O205" s="47">
        <f>K205</f>
        <v>0</v>
      </c>
      <c r="P205" s="45">
        <f>E205+J205</f>
        <v>0</v>
      </c>
      <c r="Q205" s="22"/>
      <c r="R205" s="53"/>
    </row>
    <row r="206" spans="1:18" ht="181.5" thickTop="1" thickBot="1" x14ac:dyDescent="0.25">
      <c r="A206" s="472" t="s">
        <v>22</v>
      </c>
      <c r="B206" s="472"/>
      <c r="C206" s="472"/>
      <c r="D206" s="473" t="s">
        <v>23</v>
      </c>
      <c r="E206" s="475">
        <f>E207</f>
        <v>116319079</v>
      </c>
      <c r="F206" s="474">
        <f t="shared" ref="F206:G206" si="204">F207</f>
        <v>116319079</v>
      </c>
      <c r="G206" s="474">
        <f t="shared" si="204"/>
        <v>47666561</v>
      </c>
      <c r="H206" s="474">
        <f>H207</f>
        <v>5150735</v>
      </c>
      <c r="I206" s="474">
        <f t="shared" ref="I206" si="205">I207</f>
        <v>0</v>
      </c>
      <c r="J206" s="475">
        <f>J207</f>
        <v>18380182.48</v>
      </c>
      <c r="K206" s="474">
        <f>K207</f>
        <v>16139160.48</v>
      </c>
      <c r="L206" s="474">
        <f>L207</f>
        <v>2118642</v>
      </c>
      <c r="M206" s="474">
        <f t="shared" ref="M206" si="206">M207</f>
        <v>1072780</v>
      </c>
      <c r="N206" s="474">
        <f>N207</f>
        <v>383875</v>
      </c>
      <c r="O206" s="475">
        <f>O207</f>
        <v>16261540.48</v>
      </c>
      <c r="P206" s="474">
        <f t="shared" ref="P206" si="207">P207</f>
        <v>134699261.47999999</v>
      </c>
      <c r="Q206" s="22"/>
    </row>
    <row r="207" spans="1:18" ht="178.5" customHeight="1" thickTop="1" thickBot="1" x14ac:dyDescent="0.25">
      <c r="A207" s="476" t="s">
        <v>21</v>
      </c>
      <c r="B207" s="476"/>
      <c r="C207" s="476"/>
      <c r="D207" s="477" t="s">
        <v>35</v>
      </c>
      <c r="E207" s="478">
        <f>E208+E214+E227+E230+E237</f>
        <v>116319079</v>
      </c>
      <c r="F207" s="478">
        <f t="shared" ref="F207:I207" si="208">F208+F214+F227+F230+F237</f>
        <v>116319079</v>
      </c>
      <c r="G207" s="478">
        <f t="shared" si="208"/>
        <v>47666561</v>
      </c>
      <c r="H207" s="478">
        <f t="shared" si="208"/>
        <v>5150735</v>
      </c>
      <c r="I207" s="478">
        <f t="shared" si="208"/>
        <v>0</v>
      </c>
      <c r="J207" s="478">
        <f>L207+O207</f>
        <v>18380182.48</v>
      </c>
      <c r="K207" s="478">
        <f t="shared" ref="K207" si="209">K208+K214+K227+K230+K237</f>
        <v>16139160.48</v>
      </c>
      <c r="L207" s="478">
        <f t="shared" ref="L207" si="210">L208+L214+L227+L230+L237</f>
        <v>2118642</v>
      </c>
      <c r="M207" s="478">
        <f t="shared" ref="M207" si="211">M208+M214+M227+M230+M237</f>
        <v>1072780</v>
      </c>
      <c r="N207" s="478">
        <f t="shared" ref="N207" si="212">N208+N214+N227+N230+N237</f>
        <v>383875</v>
      </c>
      <c r="O207" s="478">
        <f t="shared" ref="O207" si="213">O208+O214+O227+O230+O237</f>
        <v>16261540.48</v>
      </c>
      <c r="P207" s="478">
        <f>E207+J207</f>
        <v>134699261.47999999</v>
      </c>
      <c r="Q207" s="404" t="b">
        <f>P207=P212+P213+P216+P217+P219+P221+P222+P224+P225+P226+P229+P233+P235</f>
        <v>1</v>
      </c>
      <c r="R207" s="49"/>
    </row>
    <row r="208" spans="1:18" ht="91.5" thickTop="1" thickBot="1" x14ac:dyDescent="0.25">
      <c r="A208" s="397" t="s">
        <v>775</v>
      </c>
      <c r="B208" s="397" t="s">
        <v>723</v>
      </c>
      <c r="C208" s="397"/>
      <c r="D208" s="397" t="s">
        <v>724</v>
      </c>
      <c r="E208" s="553">
        <f>SUM(E209:E213)-E209-E211</f>
        <v>13124377</v>
      </c>
      <c r="F208" s="553">
        <f t="shared" ref="F208:P208" si="214">SUM(F209:F213)-F209-F211</f>
        <v>13124377</v>
      </c>
      <c r="G208" s="553">
        <f t="shared" si="214"/>
        <v>4574410</v>
      </c>
      <c r="H208" s="553">
        <f t="shared" si="214"/>
        <v>1073346</v>
      </c>
      <c r="I208" s="553">
        <f t="shared" si="214"/>
        <v>0</v>
      </c>
      <c r="J208" s="553">
        <f t="shared" si="214"/>
        <v>499359.4</v>
      </c>
      <c r="K208" s="553">
        <f t="shared" si="214"/>
        <v>101959.4</v>
      </c>
      <c r="L208" s="553">
        <f t="shared" si="214"/>
        <v>397400</v>
      </c>
      <c r="M208" s="553">
        <f t="shared" si="214"/>
        <v>210000</v>
      </c>
      <c r="N208" s="553">
        <f t="shared" si="214"/>
        <v>102595</v>
      </c>
      <c r="O208" s="553">
        <f t="shared" si="214"/>
        <v>101959.4</v>
      </c>
      <c r="P208" s="553">
        <f t="shared" si="214"/>
        <v>13623736.4</v>
      </c>
      <c r="Q208" s="50"/>
      <c r="R208" s="49"/>
    </row>
    <row r="209" spans="1:18" s="35" customFormat="1" ht="138.75" hidden="1" thickTop="1" thickBot="1" x14ac:dyDescent="0.25">
      <c r="A209" s="467" t="s">
        <v>776</v>
      </c>
      <c r="B209" s="467" t="s">
        <v>777</v>
      </c>
      <c r="C209" s="467"/>
      <c r="D209" s="467" t="s">
        <v>778</v>
      </c>
      <c r="E209" s="554">
        <f>E210</f>
        <v>0</v>
      </c>
      <c r="F209" s="554">
        <f t="shared" ref="F209:P209" si="215">F210</f>
        <v>0</v>
      </c>
      <c r="G209" s="554">
        <f t="shared" si="215"/>
        <v>0</v>
      </c>
      <c r="H209" s="554">
        <f t="shared" si="215"/>
        <v>0</v>
      </c>
      <c r="I209" s="554">
        <f t="shared" si="215"/>
        <v>0</v>
      </c>
      <c r="J209" s="554">
        <f t="shared" si="215"/>
        <v>0</v>
      </c>
      <c r="K209" s="554">
        <f t="shared" si="215"/>
        <v>0</v>
      </c>
      <c r="L209" s="554">
        <f t="shared" si="215"/>
        <v>0</v>
      </c>
      <c r="M209" s="554">
        <f t="shared" si="215"/>
        <v>0</v>
      </c>
      <c r="N209" s="554">
        <f t="shared" si="215"/>
        <v>0</v>
      </c>
      <c r="O209" s="554">
        <f t="shared" si="215"/>
        <v>0</v>
      </c>
      <c r="P209" s="554">
        <f t="shared" si="215"/>
        <v>0</v>
      </c>
      <c r="Q209" s="202"/>
      <c r="R209" s="55"/>
    </row>
    <row r="210" spans="1:18" ht="138.75" hidden="1" thickTop="1" thickBot="1" x14ac:dyDescent="0.25">
      <c r="A210" s="457" t="s">
        <v>188</v>
      </c>
      <c r="B210" s="457" t="s">
        <v>189</v>
      </c>
      <c r="C210" s="457" t="s">
        <v>190</v>
      </c>
      <c r="D210" s="457" t="s">
        <v>650</v>
      </c>
      <c r="E210" s="398">
        <f t="shared" ref="E210:E225" si="216">F210</f>
        <v>0</v>
      </c>
      <c r="F210" s="453">
        <f>(6040461)-6040461</f>
        <v>0</v>
      </c>
      <c r="G210" s="453">
        <f>(4559615)-4559615</f>
        <v>0</v>
      </c>
      <c r="H210" s="453">
        <f>(96665+5295+31600+3840)-137400</f>
        <v>0</v>
      </c>
      <c r="I210" s="453"/>
      <c r="J210" s="686">
        <f t="shared" ref="J210:J236" si="217">L210+O210</f>
        <v>0</v>
      </c>
      <c r="K210" s="453"/>
      <c r="L210" s="454"/>
      <c r="M210" s="454"/>
      <c r="N210" s="454"/>
      <c r="O210" s="402">
        <f t="shared" ref="O210:O236" si="218">K210</f>
        <v>0</v>
      </c>
      <c r="P210" s="458">
        <f>+J210+E210</f>
        <v>0</v>
      </c>
      <c r="Q210" s="53"/>
      <c r="R210" s="53"/>
    </row>
    <row r="211" spans="1:18" s="35" customFormat="1" ht="138.75" thickTop="1" thickBot="1" x14ac:dyDescent="0.25">
      <c r="A211" s="467" t="s">
        <v>779</v>
      </c>
      <c r="B211" s="467" t="s">
        <v>780</v>
      </c>
      <c r="C211" s="467"/>
      <c r="D211" s="467" t="s">
        <v>781</v>
      </c>
      <c r="E211" s="514">
        <f>SUM(E212:E213)</f>
        <v>13124377</v>
      </c>
      <c r="F211" s="514">
        <f t="shared" ref="F211:P211" si="219">SUM(F212:F213)</f>
        <v>13124377</v>
      </c>
      <c r="G211" s="514">
        <f t="shared" si="219"/>
        <v>4574410</v>
      </c>
      <c r="H211" s="514">
        <f t="shared" si="219"/>
        <v>1073346</v>
      </c>
      <c r="I211" s="514">
        <f t="shared" si="219"/>
        <v>0</v>
      </c>
      <c r="J211" s="514">
        <f t="shared" si="219"/>
        <v>499359.4</v>
      </c>
      <c r="K211" s="514">
        <f t="shared" si="219"/>
        <v>101959.4</v>
      </c>
      <c r="L211" s="514">
        <f t="shared" si="219"/>
        <v>397400</v>
      </c>
      <c r="M211" s="514">
        <f t="shared" si="219"/>
        <v>210000</v>
      </c>
      <c r="N211" s="514">
        <f t="shared" si="219"/>
        <v>102595</v>
      </c>
      <c r="O211" s="514">
        <f t="shared" si="219"/>
        <v>101959.4</v>
      </c>
      <c r="P211" s="514">
        <f t="shared" si="219"/>
        <v>13623736.4</v>
      </c>
      <c r="Q211" s="54"/>
      <c r="R211" s="54"/>
    </row>
    <row r="212" spans="1:18" ht="138.75" thickTop="1" thickBot="1" x14ac:dyDescent="0.25">
      <c r="A212" s="457" t="s">
        <v>194</v>
      </c>
      <c r="B212" s="457" t="s">
        <v>195</v>
      </c>
      <c r="C212" s="457" t="s">
        <v>190</v>
      </c>
      <c r="D212" s="457" t="s">
        <v>10</v>
      </c>
      <c r="E212" s="398">
        <f t="shared" si="216"/>
        <v>5370023</v>
      </c>
      <c r="F212" s="453">
        <f>(5368723)+1300</f>
        <v>5370023</v>
      </c>
      <c r="G212" s="453">
        <v>3105542</v>
      </c>
      <c r="H212" s="453">
        <f>628430+7726+230000+3090</f>
        <v>869246</v>
      </c>
      <c r="I212" s="453"/>
      <c r="J212" s="686">
        <f t="shared" si="217"/>
        <v>443733.4</v>
      </c>
      <c r="K212" s="453">
        <f>(21340)+24993.4</f>
        <v>46333.4</v>
      </c>
      <c r="L212" s="454">
        <v>397400</v>
      </c>
      <c r="M212" s="454">
        <v>210000</v>
      </c>
      <c r="N212" s="454">
        <v>102595</v>
      </c>
      <c r="O212" s="402">
        <f>K212</f>
        <v>46333.4</v>
      </c>
      <c r="P212" s="458">
        <f t="shared" ref="P212:P236" si="220">E212+J212</f>
        <v>5813756.4000000004</v>
      </c>
      <c r="Q212" s="22"/>
      <c r="R212" s="49"/>
    </row>
    <row r="213" spans="1:18" ht="93" thickTop="1" thickBot="1" x14ac:dyDescent="0.25">
      <c r="A213" s="457" t="s">
        <v>357</v>
      </c>
      <c r="B213" s="457" t="s">
        <v>358</v>
      </c>
      <c r="C213" s="457" t="s">
        <v>190</v>
      </c>
      <c r="D213" s="457" t="s">
        <v>359</v>
      </c>
      <c r="E213" s="398">
        <f t="shared" si="216"/>
        <v>7754354</v>
      </c>
      <c r="F213" s="453">
        <f>(7675433)+78921</f>
        <v>7754354</v>
      </c>
      <c r="G213" s="453">
        <v>1468868</v>
      </c>
      <c r="H213" s="453">
        <f>99760+6560+95860+1920</f>
        <v>204100</v>
      </c>
      <c r="I213" s="453"/>
      <c r="J213" s="686">
        <f t="shared" si="217"/>
        <v>55626</v>
      </c>
      <c r="K213" s="453">
        <v>55626</v>
      </c>
      <c r="L213" s="454"/>
      <c r="M213" s="454"/>
      <c r="N213" s="454"/>
      <c r="O213" s="402">
        <f t="shared" si="218"/>
        <v>55626</v>
      </c>
      <c r="P213" s="458">
        <f t="shared" si="220"/>
        <v>7809980</v>
      </c>
      <c r="Q213" s="22"/>
      <c r="R213" s="49"/>
    </row>
    <row r="214" spans="1:18" ht="47.25" thickTop="1" thickBot="1" x14ac:dyDescent="0.25">
      <c r="A214" s="397" t="s">
        <v>782</v>
      </c>
      <c r="B214" s="397" t="s">
        <v>783</v>
      </c>
      <c r="C214" s="457"/>
      <c r="D214" s="397" t="s">
        <v>784</v>
      </c>
      <c r="E214" s="398">
        <f>SUM(E215:E226)-E215-E218-E220-E223</f>
        <v>103155702</v>
      </c>
      <c r="F214" s="398">
        <f t="shared" ref="F214:P214" si="221">SUM(F215:F226)-F215-F218-F220-F223</f>
        <v>103155702</v>
      </c>
      <c r="G214" s="398">
        <f t="shared" si="221"/>
        <v>43092151</v>
      </c>
      <c r="H214" s="398">
        <f t="shared" si="221"/>
        <v>4077389</v>
      </c>
      <c r="I214" s="398">
        <f t="shared" si="221"/>
        <v>0</v>
      </c>
      <c r="J214" s="398">
        <f t="shared" si="221"/>
        <v>13651823.08</v>
      </c>
      <c r="K214" s="398">
        <f t="shared" si="221"/>
        <v>11808201.08</v>
      </c>
      <c r="L214" s="398">
        <f t="shared" si="221"/>
        <v>1721242</v>
      </c>
      <c r="M214" s="398">
        <f t="shared" si="221"/>
        <v>862780</v>
      </c>
      <c r="N214" s="398">
        <f t="shared" si="221"/>
        <v>281280</v>
      </c>
      <c r="O214" s="398">
        <f t="shared" si="221"/>
        <v>11930581.08</v>
      </c>
      <c r="P214" s="398">
        <f t="shared" si="221"/>
        <v>116807525.07999997</v>
      </c>
      <c r="Q214" s="22"/>
      <c r="R214" s="49"/>
    </row>
    <row r="215" spans="1:18" s="35" customFormat="1" ht="93" thickTop="1" thickBot="1" x14ac:dyDescent="0.25">
      <c r="A215" s="467" t="s">
        <v>785</v>
      </c>
      <c r="B215" s="467" t="s">
        <v>786</v>
      </c>
      <c r="C215" s="467"/>
      <c r="D215" s="467" t="s">
        <v>787</v>
      </c>
      <c r="E215" s="514">
        <f>SUM(E216:E217)</f>
        <v>29233742</v>
      </c>
      <c r="F215" s="514">
        <f t="shared" ref="F215:P215" si="222">SUM(F216:F217)</f>
        <v>29233742</v>
      </c>
      <c r="G215" s="514">
        <f t="shared" si="222"/>
        <v>0</v>
      </c>
      <c r="H215" s="514">
        <f t="shared" si="222"/>
        <v>0</v>
      </c>
      <c r="I215" s="514">
        <f t="shared" si="222"/>
        <v>0</v>
      </c>
      <c r="J215" s="514">
        <f t="shared" si="222"/>
        <v>0</v>
      </c>
      <c r="K215" s="514">
        <f t="shared" si="222"/>
        <v>0</v>
      </c>
      <c r="L215" s="514">
        <f t="shared" si="222"/>
        <v>0</v>
      </c>
      <c r="M215" s="514">
        <f t="shared" si="222"/>
        <v>0</v>
      </c>
      <c r="N215" s="514">
        <f t="shared" si="222"/>
        <v>0</v>
      </c>
      <c r="O215" s="514">
        <f t="shared" si="222"/>
        <v>0</v>
      </c>
      <c r="P215" s="514">
        <f t="shared" si="222"/>
        <v>29233742</v>
      </c>
      <c r="Q215" s="39"/>
      <c r="R215" s="55"/>
    </row>
    <row r="216" spans="1:18" ht="184.5" thickTop="1" thickBot="1" x14ac:dyDescent="0.25">
      <c r="A216" s="457" t="s">
        <v>44</v>
      </c>
      <c r="B216" s="457" t="s">
        <v>191</v>
      </c>
      <c r="C216" s="457" t="s">
        <v>200</v>
      </c>
      <c r="D216" s="457" t="s">
        <v>45</v>
      </c>
      <c r="E216" s="398">
        <f t="shared" si="216"/>
        <v>25132670</v>
      </c>
      <c r="F216" s="453">
        <f>(23981670)+1000+1150000</f>
        <v>25132670</v>
      </c>
      <c r="G216" s="401"/>
      <c r="H216" s="401"/>
      <c r="I216" s="401"/>
      <c r="J216" s="458">
        <f t="shared" si="217"/>
        <v>0</v>
      </c>
      <c r="K216" s="401"/>
      <c r="L216" s="401"/>
      <c r="M216" s="401"/>
      <c r="N216" s="401"/>
      <c r="O216" s="402">
        <f t="shared" si="218"/>
        <v>0</v>
      </c>
      <c r="P216" s="458">
        <f t="shared" si="220"/>
        <v>25132670</v>
      </c>
      <c r="Q216" s="22"/>
      <c r="R216" s="49"/>
    </row>
    <row r="217" spans="1:18" ht="184.5" thickTop="1" thickBot="1" x14ac:dyDescent="0.25">
      <c r="A217" s="457" t="s">
        <v>46</v>
      </c>
      <c r="B217" s="457" t="s">
        <v>192</v>
      </c>
      <c r="C217" s="457" t="s">
        <v>200</v>
      </c>
      <c r="D217" s="457" t="s">
        <v>4</v>
      </c>
      <c r="E217" s="398">
        <f t="shared" si="216"/>
        <v>4101072</v>
      </c>
      <c r="F217" s="453">
        <f>(3798092)+2980+300000</f>
        <v>4101072</v>
      </c>
      <c r="G217" s="401"/>
      <c r="H217" s="401"/>
      <c r="I217" s="401"/>
      <c r="J217" s="458">
        <f t="shared" si="217"/>
        <v>0</v>
      </c>
      <c r="K217" s="401"/>
      <c r="L217" s="401"/>
      <c r="M217" s="401"/>
      <c r="N217" s="401"/>
      <c r="O217" s="402">
        <f t="shared" si="218"/>
        <v>0</v>
      </c>
      <c r="P217" s="458">
        <f t="shared" si="220"/>
        <v>4101072</v>
      </c>
      <c r="Q217" s="22"/>
      <c r="R217" s="49"/>
    </row>
    <row r="218" spans="1:18" s="35" customFormat="1" ht="184.5" thickTop="1" thickBot="1" x14ac:dyDescent="0.25">
      <c r="A218" s="467" t="s">
        <v>788</v>
      </c>
      <c r="B218" s="467" t="s">
        <v>789</v>
      </c>
      <c r="C218" s="467"/>
      <c r="D218" s="467" t="s">
        <v>790</v>
      </c>
      <c r="E218" s="514">
        <f>E219</f>
        <v>53300</v>
      </c>
      <c r="F218" s="514">
        <f t="shared" ref="F218:P218" si="223">F219</f>
        <v>53300</v>
      </c>
      <c r="G218" s="514">
        <f t="shared" si="223"/>
        <v>0</v>
      </c>
      <c r="H218" s="514">
        <f t="shared" si="223"/>
        <v>0</v>
      </c>
      <c r="I218" s="514">
        <f t="shared" si="223"/>
        <v>0</v>
      </c>
      <c r="J218" s="514">
        <f t="shared" si="223"/>
        <v>0</v>
      </c>
      <c r="K218" s="514">
        <f t="shared" si="223"/>
        <v>0</v>
      </c>
      <c r="L218" s="514">
        <f t="shared" si="223"/>
        <v>0</v>
      </c>
      <c r="M218" s="514">
        <f t="shared" si="223"/>
        <v>0</v>
      </c>
      <c r="N218" s="514">
        <f t="shared" si="223"/>
        <v>0</v>
      </c>
      <c r="O218" s="514">
        <f t="shared" si="223"/>
        <v>0</v>
      </c>
      <c r="P218" s="514">
        <f t="shared" si="223"/>
        <v>53300</v>
      </c>
      <c r="Q218" s="39"/>
      <c r="R218" s="56"/>
    </row>
    <row r="219" spans="1:18" ht="184.5" thickTop="1" thickBot="1" x14ac:dyDescent="0.25">
      <c r="A219" s="457" t="s">
        <v>47</v>
      </c>
      <c r="B219" s="457" t="s">
        <v>193</v>
      </c>
      <c r="C219" s="457" t="s">
        <v>200</v>
      </c>
      <c r="D219" s="457" t="s">
        <v>355</v>
      </c>
      <c r="E219" s="398">
        <f>F219</f>
        <v>53300</v>
      </c>
      <c r="F219" s="453">
        <v>53300</v>
      </c>
      <c r="G219" s="453"/>
      <c r="H219" s="453"/>
      <c r="I219" s="401"/>
      <c r="J219" s="458">
        <f t="shared" si="217"/>
        <v>0</v>
      </c>
      <c r="K219" s="401"/>
      <c r="L219" s="453"/>
      <c r="M219" s="453"/>
      <c r="N219" s="453"/>
      <c r="O219" s="402">
        <f t="shared" si="218"/>
        <v>0</v>
      </c>
      <c r="P219" s="458">
        <f t="shared" si="220"/>
        <v>53300</v>
      </c>
      <c r="Q219" s="22"/>
      <c r="R219" s="49"/>
    </row>
    <row r="220" spans="1:18" ht="138.75" thickTop="1" thickBot="1" x14ac:dyDescent="0.25">
      <c r="A220" s="467" t="s">
        <v>791</v>
      </c>
      <c r="B220" s="467" t="s">
        <v>792</v>
      </c>
      <c r="C220" s="467"/>
      <c r="D220" s="467" t="s">
        <v>793</v>
      </c>
      <c r="E220" s="514">
        <f>SUM(E221:E222)</f>
        <v>67135491</v>
      </c>
      <c r="F220" s="514">
        <f t="shared" ref="F220:P220" si="224">SUM(F221:F222)</f>
        <v>67135491</v>
      </c>
      <c r="G220" s="514">
        <f t="shared" si="224"/>
        <v>41781765</v>
      </c>
      <c r="H220" s="514">
        <f t="shared" si="224"/>
        <v>4077389</v>
      </c>
      <c r="I220" s="514">
        <f t="shared" si="224"/>
        <v>0</v>
      </c>
      <c r="J220" s="514">
        <f t="shared" si="224"/>
        <v>13601823.08</v>
      </c>
      <c r="K220" s="514">
        <f t="shared" si="224"/>
        <v>11808201.08</v>
      </c>
      <c r="L220" s="514">
        <f t="shared" si="224"/>
        <v>1671242</v>
      </c>
      <c r="M220" s="514">
        <f t="shared" si="224"/>
        <v>862780</v>
      </c>
      <c r="N220" s="514">
        <f t="shared" si="224"/>
        <v>281280</v>
      </c>
      <c r="O220" s="514">
        <f t="shared" si="224"/>
        <v>11930581.08</v>
      </c>
      <c r="P220" s="514">
        <f t="shared" si="224"/>
        <v>80737314.079999998</v>
      </c>
      <c r="Q220" s="22"/>
      <c r="R220" s="49"/>
    </row>
    <row r="221" spans="1:18" ht="184.5" thickTop="1" thickBot="1" x14ac:dyDescent="0.25">
      <c r="A221" s="457" t="s">
        <v>28</v>
      </c>
      <c r="B221" s="457" t="s">
        <v>197</v>
      </c>
      <c r="C221" s="457" t="s">
        <v>200</v>
      </c>
      <c r="D221" s="457" t="s">
        <v>48</v>
      </c>
      <c r="E221" s="398">
        <f t="shared" si="216"/>
        <v>60711152</v>
      </c>
      <c r="F221" s="453">
        <f>(59889005)+202668+42714+402374+130485+41184+2300+422</f>
        <v>60711152</v>
      </c>
      <c r="G221" s="453">
        <f>13877510+12442050+10977685+4484520</f>
        <v>41781765</v>
      </c>
      <c r="H221" s="453">
        <f>568195+155692+669442+67080+521160+67546+679930+60730+9320+25800+25896+220200+368000+5930+411080+9064+153630+57590+1104</f>
        <v>4077389</v>
      </c>
      <c r="I221" s="453"/>
      <c r="J221" s="458">
        <f t="shared" si="217"/>
        <v>13601823.08</v>
      </c>
      <c r="K221" s="453">
        <f>(947868)+99900+53954+29525+19619+129500+99900+10427935.08</f>
        <v>11808201.08</v>
      </c>
      <c r="L221" s="453">
        <v>1671242</v>
      </c>
      <c r="M221" s="453">
        <v>862780</v>
      </c>
      <c r="N221" s="453">
        <v>281280</v>
      </c>
      <c r="O221" s="402">
        <f>(K221+122380)</f>
        <v>11930581.08</v>
      </c>
      <c r="P221" s="458">
        <f t="shared" si="220"/>
        <v>74312975.079999998</v>
      </c>
      <c r="Q221" s="22"/>
      <c r="R221" s="49"/>
    </row>
    <row r="222" spans="1:18" ht="184.5" thickTop="1" thickBot="1" x14ac:dyDescent="0.25">
      <c r="A222" s="457" t="s">
        <v>29</v>
      </c>
      <c r="B222" s="457" t="s">
        <v>198</v>
      </c>
      <c r="C222" s="457" t="s">
        <v>200</v>
      </c>
      <c r="D222" s="457" t="s">
        <v>49</v>
      </c>
      <c r="E222" s="398">
        <f t="shared" si="216"/>
        <v>6424339</v>
      </c>
      <c r="F222" s="453">
        <v>6424339</v>
      </c>
      <c r="G222" s="453"/>
      <c r="H222" s="453"/>
      <c r="I222" s="453"/>
      <c r="J222" s="458">
        <f t="shared" si="217"/>
        <v>0</v>
      </c>
      <c r="K222" s="453">
        <v>0</v>
      </c>
      <c r="L222" s="453"/>
      <c r="M222" s="453"/>
      <c r="N222" s="453"/>
      <c r="O222" s="402">
        <f t="shared" si="218"/>
        <v>0</v>
      </c>
      <c r="P222" s="458">
        <f t="shared" si="220"/>
        <v>6424339</v>
      </c>
      <c r="Q222" s="22"/>
      <c r="R222" s="49"/>
    </row>
    <row r="223" spans="1:18" ht="138.75" thickTop="1" thickBot="1" x14ac:dyDescent="0.25">
      <c r="A223" s="549" t="s">
        <v>794</v>
      </c>
      <c r="B223" s="467" t="s">
        <v>795</v>
      </c>
      <c r="C223" s="467"/>
      <c r="D223" s="467" t="s">
        <v>796</v>
      </c>
      <c r="E223" s="514">
        <f>SUM(E224:E226)</f>
        <v>6733169</v>
      </c>
      <c r="F223" s="514">
        <f t="shared" ref="F223:P223" si="225">SUM(F224:F226)</f>
        <v>6733169</v>
      </c>
      <c r="G223" s="514">
        <f t="shared" si="225"/>
        <v>1310386</v>
      </c>
      <c r="H223" s="514">
        <f t="shared" si="225"/>
        <v>0</v>
      </c>
      <c r="I223" s="514">
        <f t="shared" si="225"/>
        <v>0</v>
      </c>
      <c r="J223" s="514">
        <f t="shared" si="225"/>
        <v>50000</v>
      </c>
      <c r="K223" s="514">
        <f t="shared" si="225"/>
        <v>0</v>
      </c>
      <c r="L223" s="514">
        <f t="shared" si="225"/>
        <v>50000</v>
      </c>
      <c r="M223" s="514">
        <f t="shared" si="225"/>
        <v>0</v>
      </c>
      <c r="N223" s="514">
        <f t="shared" si="225"/>
        <v>0</v>
      </c>
      <c r="O223" s="514">
        <f t="shared" si="225"/>
        <v>0</v>
      </c>
      <c r="P223" s="514">
        <f t="shared" si="225"/>
        <v>6783169</v>
      </c>
      <c r="Q223" s="22"/>
      <c r="R223" s="49"/>
    </row>
    <row r="224" spans="1:18" ht="321.75" thickTop="1" thickBot="1" x14ac:dyDescent="0.25">
      <c r="A224" s="515" t="s">
        <v>30</v>
      </c>
      <c r="B224" s="515" t="s">
        <v>199</v>
      </c>
      <c r="C224" s="515" t="s">
        <v>200</v>
      </c>
      <c r="D224" s="457" t="s">
        <v>31</v>
      </c>
      <c r="E224" s="398">
        <f t="shared" si="216"/>
        <v>1068095</v>
      </c>
      <c r="F224" s="453">
        <f>(1028095)+40000</f>
        <v>1068095</v>
      </c>
      <c r="G224" s="401"/>
      <c r="H224" s="401"/>
      <c r="I224" s="401"/>
      <c r="J224" s="458">
        <f t="shared" si="217"/>
        <v>0</v>
      </c>
      <c r="K224" s="401"/>
      <c r="L224" s="401"/>
      <c r="M224" s="401"/>
      <c r="N224" s="401"/>
      <c r="O224" s="402">
        <f t="shared" si="218"/>
        <v>0</v>
      </c>
      <c r="P224" s="458">
        <f t="shared" si="220"/>
        <v>1068095</v>
      </c>
      <c r="Q224" s="22"/>
      <c r="R224" s="49"/>
    </row>
    <row r="225" spans="1:18" ht="230.25" thickTop="1" thickBot="1" x14ac:dyDescent="0.25">
      <c r="A225" s="515" t="s">
        <v>519</v>
      </c>
      <c r="B225" s="515" t="s">
        <v>517</v>
      </c>
      <c r="C225" s="515" t="s">
        <v>200</v>
      </c>
      <c r="D225" s="457" t="s">
        <v>518</v>
      </c>
      <c r="E225" s="398">
        <f t="shared" si="216"/>
        <v>3791300</v>
      </c>
      <c r="F225" s="453">
        <f>(3710900)+80400</f>
        <v>3791300</v>
      </c>
      <c r="G225" s="401"/>
      <c r="H225" s="401"/>
      <c r="I225" s="401"/>
      <c r="J225" s="458">
        <f t="shared" si="217"/>
        <v>0</v>
      </c>
      <c r="K225" s="401"/>
      <c r="L225" s="401"/>
      <c r="M225" s="401"/>
      <c r="N225" s="401"/>
      <c r="O225" s="402">
        <f t="shared" si="218"/>
        <v>0</v>
      </c>
      <c r="P225" s="458">
        <f t="shared" si="220"/>
        <v>3791300</v>
      </c>
      <c r="Q225" s="22"/>
      <c r="R225" s="49"/>
    </row>
    <row r="226" spans="1:18" ht="93" thickTop="1" thickBot="1" x14ac:dyDescent="0.25">
      <c r="A226" s="515" t="s">
        <v>32</v>
      </c>
      <c r="B226" s="515" t="s">
        <v>201</v>
      </c>
      <c r="C226" s="515" t="s">
        <v>200</v>
      </c>
      <c r="D226" s="457" t="s">
        <v>33</v>
      </c>
      <c r="E226" s="398">
        <f>F226</f>
        <v>1873774</v>
      </c>
      <c r="F226" s="453">
        <v>1873774</v>
      </c>
      <c r="G226" s="401">
        <v>1310386</v>
      </c>
      <c r="H226" s="401"/>
      <c r="I226" s="401"/>
      <c r="J226" s="458">
        <f t="shared" si="217"/>
        <v>50000</v>
      </c>
      <c r="K226" s="401"/>
      <c r="L226" s="401">
        <v>50000</v>
      </c>
      <c r="M226" s="401"/>
      <c r="N226" s="401"/>
      <c r="O226" s="402">
        <f t="shared" si="218"/>
        <v>0</v>
      </c>
      <c r="P226" s="458">
        <f t="shared" si="220"/>
        <v>1923774</v>
      </c>
      <c r="Q226" s="22"/>
      <c r="R226" s="49"/>
    </row>
    <row r="227" spans="1:18" ht="91.5" thickTop="1" thickBot="1" x14ac:dyDescent="0.25">
      <c r="A227" s="397" t="s">
        <v>797</v>
      </c>
      <c r="B227" s="397" t="s">
        <v>754</v>
      </c>
      <c r="C227" s="397"/>
      <c r="D227" s="548" t="s">
        <v>755</v>
      </c>
      <c r="E227" s="398">
        <f>E228</f>
        <v>39000</v>
      </c>
      <c r="F227" s="398">
        <f t="shared" ref="F227:P228" si="226">F228</f>
        <v>39000</v>
      </c>
      <c r="G227" s="398">
        <f t="shared" si="226"/>
        <v>0</v>
      </c>
      <c r="H227" s="398">
        <f t="shared" si="226"/>
        <v>0</v>
      </c>
      <c r="I227" s="398">
        <f t="shared" si="226"/>
        <v>0</v>
      </c>
      <c r="J227" s="398">
        <f t="shared" si="226"/>
        <v>0</v>
      </c>
      <c r="K227" s="398">
        <f t="shared" si="226"/>
        <v>0</v>
      </c>
      <c r="L227" s="398">
        <f t="shared" si="226"/>
        <v>0</v>
      </c>
      <c r="M227" s="398">
        <f t="shared" si="226"/>
        <v>0</v>
      </c>
      <c r="N227" s="398">
        <f t="shared" si="226"/>
        <v>0</v>
      </c>
      <c r="O227" s="398">
        <f t="shared" si="226"/>
        <v>0</v>
      </c>
      <c r="P227" s="398">
        <f t="shared" si="226"/>
        <v>39000</v>
      </c>
      <c r="Q227" s="22"/>
      <c r="R227" s="49"/>
    </row>
    <row r="228" spans="1:18" ht="138.75" thickTop="1" thickBot="1" x14ac:dyDescent="0.25">
      <c r="A228" s="549" t="s">
        <v>798</v>
      </c>
      <c r="B228" s="549" t="s">
        <v>757</v>
      </c>
      <c r="C228" s="549"/>
      <c r="D228" s="467" t="s">
        <v>758</v>
      </c>
      <c r="E228" s="514">
        <f>E229</f>
        <v>39000</v>
      </c>
      <c r="F228" s="514">
        <f t="shared" si="226"/>
        <v>39000</v>
      </c>
      <c r="G228" s="514">
        <f t="shared" si="226"/>
        <v>0</v>
      </c>
      <c r="H228" s="514">
        <f t="shared" si="226"/>
        <v>0</v>
      </c>
      <c r="I228" s="514">
        <f t="shared" si="226"/>
        <v>0</v>
      </c>
      <c r="J228" s="514">
        <f t="shared" si="226"/>
        <v>0</v>
      </c>
      <c r="K228" s="514">
        <f t="shared" si="226"/>
        <v>0</v>
      </c>
      <c r="L228" s="514">
        <f t="shared" si="226"/>
        <v>0</v>
      </c>
      <c r="M228" s="514">
        <f t="shared" si="226"/>
        <v>0</v>
      </c>
      <c r="N228" s="514">
        <f t="shared" si="226"/>
        <v>0</v>
      </c>
      <c r="O228" s="514">
        <f t="shared" si="226"/>
        <v>0</v>
      </c>
      <c r="P228" s="514">
        <f t="shared" si="226"/>
        <v>39000</v>
      </c>
      <c r="Q228" s="22"/>
      <c r="R228" s="49"/>
    </row>
    <row r="229" spans="1:18" ht="321.75" thickTop="1" thickBot="1" x14ac:dyDescent="0.25">
      <c r="A229" s="515" t="s">
        <v>348</v>
      </c>
      <c r="B229" s="515" t="s">
        <v>347</v>
      </c>
      <c r="C229" s="515" t="s">
        <v>346</v>
      </c>
      <c r="D229" s="457" t="s">
        <v>651</v>
      </c>
      <c r="E229" s="398">
        <f>F229</f>
        <v>39000</v>
      </c>
      <c r="F229" s="453">
        <v>39000</v>
      </c>
      <c r="G229" s="401"/>
      <c r="H229" s="401"/>
      <c r="I229" s="401"/>
      <c r="J229" s="686">
        <f t="shared" si="217"/>
        <v>0</v>
      </c>
      <c r="K229" s="401"/>
      <c r="L229" s="401"/>
      <c r="M229" s="401"/>
      <c r="N229" s="401"/>
      <c r="O229" s="402">
        <f t="shared" si="218"/>
        <v>0</v>
      </c>
      <c r="P229" s="458">
        <f t="shared" si="220"/>
        <v>39000</v>
      </c>
      <c r="Q229" s="22"/>
      <c r="R229" s="53"/>
    </row>
    <row r="230" spans="1:18" ht="47.25" thickTop="1" thickBot="1" x14ac:dyDescent="0.25">
      <c r="A230" s="397" t="s">
        <v>799</v>
      </c>
      <c r="B230" s="397" t="s">
        <v>760</v>
      </c>
      <c r="C230" s="397"/>
      <c r="D230" s="397" t="s">
        <v>761</v>
      </c>
      <c r="E230" s="398">
        <f>E234+E231</f>
        <v>0</v>
      </c>
      <c r="F230" s="398">
        <f t="shared" ref="F230:P230" si="227">F234+F231</f>
        <v>0</v>
      </c>
      <c r="G230" s="398">
        <f t="shared" si="227"/>
        <v>0</v>
      </c>
      <c r="H230" s="398">
        <f t="shared" si="227"/>
        <v>0</v>
      </c>
      <c r="I230" s="398">
        <f t="shared" si="227"/>
        <v>0</v>
      </c>
      <c r="J230" s="398">
        <f t="shared" si="227"/>
        <v>4229000</v>
      </c>
      <c r="K230" s="398">
        <f t="shared" si="227"/>
        <v>4229000</v>
      </c>
      <c r="L230" s="398">
        <f t="shared" si="227"/>
        <v>0</v>
      </c>
      <c r="M230" s="398">
        <f t="shared" si="227"/>
        <v>0</v>
      </c>
      <c r="N230" s="398">
        <f t="shared" si="227"/>
        <v>0</v>
      </c>
      <c r="O230" s="398">
        <f t="shared" si="227"/>
        <v>4229000</v>
      </c>
      <c r="P230" s="398">
        <f t="shared" si="227"/>
        <v>4229000</v>
      </c>
      <c r="Q230" s="22"/>
      <c r="R230" s="53"/>
    </row>
    <row r="231" spans="1:18" ht="91.5" hidden="1" thickTop="1" thickBot="1" x14ac:dyDescent="0.25">
      <c r="A231" s="399" t="s">
        <v>1142</v>
      </c>
      <c r="B231" s="399" t="s">
        <v>816</v>
      </c>
      <c r="C231" s="399"/>
      <c r="D231" s="399" t="s">
        <v>817</v>
      </c>
      <c r="E231" s="403">
        <f>E232</f>
        <v>0</v>
      </c>
      <c r="F231" s="403">
        <f t="shared" ref="F231:P232" si="228">F232</f>
        <v>0</v>
      </c>
      <c r="G231" s="403">
        <f t="shared" si="228"/>
        <v>0</v>
      </c>
      <c r="H231" s="403">
        <f t="shared" si="228"/>
        <v>0</v>
      </c>
      <c r="I231" s="403">
        <f t="shared" si="228"/>
        <v>0</v>
      </c>
      <c r="J231" s="403">
        <f t="shared" si="228"/>
        <v>0</v>
      </c>
      <c r="K231" s="403">
        <f t="shared" si="228"/>
        <v>0</v>
      </c>
      <c r="L231" s="403">
        <f t="shared" si="228"/>
        <v>0</v>
      </c>
      <c r="M231" s="403">
        <f t="shared" si="228"/>
        <v>0</v>
      </c>
      <c r="N231" s="403">
        <f t="shared" si="228"/>
        <v>0</v>
      </c>
      <c r="O231" s="403">
        <f t="shared" si="228"/>
        <v>0</v>
      </c>
      <c r="P231" s="403">
        <f t="shared" si="228"/>
        <v>0</v>
      </c>
      <c r="Q231" s="22"/>
      <c r="R231" s="53"/>
    </row>
    <row r="232" spans="1:18" ht="145.5" hidden="1" thickTop="1" thickBot="1" x14ac:dyDescent="0.25">
      <c r="A232" s="467" t="s">
        <v>1143</v>
      </c>
      <c r="B232" s="467" t="s">
        <v>834</v>
      </c>
      <c r="C232" s="467"/>
      <c r="D232" s="467" t="s">
        <v>1325</v>
      </c>
      <c r="E232" s="452">
        <f>E233</f>
        <v>0</v>
      </c>
      <c r="F232" s="452">
        <f t="shared" si="228"/>
        <v>0</v>
      </c>
      <c r="G232" s="452">
        <f t="shared" si="228"/>
        <v>0</v>
      </c>
      <c r="H232" s="452">
        <f t="shared" si="228"/>
        <v>0</v>
      </c>
      <c r="I232" s="452">
        <f t="shared" si="228"/>
        <v>0</v>
      </c>
      <c r="J232" s="452">
        <f t="shared" si="228"/>
        <v>0</v>
      </c>
      <c r="K232" s="452">
        <f t="shared" si="228"/>
        <v>0</v>
      </c>
      <c r="L232" s="452">
        <f t="shared" si="228"/>
        <v>0</v>
      </c>
      <c r="M232" s="452">
        <f t="shared" si="228"/>
        <v>0</v>
      </c>
      <c r="N232" s="452">
        <f t="shared" si="228"/>
        <v>0</v>
      </c>
      <c r="O232" s="452">
        <f t="shared" si="228"/>
        <v>0</v>
      </c>
      <c r="P232" s="452">
        <f t="shared" si="228"/>
        <v>0</v>
      </c>
      <c r="Q232" s="22"/>
      <c r="R232" s="53"/>
    </row>
    <row r="233" spans="1:18" ht="145.5" hidden="1" thickTop="1" thickBot="1" x14ac:dyDescent="0.25">
      <c r="A233" s="457" t="s">
        <v>1144</v>
      </c>
      <c r="B233" s="457" t="s">
        <v>319</v>
      </c>
      <c r="C233" s="457" t="s">
        <v>310</v>
      </c>
      <c r="D233" s="457" t="s">
        <v>1335</v>
      </c>
      <c r="E233" s="458">
        <f t="shared" ref="E233" si="229">F233</f>
        <v>0</v>
      </c>
      <c r="F233" s="401"/>
      <c r="G233" s="401"/>
      <c r="H233" s="401"/>
      <c r="I233" s="401"/>
      <c r="J233" s="458">
        <f t="shared" ref="J233" si="230">L233+O233</f>
        <v>0</v>
      </c>
      <c r="K233" s="401">
        <f>49500-49500</f>
        <v>0</v>
      </c>
      <c r="L233" s="401"/>
      <c r="M233" s="401"/>
      <c r="N233" s="401"/>
      <c r="O233" s="402">
        <f t="shared" ref="O233" si="231">K233</f>
        <v>0</v>
      </c>
      <c r="P233" s="458">
        <f>E233+J233</f>
        <v>0</v>
      </c>
      <c r="Q233" s="22"/>
      <c r="R233" s="53"/>
    </row>
    <row r="234" spans="1:18" ht="136.5" thickTop="1" thickBot="1" x14ac:dyDescent="0.25">
      <c r="A234" s="399" t="s">
        <v>800</v>
      </c>
      <c r="B234" s="399" t="s">
        <v>703</v>
      </c>
      <c r="C234" s="399"/>
      <c r="D234" s="399" t="s">
        <v>701</v>
      </c>
      <c r="E234" s="400">
        <f>E236+E235</f>
        <v>0</v>
      </c>
      <c r="F234" s="400">
        <f t="shared" ref="F234:H234" si="232">F236+F235</f>
        <v>0</v>
      </c>
      <c r="G234" s="400">
        <f t="shared" si="232"/>
        <v>0</v>
      </c>
      <c r="H234" s="400">
        <f t="shared" si="232"/>
        <v>0</v>
      </c>
      <c r="I234" s="400">
        <f>I236+I235</f>
        <v>0</v>
      </c>
      <c r="J234" s="400">
        <f>J236+J235</f>
        <v>4229000</v>
      </c>
      <c r="K234" s="400">
        <f>K236+K235</f>
        <v>4229000</v>
      </c>
      <c r="L234" s="400">
        <f t="shared" ref="L234:O234" si="233">L236+L235</f>
        <v>0</v>
      </c>
      <c r="M234" s="400">
        <f t="shared" si="233"/>
        <v>0</v>
      </c>
      <c r="N234" s="400">
        <f t="shared" si="233"/>
        <v>0</v>
      </c>
      <c r="O234" s="400">
        <f t="shared" si="233"/>
        <v>4229000</v>
      </c>
      <c r="P234" s="400">
        <f>P236+P235</f>
        <v>4229000</v>
      </c>
      <c r="Q234" s="22"/>
      <c r="R234" s="53"/>
    </row>
    <row r="235" spans="1:18" s="118" customFormat="1" ht="48" thickTop="1" thickBot="1" x14ac:dyDescent="0.25">
      <c r="A235" s="515" t="s">
        <v>1470</v>
      </c>
      <c r="B235" s="515" t="s">
        <v>217</v>
      </c>
      <c r="C235" s="515"/>
      <c r="D235" s="757" t="s">
        <v>41</v>
      </c>
      <c r="E235" s="398">
        <f>F235</f>
        <v>0</v>
      </c>
      <c r="F235" s="453"/>
      <c r="G235" s="401"/>
      <c r="H235" s="401"/>
      <c r="I235" s="401"/>
      <c r="J235" s="760">
        <f t="shared" ref="J235" si="234">L235+O235</f>
        <v>4229000</v>
      </c>
      <c r="K235" s="401">
        <v>4229000</v>
      </c>
      <c r="L235" s="401"/>
      <c r="M235" s="401"/>
      <c r="N235" s="401"/>
      <c r="O235" s="759">
        <f t="shared" ref="O235" si="235">K235</f>
        <v>4229000</v>
      </c>
      <c r="P235" s="760">
        <f t="shared" ref="P235" si="236">E235+J235</f>
        <v>4229000</v>
      </c>
      <c r="Q235" s="22"/>
      <c r="R235" s="53"/>
    </row>
    <row r="236" spans="1:18" ht="138.75" hidden="1" thickTop="1" thickBot="1" x14ac:dyDescent="0.25">
      <c r="A236" s="171" t="s">
        <v>618</v>
      </c>
      <c r="B236" s="171" t="s">
        <v>202</v>
      </c>
      <c r="C236" s="171" t="s">
        <v>171</v>
      </c>
      <c r="D236" s="171" t="s">
        <v>34</v>
      </c>
      <c r="E236" s="170">
        <f t="shared" ref="E236" si="237">F236</f>
        <v>0</v>
      </c>
      <c r="F236" s="177"/>
      <c r="G236" s="177"/>
      <c r="H236" s="177"/>
      <c r="I236" s="177"/>
      <c r="J236" s="170">
        <f t="shared" si="217"/>
        <v>0</v>
      </c>
      <c r="K236" s="177"/>
      <c r="L236" s="177"/>
      <c r="M236" s="177"/>
      <c r="N236" s="177"/>
      <c r="O236" s="175">
        <f t="shared" si="218"/>
        <v>0</v>
      </c>
      <c r="P236" s="170">
        <f t="shared" si="220"/>
        <v>0</v>
      </c>
      <c r="Q236" s="22"/>
      <c r="R236" s="49"/>
    </row>
    <row r="237" spans="1:18" ht="47.25" hidden="1" thickTop="1" thickBot="1" x14ac:dyDescent="0.25">
      <c r="A237" s="191" t="s">
        <v>1151</v>
      </c>
      <c r="B237" s="191" t="s">
        <v>714</v>
      </c>
      <c r="C237" s="191"/>
      <c r="D237" s="191" t="s">
        <v>715</v>
      </c>
      <c r="E237" s="45">
        <f>E238</f>
        <v>0</v>
      </c>
      <c r="F237" s="45">
        <f t="shared" ref="F237:P238" si="238">F238</f>
        <v>0</v>
      </c>
      <c r="G237" s="45">
        <f t="shared" si="238"/>
        <v>0</v>
      </c>
      <c r="H237" s="45">
        <f t="shared" si="238"/>
        <v>0</v>
      </c>
      <c r="I237" s="45">
        <f t="shared" si="238"/>
        <v>0</v>
      </c>
      <c r="J237" s="45">
        <f t="shared" si="238"/>
        <v>0</v>
      </c>
      <c r="K237" s="45">
        <f t="shared" si="238"/>
        <v>0</v>
      </c>
      <c r="L237" s="45">
        <f t="shared" si="238"/>
        <v>0</v>
      </c>
      <c r="M237" s="45">
        <f t="shared" si="238"/>
        <v>0</v>
      </c>
      <c r="N237" s="45">
        <f t="shared" si="238"/>
        <v>0</v>
      </c>
      <c r="O237" s="45">
        <f t="shared" si="238"/>
        <v>0</v>
      </c>
      <c r="P237" s="45">
        <f t="shared" si="238"/>
        <v>0</v>
      </c>
      <c r="Q237" s="22"/>
      <c r="R237" s="49"/>
    </row>
    <row r="238" spans="1:18" ht="271.5" hidden="1" thickTop="1" thickBot="1" x14ac:dyDescent="0.25">
      <c r="A238" s="192" t="s">
        <v>1152</v>
      </c>
      <c r="B238" s="192" t="s">
        <v>717</v>
      </c>
      <c r="C238" s="192"/>
      <c r="D238" s="192" t="s">
        <v>718</v>
      </c>
      <c r="E238" s="193">
        <f>E239</f>
        <v>0</v>
      </c>
      <c r="F238" s="193">
        <f t="shared" si="238"/>
        <v>0</v>
      </c>
      <c r="G238" s="193">
        <f t="shared" si="238"/>
        <v>0</v>
      </c>
      <c r="H238" s="193">
        <f t="shared" si="238"/>
        <v>0</v>
      </c>
      <c r="I238" s="193">
        <f t="shared" si="238"/>
        <v>0</v>
      </c>
      <c r="J238" s="193">
        <f t="shared" si="238"/>
        <v>0</v>
      </c>
      <c r="K238" s="193">
        <f t="shared" si="238"/>
        <v>0</v>
      </c>
      <c r="L238" s="193">
        <f t="shared" si="238"/>
        <v>0</v>
      </c>
      <c r="M238" s="193">
        <f t="shared" si="238"/>
        <v>0</v>
      </c>
      <c r="N238" s="193">
        <f t="shared" si="238"/>
        <v>0</v>
      </c>
      <c r="O238" s="193">
        <f t="shared" si="238"/>
        <v>0</v>
      </c>
      <c r="P238" s="193">
        <f t="shared" si="238"/>
        <v>0</v>
      </c>
      <c r="Q238" s="22"/>
      <c r="R238" s="49"/>
    </row>
    <row r="239" spans="1:18" ht="93" hidden="1" thickTop="1" thickBot="1" x14ac:dyDescent="0.25">
      <c r="A239" s="44" t="s">
        <v>1153</v>
      </c>
      <c r="B239" s="44" t="s">
        <v>369</v>
      </c>
      <c r="C239" s="44" t="s">
        <v>43</v>
      </c>
      <c r="D239" s="44" t="s">
        <v>370</v>
      </c>
      <c r="E239" s="45">
        <f t="shared" ref="E239" si="239">F239</f>
        <v>0</v>
      </c>
      <c r="F239" s="46">
        <v>0</v>
      </c>
      <c r="G239" s="46"/>
      <c r="H239" s="46"/>
      <c r="I239" s="46"/>
      <c r="J239" s="45">
        <f>L239+O239</f>
        <v>0</v>
      </c>
      <c r="K239" s="46">
        <v>0</v>
      </c>
      <c r="L239" s="46"/>
      <c r="M239" s="46"/>
      <c r="N239" s="46"/>
      <c r="O239" s="47">
        <f>K239</f>
        <v>0</v>
      </c>
      <c r="P239" s="45">
        <f>E239+J239</f>
        <v>0</v>
      </c>
      <c r="Q239" s="22"/>
      <c r="R239" s="49"/>
    </row>
    <row r="240" spans="1:18" ht="181.5" thickTop="1" thickBot="1" x14ac:dyDescent="0.25">
      <c r="A240" s="472" t="s">
        <v>159</v>
      </c>
      <c r="B240" s="472"/>
      <c r="C240" s="472"/>
      <c r="D240" s="473" t="s">
        <v>569</v>
      </c>
      <c r="E240" s="475">
        <f>E241</f>
        <v>22986630</v>
      </c>
      <c r="F240" s="474">
        <f t="shared" ref="F240:G240" si="240">F241</f>
        <v>22986630</v>
      </c>
      <c r="G240" s="474">
        <f t="shared" si="240"/>
        <v>6530800</v>
      </c>
      <c r="H240" s="474">
        <f>H241</f>
        <v>495475</v>
      </c>
      <c r="I240" s="474">
        <f t="shared" ref="I240" si="241">I241</f>
        <v>0</v>
      </c>
      <c r="J240" s="475">
        <f>J241</f>
        <v>22631314.870000001</v>
      </c>
      <c r="K240" s="474">
        <f>K241</f>
        <v>22151589</v>
      </c>
      <c r="L240" s="474">
        <f>L241</f>
        <v>479725.87</v>
      </c>
      <c r="M240" s="474">
        <f t="shared" ref="M240" si="242">M241</f>
        <v>0</v>
      </c>
      <c r="N240" s="474">
        <f>N241</f>
        <v>0</v>
      </c>
      <c r="O240" s="475">
        <f>O241</f>
        <v>22151589</v>
      </c>
      <c r="P240" s="474">
        <f>P241</f>
        <v>45617944.870000005</v>
      </c>
      <c r="Q240" s="22"/>
      <c r="R240" s="53"/>
    </row>
    <row r="241" spans="1:18" ht="226.5" thickTop="1" thickBot="1" x14ac:dyDescent="0.25">
      <c r="A241" s="476" t="s">
        <v>160</v>
      </c>
      <c r="B241" s="476"/>
      <c r="C241" s="476"/>
      <c r="D241" s="477" t="s">
        <v>570</v>
      </c>
      <c r="E241" s="478">
        <f>E242+E246+E254+E263</f>
        <v>22986630</v>
      </c>
      <c r="F241" s="478">
        <f>F242+F246+F254+F263</f>
        <v>22986630</v>
      </c>
      <c r="G241" s="478">
        <f>G242+G246+G254+G263</f>
        <v>6530800</v>
      </c>
      <c r="H241" s="478">
        <f>H242+H246+H254+H263</f>
        <v>495475</v>
      </c>
      <c r="I241" s="478">
        <f>I242+I246+I254+I263</f>
        <v>0</v>
      </c>
      <c r="J241" s="478">
        <f t="shared" ref="J241:J261" si="243">L241+O241</f>
        <v>22631314.870000001</v>
      </c>
      <c r="K241" s="478">
        <f>K242+K246+K254+K263</f>
        <v>22151589</v>
      </c>
      <c r="L241" s="478">
        <f>L242+L246+L254+L263</f>
        <v>479725.87</v>
      </c>
      <c r="M241" s="478">
        <f>M242+M246+M254+M263</f>
        <v>0</v>
      </c>
      <c r="N241" s="478">
        <f>N242+N246+N254+N263</f>
        <v>0</v>
      </c>
      <c r="O241" s="478">
        <f>O242+O246+O254+O263</f>
        <v>22151589</v>
      </c>
      <c r="P241" s="478">
        <f>E241+J241</f>
        <v>45617944.870000005</v>
      </c>
      <c r="Q241" s="404" t="b">
        <f>P241=P243+P244+P248+P249+P253+P259+P258+P261+P251+P256+P252</f>
        <v>1</v>
      </c>
      <c r="R241" s="57"/>
    </row>
    <row r="242" spans="1:18" ht="47.25" thickTop="1" thickBot="1" x14ac:dyDescent="0.25">
      <c r="A242" s="397" t="s">
        <v>801</v>
      </c>
      <c r="B242" s="397" t="s">
        <v>696</v>
      </c>
      <c r="C242" s="397"/>
      <c r="D242" s="397" t="s">
        <v>697</v>
      </c>
      <c r="E242" s="686">
        <f>SUM(E243:E245)</f>
        <v>9852160</v>
      </c>
      <c r="F242" s="686">
        <f t="shared" ref="F242:N242" si="244">SUM(F243:F245)</f>
        <v>9852160</v>
      </c>
      <c r="G242" s="686">
        <f t="shared" si="244"/>
        <v>6530800</v>
      </c>
      <c r="H242" s="686">
        <f t="shared" si="244"/>
        <v>495475</v>
      </c>
      <c r="I242" s="686">
        <f t="shared" si="244"/>
        <v>0</v>
      </c>
      <c r="J242" s="686">
        <f t="shared" si="244"/>
        <v>0</v>
      </c>
      <c r="K242" s="559">
        <f t="shared" si="244"/>
        <v>0</v>
      </c>
      <c r="L242" s="559">
        <f t="shared" si="244"/>
        <v>0</v>
      </c>
      <c r="M242" s="559">
        <f t="shared" si="244"/>
        <v>0</v>
      </c>
      <c r="N242" s="559">
        <f t="shared" si="244"/>
        <v>0</v>
      </c>
      <c r="O242" s="559">
        <f>SUM(O243:O245)</f>
        <v>0</v>
      </c>
      <c r="P242" s="559">
        <f>SUM(P243:P245)</f>
        <v>9852160</v>
      </c>
      <c r="Q242" s="50"/>
      <c r="R242" s="57"/>
    </row>
    <row r="243" spans="1:18" ht="230.25" thickTop="1" thickBot="1" x14ac:dyDescent="0.25">
      <c r="A243" s="558" t="s">
        <v>427</v>
      </c>
      <c r="B243" s="558" t="s">
        <v>241</v>
      </c>
      <c r="C243" s="558" t="s">
        <v>239</v>
      </c>
      <c r="D243" s="558" t="s">
        <v>240</v>
      </c>
      <c r="E243" s="398">
        <f>F243</f>
        <v>9840160</v>
      </c>
      <c r="F243" s="453">
        <f>(9296960)+43200+500000</f>
        <v>9840160</v>
      </c>
      <c r="G243" s="453">
        <v>6530800</v>
      </c>
      <c r="H243" s="453">
        <f>372455+5642+112884+4494</f>
        <v>495475</v>
      </c>
      <c r="I243" s="453"/>
      <c r="J243" s="686">
        <f t="shared" si="243"/>
        <v>0</v>
      </c>
      <c r="K243" s="453"/>
      <c r="L243" s="454"/>
      <c r="M243" s="454"/>
      <c r="N243" s="454"/>
      <c r="O243" s="402">
        <f t="shared" ref="O243:O258" si="245">K243</f>
        <v>0</v>
      </c>
      <c r="P243" s="559">
        <f t="shared" ref="P243:P250" si="246">+J243+E243</f>
        <v>9840160</v>
      </c>
      <c r="Q243" s="22"/>
      <c r="R243" s="57"/>
    </row>
    <row r="244" spans="1:18" ht="184.5" thickTop="1" thickBot="1" x14ac:dyDescent="0.25">
      <c r="A244" s="558" t="s">
        <v>639</v>
      </c>
      <c r="B244" s="558" t="s">
        <v>368</v>
      </c>
      <c r="C244" s="558" t="s">
        <v>637</v>
      </c>
      <c r="D244" s="558" t="s">
        <v>638</v>
      </c>
      <c r="E244" s="559">
        <f t="shared" ref="E244:E245" si="247">F244</f>
        <v>12000</v>
      </c>
      <c r="F244" s="453">
        <v>12000</v>
      </c>
      <c r="G244" s="453"/>
      <c r="H244" s="453"/>
      <c r="I244" s="453"/>
      <c r="J244" s="559">
        <f t="shared" si="243"/>
        <v>0</v>
      </c>
      <c r="K244" s="453"/>
      <c r="L244" s="454"/>
      <c r="M244" s="463"/>
      <c r="N244" s="463"/>
      <c r="O244" s="402">
        <f t="shared" si="245"/>
        <v>0</v>
      </c>
      <c r="P244" s="559">
        <f>+J244+E244</f>
        <v>12000</v>
      </c>
      <c r="Q244" s="22"/>
      <c r="R244" s="57"/>
    </row>
    <row r="245" spans="1:18" ht="93" hidden="1" thickTop="1" thickBot="1" x14ac:dyDescent="0.25">
      <c r="A245" s="171" t="s">
        <v>1190</v>
      </c>
      <c r="B245" s="171" t="s">
        <v>43</v>
      </c>
      <c r="C245" s="171" t="s">
        <v>42</v>
      </c>
      <c r="D245" s="171" t="s">
        <v>253</v>
      </c>
      <c r="E245" s="170">
        <f t="shared" si="247"/>
        <v>0</v>
      </c>
      <c r="F245" s="172"/>
      <c r="G245" s="172"/>
      <c r="H245" s="172"/>
      <c r="I245" s="172"/>
      <c r="J245" s="170">
        <f t="shared" si="243"/>
        <v>0</v>
      </c>
      <c r="K245" s="172"/>
      <c r="L245" s="173"/>
      <c r="M245" s="174"/>
      <c r="N245" s="174"/>
      <c r="O245" s="175"/>
      <c r="P245" s="170">
        <f>+J245+E245</f>
        <v>0</v>
      </c>
      <c r="Q245" s="22"/>
      <c r="R245" s="57"/>
    </row>
    <row r="246" spans="1:18" ht="91.5" thickTop="1" thickBot="1" x14ac:dyDescent="0.25">
      <c r="A246" s="397" t="s">
        <v>802</v>
      </c>
      <c r="B246" s="397" t="s">
        <v>754</v>
      </c>
      <c r="C246" s="397"/>
      <c r="D246" s="548" t="s">
        <v>755</v>
      </c>
      <c r="E246" s="686">
        <f>SUM(E247:E253)-E247</f>
        <v>4583100</v>
      </c>
      <c r="F246" s="686">
        <f t="shared" ref="F246:P246" si="248">SUM(F247:F253)-F247</f>
        <v>4583100</v>
      </c>
      <c r="G246" s="686">
        <f t="shared" si="248"/>
        <v>0</v>
      </c>
      <c r="H246" s="686">
        <f t="shared" si="248"/>
        <v>0</v>
      </c>
      <c r="I246" s="686">
        <f t="shared" si="248"/>
        <v>0</v>
      </c>
      <c r="J246" s="686">
        <f>SUM(J247:J253)-J247</f>
        <v>17280555</v>
      </c>
      <c r="K246" s="559">
        <f t="shared" si="248"/>
        <v>17280555</v>
      </c>
      <c r="L246" s="559">
        <f t="shared" si="248"/>
        <v>0</v>
      </c>
      <c r="M246" s="559">
        <f t="shared" si="248"/>
        <v>0</v>
      </c>
      <c r="N246" s="559">
        <f t="shared" si="248"/>
        <v>0</v>
      </c>
      <c r="O246" s="559">
        <f t="shared" si="248"/>
        <v>17280555</v>
      </c>
      <c r="P246" s="559">
        <f t="shared" si="248"/>
        <v>21863655</v>
      </c>
      <c r="Q246" s="22"/>
      <c r="R246" s="57"/>
    </row>
    <row r="247" spans="1:18" s="35" customFormat="1" ht="184.5" thickTop="1" thickBot="1" x14ac:dyDescent="0.25">
      <c r="A247" s="467" t="s">
        <v>803</v>
      </c>
      <c r="B247" s="467" t="s">
        <v>804</v>
      </c>
      <c r="C247" s="467"/>
      <c r="D247" s="467" t="s">
        <v>805</v>
      </c>
      <c r="E247" s="452">
        <f>SUM(E248:E250)</f>
        <v>1983100</v>
      </c>
      <c r="F247" s="452">
        <f t="shared" ref="F247:P247" si="249">SUM(F248:F250)</f>
        <v>1983100</v>
      </c>
      <c r="G247" s="452">
        <f t="shared" si="249"/>
        <v>0</v>
      </c>
      <c r="H247" s="452">
        <f t="shared" si="249"/>
        <v>0</v>
      </c>
      <c r="I247" s="452">
        <f t="shared" si="249"/>
        <v>0</v>
      </c>
      <c r="J247" s="452">
        <f t="shared" si="249"/>
        <v>14206555</v>
      </c>
      <c r="K247" s="452">
        <f t="shared" si="249"/>
        <v>14206555</v>
      </c>
      <c r="L247" s="452">
        <f t="shared" si="249"/>
        <v>0</v>
      </c>
      <c r="M247" s="452">
        <f t="shared" si="249"/>
        <v>0</v>
      </c>
      <c r="N247" s="452">
        <f t="shared" si="249"/>
        <v>0</v>
      </c>
      <c r="O247" s="452">
        <f t="shared" si="249"/>
        <v>14206555</v>
      </c>
      <c r="P247" s="452">
        <f t="shared" si="249"/>
        <v>16189655</v>
      </c>
      <c r="Q247" s="39"/>
      <c r="R247" s="57"/>
    </row>
    <row r="248" spans="1:18" ht="138.75" thickTop="1" thickBot="1" x14ac:dyDescent="0.25">
      <c r="A248" s="558" t="s">
        <v>285</v>
      </c>
      <c r="B248" s="558" t="s">
        <v>286</v>
      </c>
      <c r="C248" s="558" t="s">
        <v>346</v>
      </c>
      <c r="D248" s="558" t="s">
        <v>287</v>
      </c>
      <c r="E248" s="398">
        <f>F248</f>
        <v>1983100</v>
      </c>
      <c r="F248" s="453">
        <f>(1833100)+150000</f>
        <v>1983100</v>
      </c>
      <c r="G248" s="453"/>
      <c r="H248" s="453"/>
      <c r="I248" s="453"/>
      <c r="J248" s="686">
        <f t="shared" si="243"/>
        <v>3969055</v>
      </c>
      <c r="K248" s="453">
        <f>(745000)+3224055</f>
        <v>3969055</v>
      </c>
      <c r="L248" s="454"/>
      <c r="M248" s="454"/>
      <c r="N248" s="454"/>
      <c r="O248" s="402">
        <f t="shared" si="245"/>
        <v>3969055</v>
      </c>
      <c r="P248" s="559">
        <f t="shared" si="246"/>
        <v>5952155</v>
      </c>
      <c r="Q248" s="22"/>
      <c r="R248" s="57"/>
    </row>
    <row r="249" spans="1:18" ht="138.75" thickTop="1" thickBot="1" x14ac:dyDescent="0.25">
      <c r="A249" s="558" t="s">
        <v>307</v>
      </c>
      <c r="B249" s="558" t="s">
        <v>308</v>
      </c>
      <c r="C249" s="558" t="s">
        <v>288</v>
      </c>
      <c r="D249" s="558" t="s">
        <v>309</v>
      </c>
      <c r="E249" s="398">
        <f t="shared" ref="E249:E261" si="250">F249</f>
        <v>0</v>
      </c>
      <c r="F249" s="453"/>
      <c r="G249" s="453"/>
      <c r="H249" s="453"/>
      <c r="I249" s="453"/>
      <c r="J249" s="686">
        <f t="shared" si="243"/>
        <v>10237500</v>
      </c>
      <c r="K249" s="453">
        <f>(5237500)+5000000</f>
        <v>10237500</v>
      </c>
      <c r="L249" s="454"/>
      <c r="M249" s="454"/>
      <c r="N249" s="454"/>
      <c r="O249" s="402">
        <f t="shared" si="245"/>
        <v>10237500</v>
      </c>
      <c r="P249" s="559">
        <f t="shared" si="246"/>
        <v>10237500</v>
      </c>
      <c r="Q249" s="22"/>
      <c r="R249" s="57"/>
    </row>
    <row r="250" spans="1:18" ht="184.5" hidden="1" thickTop="1" thickBot="1" x14ac:dyDescent="0.25">
      <c r="A250" s="171" t="s">
        <v>289</v>
      </c>
      <c r="B250" s="171" t="s">
        <v>290</v>
      </c>
      <c r="C250" s="171" t="s">
        <v>288</v>
      </c>
      <c r="D250" s="171" t="s">
        <v>473</v>
      </c>
      <c r="E250" s="197">
        <f t="shared" si="250"/>
        <v>0</v>
      </c>
      <c r="F250" s="172">
        <f>((16700000-15000000)-1000000)-700000</f>
        <v>0</v>
      </c>
      <c r="G250" s="172"/>
      <c r="H250" s="172"/>
      <c r="I250" s="172"/>
      <c r="J250" s="684">
        <f t="shared" si="243"/>
        <v>0</v>
      </c>
      <c r="K250" s="172"/>
      <c r="L250" s="173"/>
      <c r="M250" s="173"/>
      <c r="N250" s="173"/>
      <c r="O250" s="175">
        <f t="shared" si="245"/>
        <v>0</v>
      </c>
      <c r="P250" s="170">
        <f t="shared" si="246"/>
        <v>0</v>
      </c>
      <c r="Q250" s="22"/>
      <c r="R250" s="57"/>
    </row>
    <row r="251" spans="1:18" ht="321.75" thickTop="1" thickBot="1" x14ac:dyDescent="0.25">
      <c r="A251" s="743" t="s">
        <v>945</v>
      </c>
      <c r="B251" s="743" t="s">
        <v>303</v>
      </c>
      <c r="C251" s="743" t="s">
        <v>288</v>
      </c>
      <c r="D251" s="743" t="s">
        <v>304</v>
      </c>
      <c r="E251" s="398">
        <f t="shared" ref="E251" si="251">F251</f>
        <v>600000</v>
      </c>
      <c r="F251" s="453">
        <v>600000</v>
      </c>
      <c r="G251" s="453"/>
      <c r="H251" s="453"/>
      <c r="I251" s="453"/>
      <c r="J251" s="744">
        <f t="shared" ref="J251" si="252">L251+O251</f>
        <v>0</v>
      </c>
      <c r="K251" s="453"/>
      <c r="L251" s="454"/>
      <c r="M251" s="454"/>
      <c r="N251" s="454"/>
      <c r="O251" s="402">
        <f t="shared" ref="O251" si="253">K251</f>
        <v>0</v>
      </c>
      <c r="P251" s="744">
        <f t="shared" ref="P251" si="254">+J251+E251</f>
        <v>600000</v>
      </c>
      <c r="Q251" s="22"/>
      <c r="R251" s="57"/>
    </row>
    <row r="252" spans="1:18" ht="93" thickTop="1" thickBot="1" x14ac:dyDescent="0.25">
      <c r="A252" s="743" t="s">
        <v>293</v>
      </c>
      <c r="B252" s="743" t="s">
        <v>294</v>
      </c>
      <c r="C252" s="743" t="s">
        <v>288</v>
      </c>
      <c r="D252" s="743" t="s">
        <v>295</v>
      </c>
      <c r="E252" s="398">
        <f t="shared" si="250"/>
        <v>0</v>
      </c>
      <c r="F252" s="453">
        <f>(((0)+15000000)-10000000)-5000000</f>
        <v>0</v>
      </c>
      <c r="G252" s="453"/>
      <c r="H252" s="453"/>
      <c r="I252" s="453"/>
      <c r="J252" s="744">
        <f t="shared" si="243"/>
        <v>3074000</v>
      </c>
      <c r="K252" s="401">
        <v>3074000</v>
      </c>
      <c r="L252" s="453"/>
      <c r="M252" s="453"/>
      <c r="N252" s="453"/>
      <c r="O252" s="402">
        <f t="shared" si="245"/>
        <v>3074000</v>
      </c>
      <c r="P252" s="744">
        <f t="shared" ref="P252" si="255">E252+J252</f>
        <v>3074000</v>
      </c>
      <c r="Q252" s="22"/>
      <c r="R252" s="53"/>
    </row>
    <row r="253" spans="1:18" s="118" customFormat="1" ht="138.75" thickTop="1" thickBot="1" x14ac:dyDescent="0.25">
      <c r="A253" s="558" t="s">
        <v>1348</v>
      </c>
      <c r="B253" s="558" t="s">
        <v>1196</v>
      </c>
      <c r="C253" s="558" t="s">
        <v>1197</v>
      </c>
      <c r="D253" s="558" t="s">
        <v>1194</v>
      </c>
      <c r="E253" s="398">
        <f t="shared" ref="E253" si="256">F253</f>
        <v>2000000</v>
      </c>
      <c r="F253" s="453">
        <v>2000000</v>
      </c>
      <c r="G253" s="453"/>
      <c r="H253" s="453"/>
      <c r="I253" s="453"/>
      <c r="J253" s="686">
        <f t="shared" ref="J253" si="257">L253+O253</f>
        <v>0</v>
      </c>
      <c r="K253" s="401"/>
      <c r="L253" s="453"/>
      <c r="M253" s="453"/>
      <c r="N253" s="453"/>
      <c r="O253" s="402">
        <f t="shared" ref="O253" si="258">K253</f>
        <v>0</v>
      </c>
      <c r="P253" s="559">
        <f t="shared" ref="P253" si="259">E253+J253</f>
        <v>2000000</v>
      </c>
      <c r="Q253" s="22"/>
      <c r="R253" s="53"/>
    </row>
    <row r="254" spans="1:18" ht="47.25" thickTop="1" thickBot="1" x14ac:dyDescent="0.25">
      <c r="A254" s="397" t="s">
        <v>806</v>
      </c>
      <c r="B254" s="397" t="s">
        <v>760</v>
      </c>
      <c r="C254" s="397"/>
      <c r="D254" s="397" t="s">
        <v>807</v>
      </c>
      <c r="E254" s="398">
        <f>E257+E255</f>
        <v>8551370</v>
      </c>
      <c r="F254" s="398">
        <f t="shared" ref="F254:P254" si="260">F257+F255</f>
        <v>8551370</v>
      </c>
      <c r="G254" s="398">
        <f t="shared" si="260"/>
        <v>0</v>
      </c>
      <c r="H254" s="398">
        <f t="shared" si="260"/>
        <v>0</v>
      </c>
      <c r="I254" s="398">
        <f t="shared" si="260"/>
        <v>0</v>
      </c>
      <c r="J254" s="398">
        <f t="shared" si="260"/>
        <v>5350759.87</v>
      </c>
      <c r="K254" s="398">
        <f t="shared" si="260"/>
        <v>4871034</v>
      </c>
      <c r="L254" s="398">
        <f t="shared" si="260"/>
        <v>479725.87</v>
      </c>
      <c r="M254" s="398">
        <f t="shared" si="260"/>
        <v>0</v>
      </c>
      <c r="N254" s="398">
        <f t="shared" si="260"/>
        <v>0</v>
      </c>
      <c r="O254" s="398">
        <f t="shared" si="260"/>
        <v>4871034</v>
      </c>
      <c r="P254" s="398">
        <f t="shared" si="260"/>
        <v>13902129.869999999</v>
      </c>
      <c r="Q254" s="22"/>
      <c r="R254" s="53"/>
    </row>
    <row r="255" spans="1:18" ht="91.5" thickTop="1" thickBot="1" x14ac:dyDescent="0.25">
      <c r="A255" s="399" t="s">
        <v>1192</v>
      </c>
      <c r="B255" s="399" t="s">
        <v>816</v>
      </c>
      <c r="C255" s="399"/>
      <c r="D255" s="399" t="s">
        <v>817</v>
      </c>
      <c r="E255" s="400">
        <f>E256</f>
        <v>0</v>
      </c>
      <c r="F255" s="400">
        <f t="shared" ref="F255:P255" si="261">F256</f>
        <v>0</v>
      </c>
      <c r="G255" s="400">
        <f t="shared" si="261"/>
        <v>0</v>
      </c>
      <c r="H255" s="400">
        <f t="shared" si="261"/>
        <v>0</v>
      </c>
      <c r="I255" s="400">
        <f t="shared" si="261"/>
        <v>0</v>
      </c>
      <c r="J255" s="400">
        <f t="shared" si="261"/>
        <v>4700000</v>
      </c>
      <c r="K255" s="400">
        <f t="shared" si="261"/>
        <v>4700000</v>
      </c>
      <c r="L255" s="400">
        <f t="shared" si="261"/>
        <v>0</v>
      </c>
      <c r="M255" s="400">
        <f t="shared" si="261"/>
        <v>0</v>
      </c>
      <c r="N255" s="400">
        <f t="shared" si="261"/>
        <v>0</v>
      </c>
      <c r="O255" s="400">
        <f t="shared" si="261"/>
        <v>4700000</v>
      </c>
      <c r="P255" s="400">
        <f t="shared" si="261"/>
        <v>4700000</v>
      </c>
      <c r="Q255" s="22"/>
      <c r="R255" s="53"/>
    </row>
    <row r="256" spans="1:18" ht="145.5" thickTop="1" thickBot="1" x14ac:dyDescent="0.25">
      <c r="A256" s="558" t="s">
        <v>1193</v>
      </c>
      <c r="B256" s="558" t="s">
        <v>311</v>
      </c>
      <c r="C256" s="558" t="s">
        <v>310</v>
      </c>
      <c r="D256" s="558" t="s">
        <v>1350</v>
      </c>
      <c r="E256" s="398">
        <f t="shared" ref="E256" si="262">F256</f>
        <v>0</v>
      </c>
      <c r="F256" s="453"/>
      <c r="G256" s="453"/>
      <c r="H256" s="453"/>
      <c r="I256" s="453"/>
      <c r="J256" s="686">
        <f>L256+O256</f>
        <v>4700000</v>
      </c>
      <c r="K256" s="401">
        <v>4700000</v>
      </c>
      <c r="L256" s="453"/>
      <c r="M256" s="453"/>
      <c r="N256" s="453"/>
      <c r="O256" s="402">
        <f>K256</f>
        <v>4700000</v>
      </c>
      <c r="P256" s="559">
        <f t="shared" ref="P256" si="263">E256+J256</f>
        <v>4700000</v>
      </c>
      <c r="Q256" s="22"/>
      <c r="R256" s="53"/>
    </row>
    <row r="257" spans="1:18" ht="136.5" thickTop="1" thickBot="1" x14ac:dyDescent="0.25">
      <c r="A257" s="399" t="s">
        <v>808</v>
      </c>
      <c r="B257" s="399" t="s">
        <v>703</v>
      </c>
      <c r="C257" s="399"/>
      <c r="D257" s="399" t="s">
        <v>701</v>
      </c>
      <c r="E257" s="400">
        <f>E258+E260+E259</f>
        <v>8551370</v>
      </c>
      <c r="F257" s="400">
        <f t="shared" ref="F257:P257" si="264">F258+F260+F259</f>
        <v>8551370</v>
      </c>
      <c r="G257" s="400">
        <f t="shared" si="264"/>
        <v>0</v>
      </c>
      <c r="H257" s="400">
        <f t="shared" si="264"/>
        <v>0</v>
      </c>
      <c r="I257" s="400">
        <f t="shared" si="264"/>
        <v>0</v>
      </c>
      <c r="J257" s="400">
        <f>J258+J260+J259</f>
        <v>650759.87</v>
      </c>
      <c r="K257" s="400">
        <f t="shared" si="264"/>
        <v>171034</v>
      </c>
      <c r="L257" s="400">
        <f t="shared" si="264"/>
        <v>479725.87</v>
      </c>
      <c r="M257" s="400">
        <f t="shared" si="264"/>
        <v>0</v>
      </c>
      <c r="N257" s="400">
        <f t="shared" si="264"/>
        <v>0</v>
      </c>
      <c r="O257" s="400">
        <f t="shared" si="264"/>
        <v>171034</v>
      </c>
      <c r="P257" s="400">
        <f t="shared" si="264"/>
        <v>9202129.8699999992</v>
      </c>
      <c r="Q257" s="22"/>
      <c r="R257" s="53"/>
    </row>
    <row r="258" spans="1:18" ht="48" thickTop="1" thickBot="1" x14ac:dyDescent="0.25">
      <c r="A258" s="558" t="s">
        <v>302</v>
      </c>
      <c r="B258" s="558" t="s">
        <v>217</v>
      </c>
      <c r="C258" s="558" t="s">
        <v>218</v>
      </c>
      <c r="D258" s="558" t="s">
        <v>41</v>
      </c>
      <c r="E258" s="398">
        <f t="shared" si="250"/>
        <v>8551370</v>
      </c>
      <c r="F258" s="453">
        <f>(5844220)+2707150</f>
        <v>8551370</v>
      </c>
      <c r="G258" s="453"/>
      <c r="H258" s="453"/>
      <c r="I258" s="453"/>
      <c r="J258" s="559">
        <f t="shared" si="243"/>
        <v>0</v>
      </c>
      <c r="K258" s="401"/>
      <c r="L258" s="453"/>
      <c r="M258" s="453"/>
      <c r="N258" s="453"/>
      <c r="O258" s="402">
        <f t="shared" si="245"/>
        <v>0</v>
      </c>
      <c r="P258" s="559">
        <f>E258+J258</f>
        <v>8551370</v>
      </c>
      <c r="Q258" s="22"/>
      <c r="R258" s="57"/>
    </row>
    <row r="259" spans="1:18" ht="138.75" thickTop="1" thickBot="1" x14ac:dyDescent="0.25">
      <c r="A259" s="558" t="s">
        <v>934</v>
      </c>
      <c r="B259" s="558" t="s">
        <v>202</v>
      </c>
      <c r="C259" s="558" t="s">
        <v>171</v>
      </c>
      <c r="D259" s="558" t="s">
        <v>34</v>
      </c>
      <c r="E259" s="398">
        <f t="shared" ref="E259" si="265">F259</f>
        <v>0</v>
      </c>
      <c r="F259" s="453"/>
      <c r="G259" s="453"/>
      <c r="H259" s="453"/>
      <c r="I259" s="453"/>
      <c r="J259" s="559">
        <f t="shared" ref="J259" si="266">L259+O259</f>
        <v>171034</v>
      </c>
      <c r="K259" s="401">
        <v>171034</v>
      </c>
      <c r="L259" s="453"/>
      <c r="M259" s="453"/>
      <c r="N259" s="453"/>
      <c r="O259" s="402">
        <f t="shared" ref="O259" si="267">K259</f>
        <v>171034</v>
      </c>
      <c r="P259" s="559">
        <f>E259+J259</f>
        <v>171034</v>
      </c>
      <c r="Q259" s="22"/>
      <c r="R259" s="57"/>
    </row>
    <row r="260" spans="1:18" ht="93" thickTop="1" thickBot="1" x14ac:dyDescent="0.25">
      <c r="A260" s="467" t="s">
        <v>809</v>
      </c>
      <c r="B260" s="467" t="s">
        <v>706</v>
      </c>
      <c r="C260" s="467"/>
      <c r="D260" s="467" t="s">
        <v>810</v>
      </c>
      <c r="E260" s="514">
        <f>E261</f>
        <v>0</v>
      </c>
      <c r="F260" s="514">
        <f t="shared" ref="F260:P260" si="268">F261</f>
        <v>0</v>
      </c>
      <c r="G260" s="514">
        <f t="shared" si="268"/>
        <v>0</v>
      </c>
      <c r="H260" s="514">
        <f t="shared" si="268"/>
        <v>0</v>
      </c>
      <c r="I260" s="514">
        <f t="shared" si="268"/>
        <v>0</v>
      </c>
      <c r="J260" s="514">
        <f t="shared" si="268"/>
        <v>479725.87</v>
      </c>
      <c r="K260" s="514">
        <f t="shared" si="268"/>
        <v>0</v>
      </c>
      <c r="L260" s="514">
        <f t="shared" si="268"/>
        <v>479725.87</v>
      </c>
      <c r="M260" s="514">
        <f t="shared" si="268"/>
        <v>0</v>
      </c>
      <c r="N260" s="514">
        <f t="shared" si="268"/>
        <v>0</v>
      </c>
      <c r="O260" s="514">
        <f t="shared" si="268"/>
        <v>0</v>
      </c>
      <c r="P260" s="514">
        <f t="shared" si="268"/>
        <v>479725.87</v>
      </c>
      <c r="Q260" s="22"/>
      <c r="R260" s="53"/>
    </row>
    <row r="261" spans="1:18" ht="409.6" thickTop="1" thickBot="1" x14ac:dyDescent="0.7">
      <c r="A261" s="845" t="s">
        <v>430</v>
      </c>
      <c r="B261" s="845" t="s">
        <v>344</v>
      </c>
      <c r="C261" s="845" t="s">
        <v>171</v>
      </c>
      <c r="D261" s="746" t="s">
        <v>446</v>
      </c>
      <c r="E261" s="872">
        <f t="shared" si="250"/>
        <v>0</v>
      </c>
      <c r="F261" s="849"/>
      <c r="G261" s="849"/>
      <c r="H261" s="849"/>
      <c r="I261" s="849"/>
      <c r="J261" s="872">
        <f t="shared" si="243"/>
        <v>479725.87</v>
      </c>
      <c r="K261" s="849"/>
      <c r="L261" s="849">
        <v>479725.87</v>
      </c>
      <c r="M261" s="849"/>
      <c r="N261" s="849"/>
      <c r="O261" s="850">
        <f>((K261+884000)-450000)-434000</f>
        <v>0</v>
      </c>
      <c r="P261" s="824">
        <f>E261+J261</f>
        <v>479725.87</v>
      </c>
      <c r="Q261" s="22"/>
      <c r="R261" s="53"/>
    </row>
    <row r="262" spans="1:18" ht="184.5" thickTop="1" thickBot="1" x14ac:dyDescent="0.25">
      <c r="A262" s="845"/>
      <c r="B262" s="845"/>
      <c r="C262" s="845"/>
      <c r="D262" s="747" t="s">
        <v>447</v>
      </c>
      <c r="E262" s="872"/>
      <c r="F262" s="849"/>
      <c r="G262" s="849"/>
      <c r="H262" s="849"/>
      <c r="I262" s="849"/>
      <c r="J262" s="872"/>
      <c r="K262" s="849"/>
      <c r="L262" s="849"/>
      <c r="M262" s="849"/>
      <c r="N262" s="849"/>
      <c r="O262" s="850"/>
      <c r="P262" s="824"/>
      <c r="Q262" s="22"/>
      <c r="R262" s="53"/>
    </row>
    <row r="263" spans="1:18" s="118" customFormat="1" ht="47.25" hidden="1" thickTop="1" thickBot="1" x14ac:dyDescent="0.25">
      <c r="A263" s="162" t="s">
        <v>1283</v>
      </c>
      <c r="B263" s="162" t="s">
        <v>708</v>
      </c>
      <c r="C263" s="162"/>
      <c r="D263" s="162" t="s">
        <v>709</v>
      </c>
      <c r="E263" s="170">
        <f t="shared" ref="E263:P263" si="269">E264</f>
        <v>0</v>
      </c>
      <c r="F263" s="170">
        <f t="shared" si="269"/>
        <v>0</v>
      </c>
      <c r="G263" s="170">
        <f t="shared" si="269"/>
        <v>0</v>
      </c>
      <c r="H263" s="170">
        <f t="shared" si="269"/>
        <v>0</v>
      </c>
      <c r="I263" s="170">
        <f t="shared" si="269"/>
        <v>0</v>
      </c>
      <c r="J263" s="170">
        <f t="shared" si="269"/>
        <v>0</v>
      </c>
      <c r="K263" s="170">
        <f t="shared" si="269"/>
        <v>0</v>
      </c>
      <c r="L263" s="170">
        <f t="shared" si="269"/>
        <v>0</v>
      </c>
      <c r="M263" s="170">
        <f t="shared" si="269"/>
        <v>0</v>
      </c>
      <c r="N263" s="170">
        <f t="shared" si="269"/>
        <v>0</v>
      </c>
      <c r="O263" s="170">
        <f t="shared" si="269"/>
        <v>0</v>
      </c>
      <c r="P263" s="170">
        <f t="shared" si="269"/>
        <v>0</v>
      </c>
      <c r="Q263" s="22"/>
      <c r="R263" s="53"/>
    </row>
    <row r="264" spans="1:18" s="118" customFormat="1" ht="91.5" hidden="1" thickTop="1" thickBot="1" x14ac:dyDescent="0.25">
      <c r="A264" s="179" t="s">
        <v>1284</v>
      </c>
      <c r="B264" s="179" t="s">
        <v>1237</v>
      </c>
      <c r="C264" s="179"/>
      <c r="D264" s="179" t="s">
        <v>1235</v>
      </c>
      <c r="E264" s="180">
        <f t="shared" ref="E264:P264" si="270">SUM(E265:E265)</f>
        <v>0</v>
      </c>
      <c r="F264" s="180">
        <f t="shared" si="270"/>
        <v>0</v>
      </c>
      <c r="G264" s="180">
        <f t="shared" si="270"/>
        <v>0</v>
      </c>
      <c r="H264" s="180">
        <f t="shared" si="270"/>
        <v>0</v>
      </c>
      <c r="I264" s="180">
        <f t="shared" si="270"/>
        <v>0</v>
      </c>
      <c r="J264" s="180">
        <f t="shared" si="270"/>
        <v>0</v>
      </c>
      <c r="K264" s="180">
        <f t="shared" si="270"/>
        <v>0</v>
      </c>
      <c r="L264" s="180">
        <f t="shared" si="270"/>
        <v>0</v>
      </c>
      <c r="M264" s="180">
        <f t="shared" si="270"/>
        <v>0</v>
      </c>
      <c r="N264" s="180">
        <f t="shared" si="270"/>
        <v>0</v>
      </c>
      <c r="O264" s="180">
        <f t="shared" si="270"/>
        <v>0</v>
      </c>
      <c r="P264" s="180">
        <f t="shared" si="270"/>
        <v>0</v>
      </c>
      <c r="Q264" s="22"/>
      <c r="R264" s="53"/>
    </row>
    <row r="265" spans="1:18" s="118" customFormat="1" ht="93" hidden="1" thickTop="1" thickBot="1" x14ac:dyDescent="0.25">
      <c r="A265" s="171" t="s">
        <v>1285</v>
      </c>
      <c r="B265" s="171" t="s">
        <v>1265</v>
      </c>
      <c r="C265" s="171" t="s">
        <v>1239</v>
      </c>
      <c r="D265" s="171" t="s">
        <v>1266</v>
      </c>
      <c r="E265" s="170">
        <f>F265</f>
        <v>0</v>
      </c>
      <c r="F265" s="177"/>
      <c r="G265" s="177"/>
      <c r="H265" s="177"/>
      <c r="I265" s="177"/>
      <c r="J265" s="170">
        <f>L265+O265</f>
        <v>0</v>
      </c>
      <c r="K265" s="177"/>
      <c r="L265" s="177"/>
      <c r="M265" s="177"/>
      <c r="N265" s="177"/>
      <c r="O265" s="175">
        <f>K265</f>
        <v>0</v>
      </c>
      <c r="P265" s="170">
        <f>E265+J265</f>
        <v>0</v>
      </c>
      <c r="Q265" s="22"/>
      <c r="R265" s="53"/>
    </row>
    <row r="266" spans="1:18" ht="181.5" thickTop="1" thickBot="1" x14ac:dyDescent="0.25">
      <c r="A266" s="472" t="s">
        <v>548</v>
      </c>
      <c r="B266" s="472"/>
      <c r="C266" s="472"/>
      <c r="D266" s="473" t="s">
        <v>567</v>
      </c>
      <c r="E266" s="475">
        <f>E267</f>
        <v>537087507</v>
      </c>
      <c r="F266" s="474">
        <f t="shared" ref="F266:G266" si="271">F267</f>
        <v>537087507</v>
      </c>
      <c r="G266" s="474">
        <f t="shared" si="271"/>
        <v>8405506</v>
      </c>
      <c r="H266" s="474">
        <f>H267</f>
        <v>338942</v>
      </c>
      <c r="I266" s="474">
        <f t="shared" ref="I266" si="272">I267</f>
        <v>0</v>
      </c>
      <c r="J266" s="475">
        <f>J267</f>
        <v>378191052.60000002</v>
      </c>
      <c r="K266" s="474">
        <f>K267</f>
        <v>378191052.60000002</v>
      </c>
      <c r="L266" s="474">
        <f>L267</f>
        <v>0</v>
      </c>
      <c r="M266" s="474">
        <f t="shared" ref="M266" si="273">M267</f>
        <v>0</v>
      </c>
      <c r="N266" s="474">
        <f>N267</f>
        <v>0</v>
      </c>
      <c r="O266" s="475">
        <f>O267</f>
        <v>378191052.60000002</v>
      </c>
      <c r="P266" s="474">
        <f>P267</f>
        <v>915278559.60000002</v>
      </c>
      <c r="Q266" s="22"/>
      <c r="R266" s="53"/>
    </row>
    <row r="267" spans="1:18" ht="226.5" thickTop="1" thickBot="1" x14ac:dyDescent="0.25">
      <c r="A267" s="476" t="s">
        <v>549</v>
      </c>
      <c r="B267" s="476"/>
      <c r="C267" s="476"/>
      <c r="D267" s="477" t="s">
        <v>568</v>
      </c>
      <c r="E267" s="478">
        <f>E268+E272+E279+E292</f>
        <v>537087507</v>
      </c>
      <c r="F267" s="478">
        <f t="shared" ref="F267:I267" si="274">F268+F272+F279+F292</f>
        <v>537087507</v>
      </c>
      <c r="G267" s="478">
        <f t="shared" si="274"/>
        <v>8405506</v>
      </c>
      <c r="H267" s="478">
        <f t="shared" si="274"/>
        <v>338942</v>
      </c>
      <c r="I267" s="478">
        <f t="shared" si="274"/>
        <v>0</v>
      </c>
      <c r="J267" s="478">
        <f t="shared" ref="J267:J289" si="275">L267+O267</f>
        <v>378191052.60000002</v>
      </c>
      <c r="K267" s="478">
        <f t="shared" ref="K267:O267" si="276">K268+K272+K279+K292</f>
        <v>378191052.60000002</v>
      </c>
      <c r="L267" s="478">
        <f t="shared" si="276"/>
        <v>0</v>
      </c>
      <c r="M267" s="478">
        <f t="shared" si="276"/>
        <v>0</v>
      </c>
      <c r="N267" s="478">
        <f t="shared" si="276"/>
        <v>0</v>
      </c>
      <c r="O267" s="478">
        <f t="shared" si="276"/>
        <v>378191052.60000002</v>
      </c>
      <c r="P267" s="478">
        <f>E267+J267</f>
        <v>915278559.60000002</v>
      </c>
      <c r="Q267" s="404" t="b">
        <f>P267=P269+P271+P274+P275+P276+P277+P284+P286+P287+P294+P295+P281+P278</f>
        <v>1</v>
      </c>
      <c r="R267" s="48"/>
    </row>
    <row r="268" spans="1:18" ht="47.25" thickTop="1" thickBot="1" x14ac:dyDescent="0.25">
      <c r="A268" s="397" t="s">
        <v>811</v>
      </c>
      <c r="B268" s="397" t="s">
        <v>696</v>
      </c>
      <c r="C268" s="397"/>
      <c r="D268" s="397" t="s">
        <v>697</v>
      </c>
      <c r="E268" s="686">
        <f>SUM(E269:E271)</f>
        <v>9028158</v>
      </c>
      <c r="F268" s="686">
        <f t="shared" ref="F268:P268" si="277">SUM(F269:F271)</f>
        <v>9028158</v>
      </c>
      <c r="G268" s="686">
        <f t="shared" si="277"/>
        <v>6736115</v>
      </c>
      <c r="H268" s="686">
        <f t="shared" si="277"/>
        <v>264613</v>
      </c>
      <c r="I268" s="686">
        <f t="shared" si="277"/>
        <v>0</v>
      </c>
      <c r="J268" s="686">
        <f t="shared" si="277"/>
        <v>36120</v>
      </c>
      <c r="K268" s="559">
        <f t="shared" si="277"/>
        <v>36120</v>
      </c>
      <c r="L268" s="559">
        <f t="shared" si="277"/>
        <v>0</v>
      </c>
      <c r="M268" s="559">
        <f t="shared" si="277"/>
        <v>0</v>
      </c>
      <c r="N268" s="559">
        <f t="shared" si="277"/>
        <v>0</v>
      </c>
      <c r="O268" s="559">
        <f t="shared" si="277"/>
        <v>36120</v>
      </c>
      <c r="P268" s="559">
        <f t="shared" si="277"/>
        <v>9064278</v>
      </c>
      <c r="Q268" s="50"/>
      <c r="R268" s="48"/>
    </row>
    <row r="269" spans="1:18" ht="230.25" thickTop="1" thickBot="1" x14ac:dyDescent="0.25">
      <c r="A269" s="558" t="s">
        <v>550</v>
      </c>
      <c r="B269" s="558" t="s">
        <v>241</v>
      </c>
      <c r="C269" s="558" t="s">
        <v>239</v>
      </c>
      <c r="D269" s="558" t="s">
        <v>240</v>
      </c>
      <c r="E269" s="398">
        <f>F269</f>
        <v>8991093</v>
      </c>
      <c r="F269" s="453">
        <f>(8955093)+36000</f>
        <v>8991093</v>
      </c>
      <c r="G269" s="453">
        <v>6736115</v>
      </c>
      <c r="H269" s="453">
        <f>168300+6553+84000+5760</f>
        <v>264613</v>
      </c>
      <c r="I269" s="453"/>
      <c r="J269" s="686">
        <f t="shared" si="275"/>
        <v>36120</v>
      </c>
      <c r="K269" s="453">
        <v>36120</v>
      </c>
      <c r="L269" s="454"/>
      <c r="M269" s="454"/>
      <c r="N269" s="454"/>
      <c r="O269" s="402">
        <f t="shared" ref="O269:O287" si="278">K269</f>
        <v>36120</v>
      </c>
      <c r="P269" s="559">
        <f t="shared" ref="P269:P275" si="279">+J269+E269</f>
        <v>9027213</v>
      </c>
      <c r="Q269" s="22"/>
      <c r="R269" s="48"/>
    </row>
    <row r="270" spans="1:18" ht="184.5" hidden="1" thickTop="1" thickBot="1" x14ac:dyDescent="0.25">
      <c r="A270" s="171" t="s">
        <v>641</v>
      </c>
      <c r="B270" s="171" t="s">
        <v>368</v>
      </c>
      <c r="C270" s="171" t="s">
        <v>637</v>
      </c>
      <c r="D270" s="171" t="s">
        <v>638</v>
      </c>
      <c r="E270" s="197">
        <f>F270</f>
        <v>0</v>
      </c>
      <c r="F270" s="172"/>
      <c r="G270" s="172"/>
      <c r="H270" s="172"/>
      <c r="I270" s="172"/>
      <c r="J270" s="684">
        <f t="shared" ref="J270" si="280">L270+O270</f>
        <v>0</v>
      </c>
      <c r="K270" s="172"/>
      <c r="L270" s="173"/>
      <c r="M270" s="173"/>
      <c r="N270" s="173"/>
      <c r="O270" s="175">
        <f t="shared" ref="O270" si="281">K270</f>
        <v>0</v>
      </c>
      <c r="P270" s="170">
        <f t="shared" ref="P270" si="282">+J270+E270</f>
        <v>0</v>
      </c>
      <c r="Q270" s="22"/>
      <c r="R270" s="48"/>
    </row>
    <row r="271" spans="1:18" ht="93" thickTop="1" thickBot="1" x14ac:dyDescent="0.25">
      <c r="A271" s="558" t="s">
        <v>551</v>
      </c>
      <c r="B271" s="558" t="s">
        <v>43</v>
      </c>
      <c r="C271" s="558" t="s">
        <v>42</v>
      </c>
      <c r="D271" s="558" t="s">
        <v>253</v>
      </c>
      <c r="E271" s="398">
        <f>F271</f>
        <v>37065</v>
      </c>
      <c r="F271" s="453">
        <f>(24700)+12365</f>
        <v>37065</v>
      </c>
      <c r="G271" s="172"/>
      <c r="H271" s="172"/>
      <c r="I271" s="172"/>
      <c r="J271" s="686">
        <f t="shared" si="275"/>
        <v>0</v>
      </c>
      <c r="K271" s="453"/>
      <c r="L271" s="454"/>
      <c r="M271" s="454"/>
      <c r="N271" s="454"/>
      <c r="O271" s="402">
        <f t="shared" si="278"/>
        <v>0</v>
      </c>
      <c r="P271" s="559">
        <f t="shared" si="279"/>
        <v>37065</v>
      </c>
      <c r="Q271" s="22"/>
      <c r="R271" s="53"/>
    </row>
    <row r="272" spans="1:18" ht="91.5" thickTop="1" thickBot="1" x14ac:dyDescent="0.25">
      <c r="A272" s="397" t="s">
        <v>812</v>
      </c>
      <c r="B272" s="397" t="s">
        <v>754</v>
      </c>
      <c r="C272" s="397"/>
      <c r="D272" s="548" t="s">
        <v>755</v>
      </c>
      <c r="E272" s="398">
        <f>SUM(E273:E278)-E273</f>
        <v>445778515</v>
      </c>
      <c r="F272" s="398">
        <f t="shared" ref="F272:P272" si="283">SUM(F273:F278)-F273</f>
        <v>445778515</v>
      </c>
      <c r="G272" s="398">
        <f t="shared" si="283"/>
        <v>0</v>
      </c>
      <c r="H272" s="398">
        <f t="shared" si="283"/>
        <v>5000</v>
      </c>
      <c r="I272" s="398">
        <f t="shared" si="283"/>
        <v>0</v>
      </c>
      <c r="J272" s="398">
        <f t="shared" si="283"/>
        <v>5593000</v>
      </c>
      <c r="K272" s="398">
        <f t="shared" si="283"/>
        <v>5593000</v>
      </c>
      <c r="L272" s="398">
        <f t="shared" si="283"/>
        <v>0</v>
      </c>
      <c r="M272" s="398">
        <f t="shared" si="283"/>
        <v>0</v>
      </c>
      <c r="N272" s="398">
        <f t="shared" si="283"/>
        <v>0</v>
      </c>
      <c r="O272" s="398">
        <f t="shared" si="283"/>
        <v>5593000</v>
      </c>
      <c r="P272" s="398">
        <f t="shared" si="283"/>
        <v>451371515</v>
      </c>
      <c r="Q272" s="22"/>
      <c r="R272" s="53"/>
    </row>
    <row r="273" spans="1:18" ht="184.5" thickTop="1" thickBot="1" x14ac:dyDescent="0.25">
      <c r="A273" s="467" t="s">
        <v>813</v>
      </c>
      <c r="B273" s="467" t="s">
        <v>804</v>
      </c>
      <c r="C273" s="467"/>
      <c r="D273" s="467" t="s">
        <v>805</v>
      </c>
      <c r="E273" s="514">
        <f>SUM(E274:E275)</f>
        <v>125050000</v>
      </c>
      <c r="F273" s="514">
        <f>SUM(F274:F275)</f>
        <v>125050000</v>
      </c>
      <c r="G273" s="514">
        <f t="shared" ref="G273:P273" si="284">SUM(G274:G275)</f>
        <v>0</v>
      </c>
      <c r="H273" s="514">
        <f t="shared" si="284"/>
        <v>0</v>
      </c>
      <c r="I273" s="514">
        <f t="shared" si="284"/>
        <v>0</v>
      </c>
      <c r="J273" s="514">
        <f t="shared" si="284"/>
        <v>2000000</v>
      </c>
      <c r="K273" s="514">
        <f t="shared" si="284"/>
        <v>2000000</v>
      </c>
      <c r="L273" s="514">
        <f t="shared" si="284"/>
        <v>0</v>
      </c>
      <c r="M273" s="514">
        <f t="shared" si="284"/>
        <v>0</v>
      </c>
      <c r="N273" s="514">
        <f t="shared" si="284"/>
        <v>0</v>
      </c>
      <c r="O273" s="514">
        <f t="shared" si="284"/>
        <v>2000000</v>
      </c>
      <c r="P273" s="514">
        <f t="shared" si="284"/>
        <v>127050000</v>
      </c>
      <c r="Q273" s="22"/>
      <c r="R273" s="53"/>
    </row>
    <row r="274" spans="1:18" ht="184.5" thickTop="1" thickBot="1" x14ac:dyDescent="0.25">
      <c r="A274" s="558" t="s">
        <v>552</v>
      </c>
      <c r="B274" s="558" t="s">
        <v>382</v>
      </c>
      <c r="C274" s="558" t="s">
        <v>288</v>
      </c>
      <c r="D274" s="558" t="s">
        <v>383</v>
      </c>
      <c r="E274" s="398">
        <f t="shared" ref="E274:E287" si="285">F274</f>
        <v>100000000</v>
      </c>
      <c r="F274" s="453">
        <f>(20000000)+80000000</f>
        <v>100000000</v>
      </c>
      <c r="G274" s="453"/>
      <c r="H274" s="453"/>
      <c r="I274" s="453"/>
      <c r="J274" s="559">
        <f t="shared" si="275"/>
        <v>0</v>
      </c>
      <c r="K274" s="453"/>
      <c r="L274" s="454"/>
      <c r="M274" s="454"/>
      <c r="N274" s="454"/>
      <c r="O274" s="402">
        <f t="shared" si="278"/>
        <v>0</v>
      </c>
      <c r="P274" s="559">
        <f t="shared" si="279"/>
        <v>100000000</v>
      </c>
      <c r="Q274" s="22"/>
      <c r="R274" s="53"/>
    </row>
    <row r="275" spans="1:18" ht="184.5" thickTop="1" thickBot="1" x14ac:dyDescent="0.25">
      <c r="A275" s="558" t="s">
        <v>553</v>
      </c>
      <c r="B275" s="558" t="s">
        <v>291</v>
      </c>
      <c r="C275" s="558" t="s">
        <v>288</v>
      </c>
      <c r="D275" s="558" t="s">
        <v>292</v>
      </c>
      <c r="E275" s="398">
        <f t="shared" si="285"/>
        <v>25050000</v>
      </c>
      <c r="F275" s="453">
        <f>(650000)+24400000</f>
        <v>25050000</v>
      </c>
      <c r="G275" s="453"/>
      <c r="H275" s="453"/>
      <c r="I275" s="453"/>
      <c r="J275" s="559">
        <f t="shared" si="275"/>
        <v>2000000</v>
      </c>
      <c r="K275" s="453">
        <v>2000000</v>
      </c>
      <c r="L275" s="454"/>
      <c r="M275" s="454"/>
      <c r="N275" s="454"/>
      <c r="O275" s="402">
        <f t="shared" si="278"/>
        <v>2000000</v>
      </c>
      <c r="P275" s="559">
        <f t="shared" si="279"/>
        <v>27050000</v>
      </c>
      <c r="Q275" s="22"/>
      <c r="R275" s="53"/>
    </row>
    <row r="276" spans="1:18" ht="321.75" thickTop="1" thickBot="1" x14ac:dyDescent="0.25">
      <c r="A276" s="558" t="s">
        <v>554</v>
      </c>
      <c r="B276" s="558" t="s">
        <v>303</v>
      </c>
      <c r="C276" s="558" t="s">
        <v>288</v>
      </c>
      <c r="D276" s="558" t="s">
        <v>304</v>
      </c>
      <c r="E276" s="398">
        <f t="shared" si="285"/>
        <v>1300000</v>
      </c>
      <c r="F276" s="453">
        <v>1300000</v>
      </c>
      <c r="G276" s="453"/>
      <c r="H276" s="453"/>
      <c r="I276" s="453"/>
      <c r="J276" s="559">
        <f t="shared" si="275"/>
        <v>0</v>
      </c>
      <c r="K276" s="401"/>
      <c r="L276" s="453"/>
      <c r="M276" s="453"/>
      <c r="N276" s="453"/>
      <c r="O276" s="402">
        <f t="shared" si="278"/>
        <v>0</v>
      </c>
      <c r="P276" s="559">
        <f t="shared" ref="P276:P281" si="286">E276+J276</f>
        <v>1300000</v>
      </c>
      <c r="Q276" s="22"/>
      <c r="R276" s="53"/>
    </row>
    <row r="277" spans="1:18" ht="93" thickTop="1" thickBot="1" x14ac:dyDescent="0.25">
      <c r="A277" s="558" t="s">
        <v>555</v>
      </c>
      <c r="B277" s="558" t="s">
        <v>294</v>
      </c>
      <c r="C277" s="558" t="s">
        <v>288</v>
      </c>
      <c r="D277" s="558" t="s">
        <v>295</v>
      </c>
      <c r="E277" s="398">
        <f t="shared" si="285"/>
        <v>315378930</v>
      </c>
      <c r="F277" s="453">
        <f>(324847930)-23469000-1000000+15000000</f>
        <v>315378930</v>
      </c>
      <c r="G277" s="453"/>
      <c r="H277" s="453">
        <v>5000</v>
      </c>
      <c r="I277" s="453"/>
      <c r="J277" s="686">
        <f t="shared" si="275"/>
        <v>3593000</v>
      </c>
      <c r="K277" s="401">
        <f>(250000)+1000000+1000000+1343000</f>
        <v>3593000</v>
      </c>
      <c r="L277" s="453"/>
      <c r="M277" s="453"/>
      <c r="N277" s="453"/>
      <c r="O277" s="402">
        <f t="shared" si="278"/>
        <v>3593000</v>
      </c>
      <c r="P277" s="559">
        <f t="shared" si="286"/>
        <v>318971930</v>
      </c>
      <c r="Q277" s="22"/>
      <c r="R277" s="48"/>
    </row>
    <row r="278" spans="1:18" ht="138.75" thickTop="1" thickBot="1" x14ac:dyDescent="0.25">
      <c r="A278" s="768" t="s">
        <v>1195</v>
      </c>
      <c r="B278" s="768" t="s">
        <v>1196</v>
      </c>
      <c r="C278" s="768" t="s">
        <v>1197</v>
      </c>
      <c r="D278" s="768" t="s">
        <v>1194</v>
      </c>
      <c r="E278" s="398">
        <f t="shared" si="285"/>
        <v>4049585</v>
      </c>
      <c r="F278" s="453">
        <v>4049585</v>
      </c>
      <c r="G278" s="453"/>
      <c r="H278" s="453"/>
      <c r="I278" s="453"/>
      <c r="J278" s="771">
        <f t="shared" si="275"/>
        <v>0</v>
      </c>
      <c r="K278" s="401"/>
      <c r="L278" s="453"/>
      <c r="M278" s="453"/>
      <c r="N278" s="453"/>
      <c r="O278" s="770">
        <f t="shared" si="278"/>
        <v>0</v>
      </c>
      <c r="P278" s="771">
        <f t="shared" si="286"/>
        <v>4049585</v>
      </c>
      <c r="Q278" s="22"/>
      <c r="R278" s="48"/>
    </row>
    <row r="279" spans="1:18" ht="47.25" thickTop="1" thickBot="1" x14ac:dyDescent="0.25">
      <c r="A279" s="397" t="s">
        <v>814</v>
      </c>
      <c r="B279" s="397" t="s">
        <v>760</v>
      </c>
      <c r="C279" s="397"/>
      <c r="D279" s="397" t="s">
        <v>761</v>
      </c>
      <c r="E279" s="398">
        <f>E280+E282+E285</f>
        <v>78550400</v>
      </c>
      <c r="F279" s="398">
        <f t="shared" ref="F279:P279" si="287">F280+F282+F285</f>
        <v>78550400</v>
      </c>
      <c r="G279" s="398">
        <f t="shared" si="287"/>
        <v>0</v>
      </c>
      <c r="H279" s="398">
        <f t="shared" si="287"/>
        <v>0</v>
      </c>
      <c r="I279" s="398">
        <f t="shared" si="287"/>
        <v>0</v>
      </c>
      <c r="J279" s="398">
        <f>J280+J282+J285</f>
        <v>371561932.60000002</v>
      </c>
      <c r="K279" s="398">
        <f t="shared" si="287"/>
        <v>371561932.60000002</v>
      </c>
      <c r="L279" s="398">
        <f t="shared" si="287"/>
        <v>0</v>
      </c>
      <c r="M279" s="398">
        <f t="shared" si="287"/>
        <v>0</v>
      </c>
      <c r="N279" s="398">
        <f t="shared" si="287"/>
        <v>0</v>
      </c>
      <c r="O279" s="398">
        <f t="shared" si="287"/>
        <v>371561932.60000002</v>
      </c>
      <c r="P279" s="398">
        <f t="shared" si="287"/>
        <v>450112332.60000002</v>
      </c>
      <c r="Q279" s="22"/>
      <c r="R279" s="53"/>
    </row>
    <row r="280" spans="1:18" ht="91.5" thickTop="1" thickBot="1" x14ac:dyDescent="0.25">
      <c r="A280" s="399" t="s">
        <v>815</v>
      </c>
      <c r="B280" s="399" t="s">
        <v>816</v>
      </c>
      <c r="C280" s="399"/>
      <c r="D280" s="399" t="s">
        <v>817</v>
      </c>
      <c r="E280" s="400">
        <f>E281</f>
        <v>0</v>
      </c>
      <c r="F280" s="400">
        <f t="shared" ref="F280:P280" si="288">F281</f>
        <v>0</v>
      </c>
      <c r="G280" s="400">
        <f t="shared" si="288"/>
        <v>0</v>
      </c>
      <c r="H280" s="400">
        <f t="shared" si="288"/>
        <v>0</v>
      </c>
      <c r="I280" s="400">
        <f t="shared" si="288"/>
        <v>0</v>
      </c>
      <c r="J280" s="400">
        <f t="shared" si="288"/>
        <v>226400</v>
      </c>
      <c r="K280" s="400">
        <f t="shared" si="288"/>
        <v>226400</v>
      </c>
      <c r="L280" s="400">
        <f t="shared" si="288"/>
        <v>0</v>
      </c>
      <c r="M280" s="400">
        <f t="shared" si="288"/>
        <v>0</v>
      </c>
      <c r="N280" s="400">
        <f t="shared" si="288"/>
        <v>0</v>
      </c>
      <c r="O280" s="400">
        <f t="shared" si="288"/>
        <v>226400</v>
      </c>
      <c r="P280" s="400">
        <f t="shared" si="288"/>
        <v>226400</v>
      </c>
      <c r="Q280" s="22"/>
      <c r="R280" s="53"/>
    </row>
    <row r="281" spans="1:18" ht="145.5" thickTop="1" thickBot="1" x14ac:dyDescent="0.25">
      <c r="A281" s="558" t="s">
        <v>556</v>
      </c>
      <c r="B281" s="558" t="s">
        <v>311</v>
      </c>
      <c r="C281" s="558" t="s">
        <v>310</v>
      </c>
      <c r="D281" s="558" t="s">
        <v>1350</v>
      </c>
      <c r="E281" s="398">
        <f t="shared" si="285"/>
        <v>0</v>
      </c>
      <c r="F281" s="453"/>
      <c r="G281" s="453"/>
      <c r="H281" s="453"/>
      <c r="I281" s="453"/>
      <c r="J281" s="686">
        <f>L281+O281</f>
        <v>226400</v>
      </c>
      <c r="K281" s="401">
        <v>226400</v>
      </c>
      <c r="L281" s="453"/>
      <c r="M281" s="453"/>
      <c r="N281" s="453"/>
      <c r="O281" s="402">
        <f>K281</f>
        <v>226400</v>
      </c>
      <c r="P281" s="559">
        <f t="shared" si="286"/>
        <v>226400</v>
      </c>
      <c r="Q281" s="22"/>
      <c r="R281" s="48"/>
    </row>
    <row r="282" spans="1:18" ht="181.5" thickTop="1" thickBot="1" x14ac:dyDescent="0.25">
      <c r="A282" s="399" t="s">
        <v>818</v>
      </c>
      <c r="B282" s="399" t="s">
        <v>819</v>
      </c>
      <c r="C282" s="399"/>
      <c r="D282" s="399" t="s">
        <v>820</v>
      </c>
      <c r="E282" s="400">
        <f t="shared" ref="E282:P283" si="289">E283</f>
        <v>78550400</v>
      </c>
      <c r="F282" s="400">
        <f t="shared" si="289"/>
        <v>78550400</v>
      </c>
      <c r="G282" s="400">
        <f t="shared" si="289"/>
        <v>0</v>
      </c>
      <c r="H282" s="400">
        <f t="shared" si="289"/>
        <v>0</v>
      </c>
      <c r="I282" s="400">
        <f t="shared" si="289"/>
        <v>0</v>
      </c>
      <c r="J282" s="400">
        <f t="shared" si="289"/>
        <v>75969890</v>
      </c>
      <c r="K282" s="400">
        <f t="shared" si="289"/>
        <v>75969890</v>
      </c>
      <c r="L282" s="400">
        <f t="shared" si="289"/>
        <v>0</v>
      </c>
      <c r="M282" s="400">
        <f t="shared" si="289"/>
        <v>0</v>
      </c>
      <c r="N282" s="400">
        <f t="shared" si="289"/>
        <v>0</v>
      </c>
      <c r="O282" s="400">
        <f t="shared" si="289"/>
        <v>75969890</v>
      </c>
      <c r="P282" s="400">
        <f t="shared" si="289"/>
        <v>154520290</v>
      </c>
      <c r="Q282" s="22"/>
      <c r="R282" s="53"/>
    </row>
    <row r="283" spans="1:18" ht="184.5" thickTop="1" thickBot="1" x14ac:dyDescent="0.25">
      <c r="A283" s="558" t="s">
        <v>979</v>
      </c>
      <c r="B283" s="467" t="s">
        <v>980</v>
      </c>
      <c r="C283" s="399"/>
      <c r="D283" s="467" t="s">
        <v>981</v>
      </c>
      <c r="E283" s="514">
        <f t="shared" si="289"/>
        <v>78550400</v>
      </c>
      <c r="F283" s="514">
        <f t="shared" si="289"/>
        <v>78550400</v>
      </c>
      <c r="G283" s="514">
        <f t="shared" si="289"/>
        <v>0</v>
      </c>
      <c r="H283" s="514">
        <f t="shared" si="289"/>
        <v>0</v>
      </c>
      <c r="I283" s="514">
        <f t="shared" si="289"/>
        <v>0</v>
      </c>
      <c r="J283" s="514">
        <f t="shared" si="289"/>
        <v>75969890</v>
      </c>
      <c r="K283" s="514">
        <f t="shared" si="289"/>
        <v>75969890</v>
      </c>
      <c r="L283" s="514">
        <f t="shared" si="289"/>
        <v>0</v>
      </c>
      <c r="M283" s="514">
        <f t="shared" si="289"/>
        <v>0</v>
      </c>
      <c r="N283" s="514">
        <f t="shared" si="289"/>
        <v>0</v>
      </c>
      <c r="O283" s="514">
        <f t="shared" si="289"/>
        <v>75969890</v>
      </c>
      <c r="P283" s="514">
        <f t="shared" si="289"/>
        <v>154520290</v>
      </c>
      <c r="Q283" s="22"/>
      <c r="R283" s="53"/>
    </row>
    <row r="284" spans="1:18" ht="230.25" thickTop="1" thickBot="1" x14ac:dyDescent="0.25">
      <c r="A284" s="558" t="s">
        <v>557</v>
      </c>
      <c r="B284" s="558" t="s">
        <v>299</v>
      </c>
      <c r="C284" s="558" t="s">
        <v>301</v>
      </c>
      <c r="D284" s="558" t="s">
        <v>300</v>
      </c>
      <c r="E284" s="398">
        <f t="shared" si="285"/>
        <v>78550400</v>
      </c>
      <c r="F284" s="453">
        <f>(30300000)+24000000+24250400</f>
        <v>78550400</v>
      </c>
      <c r="G284" s="453"/>
      <c r="H284" s="453"/>
      <c r="I284" s="453"/>
      <c r="J284" s="686">
        <f t="shared" si="275"/>
        <v>75969890</v>
      </c>
      <c r="K284" s="453">
        <f>((38500000)-1000000)+38192622+277268</f>
        <v>75969890</v>
      </c>
      <c r="L284" s="454"/>
      <c r="M284" s="454"/>
      <c r="N284" s="454"/>
      <c r="O284" s="402">
        <f>K284</f>
        <v>75969890</v>
      </c>
      <c r="P284" s="559">
        <f>+J284+E284</f>
        <v>154520290</v>
      </c>
      <c r="Q284" s="22"/>
      <c r="R284" s="48"/>
    </row>
    <row r="285" spans="1:18" ht="136.5" thickTop="1" thickBot="1" x14ac:dyDescent="0.25">
      <c r="A285" s="399" t="s">
        <v>821</v>
      </c>
      <c r="B285" s="399" t="s">
        <v>703</v>
      </c>
      <c r="C285" s="399"/>
      <c r="D285" s="399" t="s">
        <v>701</v>
      </c>
      <c r="E285" s="400">
        <f>SUM(E286:E291)-E288</f>
        <v>0</v>
      </c>
      <c r="F285" s="400">
        <f t="shared" ref="F285:P285" si="290">SUM(F286:F291)-F288</f>
        <v>0</v>
      </c>
      <c r="G285" s="400">
        <f t="shared" si="290"/>
        <v>0</v>
      </c>
      <c r="H285" s="400">
        <f t="shared" si="290"/>
        <v>0</v>
      </c>
      <c r="I285" s="400">
        <f t="shared" si="290"/>
        <v>0</v>
      </c>
      <c r="J285" s="400">
        <f t="shared" si="290"/>
        <v>295365642.60000002</v>
      </c>
      <c r="K285" s="400">
        <f t="shared" si="290"/>
        <v>295365642.60000002</v>
      </c>
      <c r="L285" s="400">
        <f t="shared" si="290"/>
        <v>0</v>
      </c>
      <c r="M285" s="400">
        <f t="shared" si="290"/>
        <v>0</v>
      </c>
      <c r="N285" s="400">
        <f t="shared" si="290"/>
        <v>0</v>
      </c>
      <c r="O285" s="400">
        <f t="shared" si="290"/>
        <v>295365642.60000002</v>
      </c>
      <c r="P285" s="400">
        <f t="shared" si="290"/>
        <v>295365642.60000002</v>
      </c>
      <c r="Q285" s="22"/>
      <c r="R285" s="48"/>
    </row>
    <row r="286" spans="1:18" ht="48" thickTop="1" thickBot="1" x14ac:dyDescent="0.25">
      <c r="A286" s="558" t="s">
        <v>558</v>
      </c>
      <c r="B286" s="558" t="s">
        <v>217</v>
      </c>
      <c r="C286" s="558" t="s">
        <v>218</v>
      </c>
      <c r="D286" s="558" t="s">
        <v>41</v>
      </c>
      <c r="E286" s="398">
        <f t="shared" si="285"/>
        <v>0</v>
      </c>
      <c r="F286" s="453"/>
      <c r="G286" s="453"/>
      <c r="H286" s="453"/>
      <c r="I286" s="453"/>
      <c r="J286" s="686">
        <f t="shared" si="275"/>
        <v>16434368</v>
      </c>
      <c r="K286" s="401">
        <v>16434368</v>
      </c>
      <c r="L286" s="453"/>
      <c r="M286" s="453"/>
      <c r="N286" s="453"/>
      <c r="O286" s="402">
        <f t="shared" si="278"/>
        <v>16434368</v>
      </c>
      <c r="P286" s="559">
        <f>E286+J286</f>
        <v>16434368</v>
      </c>
      <c r="Q286" s="22"/>
      <c r="R286" s="48"/>
    </row>
    <row r="287" spans="1:18" ht="138.75" thickTop="1" thickBot="1" x14ac:dyDescent="0.25">
      <c r="A287" s="558" t="s">
        <v>559</v>
      </c>
      <c r="B287" s="558" t="s">
        <v>202</v>
      </c>
      <c r="C287" s="558" t="s">
        <v>171</v>
      </c>
      <c r="D287" s="558" t="s">
        <v>34</v>
      </c>
      <c r="E287" s="398">
        <f t="shared" si="285"/>
        <v>0</v>
      </c>
      <c r="F287" s="453"/>
      <c r="G287" s="172"/>
      <c r="H287" s="172"/>
      <c r="I287" s="172"/>
      <c r="J287" s="686">
        <f t="shared" si="275"/>
        <v>278931274.60000002</v>
      </c>
      <c r="K287" s="401">
        <f>(51987000-18000000)+239528622.6+5891152+630000-3198000+2092500</f>
        <v>278931274.60000002</v>
      </c>
      <c r="L287" s="453"/>
      <c r="M287" s="453"/>
      <c r="N287" s="453"/>
      <c r="O287" s="402">
        <f t="shared" si="278"/>
        <v>278931274.60000002</v>
      </c>
      <c r="P287" s="559">
        <f>E287+J287</f>
        <v>278931274.60000002</v>
      </c>
      <c r="Q287" s="22"/>
      <c r="R287" s="48"/>
    </row>
    <row r="288" spans="1:18" ht="93" hidden="1" thickTop="1" thickBot="1" x14ac:dyDescent="0.25">
      <c r="A288" s="183" t="s">
        <v>822</v>
      </c>
      <c r="B288" s="183" t="s">
        <v>706</v>
      </c>
      <c r="C288" s="183"/>
      <c r="D288" s="183" t="s">
        <v>810</v>
      </c>
      <c r="E288" s="203">
        <f t="shared" ref="E288:P288" si="291">E289+E291</f>
        <v>0</v>
      </c>
      <c r="F288" s="203">
        <f t="shared" si="291"/>
        <v>0</v>
      </c>
      <c r="G288" s="203">
        <f t="shared" si="291"/>
        <v>0</v>
      </c>
      <c r="H288" s="203">
        <f t="shared" si="291"/>
        <v>0</v>
      </c>
      <c r="I288" s="203">
        <f t="shared" si="291"/>
        <v>0</v>
      </c>
      <c r="J288" s="203">
        <f t="shared" si="291"/>
        <v>0</v>
      </c>
      <c r="K288" s="203">
        <f t="shared" si="291"/>
        <v>0</v>
      </c>
      <c r="L288" s="203">
        <f t="shared" si="291"/>
        <v>0</v>
      </c>
      <c r="M288" s="203">
        <f t="shared" si="291"/>
        <v>0</v>
      </c>
      <c r="N288" s="203">
        <f t="shared" si="291"/>
        <v>0</v>
      </c>
      <c r="O288" s="203">
        <f t="shared" si="291"/>
        <v>0</v>
      </c>
      <c r="P288" s="203">
        <f t="shared" si="291"/>
        <v>0</v>
      </c>
      <c r="Q288" s="22"/>
      <c r="R288" s="53"/>
    </row>
    <row r="289" spans="1:18" ht="409.6" hidden="1" thickTop="1" thickBot="1" x14ac:dyDescent="0.7">
      <c r="A289" s="838" t="s">
        <v>560</v>
      </c>
      <c r="B289" s="838" t="s">
        <v>344</v>
      </c>
      <c r="C289" s="838" t="s">
        <v>171</v>
      </c>
      <c r="D289" s="200" t="s">
        <v>446</v>
      </c>
      <c r="E289" s="842"/>
      <c r="F289" s="823"/>
      <c r="G289" s="823"/>
      <c r="H289" s="823"/>
      <c r="I289" s="823"/>
      <c r="J289" s="842">
        <f t="shared" si="275"/>
        <v>0</v>
      </c>
      <c r="K289" s="823"/>
      <c r="L289" s="823">
        <v>0</v>
      </c>
      <c r="M289" s="823"/>
      <c r="N289" s="823"/>
      <c r="O289" s="827"/>
      <c r="P289" s="829">
        <f>E289+J289</f>
        <v>0</v>
      </c>
      <c r="Q289" s="22"/>
      <c r="R289" s="53"/>
    </row>
    <row r="290" spans="1:18" ht="184.5" hidden="1" thickTop="1" thickBot="1" x14ac:dyDescent="0.25">
      <c r="A290" s="838"/>
      <c r="B290" s="838"/>
      <c r="C290" s="838"/>
      <c r="D290" s="201" t="s">
        <v>447</v>
      </c>
      <c r="E290" s="842"/>
      <c r="F290" s="823"/>
      <c r="G290" s="823"/>
      <c r="H290" s="823"/>
      <c r="I290" s="823"/>
      <c r="J290" s="842"/>
      <c r="K290" s="823"/>
      <c r="L290" s="823"/>
      <c r="M290" s="823"/>
      <c r="N290" s="823"/>
      <c r="O290" s="827"/>
      <c r="P290" s="829"/>
      <c r="Q290" s="22"/>
      <c r="R290" s="53"/>
    </row>
    <row r="291" spans="1:18" s="114" customFormat="1" ht="93" hidden="1" thickTop="1" thickBot="1" x14ac:dyDescent="0.25">
      <c r="A291" s="171" t="s">
        <v>1234</v>
      </c>
      <c r="B291" s="171" t="s">
        <v>262</v>
      </c>
      <c r="C291" s="171" t="s">
        <v>171</v>
      </c>
      <c r="D291" s="201" t="s">
        <v>260</v>
      </c>
      <c r="E291" s="197">
        <f t="shared" ref="E291" si="292">F291</f>
        <v>0</v>
      </c>
      <c r="F291" s="172"/>
      <c r="G291" s="172"/>
      <c r="H291" s="172"/>
      <c r="I291" s="172"/>
      <c r="J291" s="684">
        <f t="shared" ref="J291" si="293">L291+O291</f>
        <v>0</v>
      </c>
      <c r="K291" s="177"/>
      <c r="L291" s="172"/>
      <c r="M291" s="172"/>
      <c r="N291" s="172"/>
      <c r="O291" s="175">
        <f t="shared" ref="O291" si="294">K291</f>
        <v>0</v>
      </c>
      <c r="P291" s="170">
        <f>E291+J291</f>
        <v>0</v>
      </c>
      <c r="Q291" s="22"/>
      <c r="R291" s="53"/>
    </row>
    <row r="292" spans="1:18" ht="47.25" thickTop="1" thickBot="1" x14ac:dyDescent="0.25">
      <c r="A292" s="397" t="s">
        <v>823</v>
      </c>
      <c r="B292" s="397" t="s">
        <v>708</v>
      </c>
      <c r="C292" s="397"/>
      <c r="D292" s="573" t="s">
        <v>709</v>
      </c>
      <c r="E292" s="686">
        <f>E293</f>
        <v>3730434</v>
      </c>
      <c r="F292" s="686">
        <f t="shared" ref="F292:P292" si="295">F293</f>
        <v>3730434</v>
      </c>
      <c r="G292" s="686">
        <f t="shared" si="295"/>
        <v>1669391</v>
      </c>
      <c r="H292" s="686">
        <f t="shared" si="295"/>
        <v>69329</v>
      </c>
      <c r="I292" s="686">
        <f t="shared" si="295"/>
        <v>0</v>
      </c>
      <c r="J292" s="686">
        <f t="shared" si="295"/>
        <v>1000000</v>
      </c>
      <c r="K292" s="559">
        <f t="shared" si="295"/>
        <v>1000000</v>
      </c>
      <c r="L292" s="559">
        <f t="shared" si="295"/>
        <v>0</v>
      </c>
      <c r="M292" s="559">
        <f t="shared" si="295"/>
        <v>0</v>
      </c>
      <c r="N292" s="559">
        <f t="shared" si="295"/>
        <v>0</v>
      </c>
      <c r="O292" s="559">
        <f t="shared" si="295"/>
        <v>1000000</v>
      </c>
      <c r="P292" s="559">
        <f t="shared" si="295"/>
        <v>4730434</v>
      </c>
      <c r="Q292" s="22"/>
      <c r="R292" s="53"/>
    </row>
    <row r="293" spans="1:18" ht="136.5" thickTop="1" thickBot="1" x14ac:dyDescent="0.25">
      <c r="A293" s="399" t="s">
        <v>824</v>
      </c>
      <c r="B293" s="399" t="s">
        <v>825</v>
      </c>
      <c r="C293" s="399"/>
      <c r="D293" s="713" t="s">
        <v>1376</v>
      </c>
      <c r="E293" s="403">
        <f>SUM(E294:E296)</f>
        <v>3730434</v>
      </c>
      <c r="F293" s="403">
        <f t="shared" ref="F293:P293" si="296">SUM(F294:F296)</f>
        <v>3730434</v>
      </c>
      <c r="G293" s="403">
        <f t="shared" si="296"/>
        <v>1669391</v>
      </c>
      <c r="H293" s="403">
        <f t="shared" si="296"/>
        <v>69329</v>
      </c>
      <c r="I293" s="403">
        <f t="shared" si="296"/>
        <v>0</v>
      </c>
      <c r="J293" s="403">
        <f t="shared" si="296"/>
        <v>1000000</v>
      </c>
      <c r="K293" s="403">
        <f t="shared" si="296"/>
        <v>1000000</v>
      </c>
      <c r="L293" s="403">
        <f t="shared" si="296"/>
        <v>0</v>
      </c>
      <c r="M293" s="403">
        <f t="shared" si="296"/>
        <v>0</v>
      </c>
      <c r="N293" s="403">
        <f t="shared" si="296"/>
        <v>0</v>
      </c>
      <c r="O293" s="403">
        <f t="shared" si="296"/>
        <v>1000000</v>
      </c>
      <c r="P293" s="403">
        <f t="shared" si="296"/>
        <v>4730434</v>
      </c>
      <c r="Q293" s="22"/>
      <c r="R293" s="53"/>
    </row>
    <row r="294" spans="1:18" ht="184.5" thickTop="1" thickBot="1" x14ac:dyDescent="0.25">
      <c r="A294" s="558" t="s">
        <v>561</v>
      </c>
      <c r="B294" s="558" t="s">
        <v>525</v>
      </c>
      <c r="C294" s="558" t="s">
        <v>256</v>
      </c>
      <c r="D294" s="558" t="s">
        <v>526</v>
      </c>
      <c r="E294" s="398">
        <f>F294</f>
        <v>1500000</v>
      </c>
      <c r="F294" s="453">
        <f>(1000000)+500000</f>
        <v>1500000</v>
      </c>
      <c r="G294" s="453"/>
      <c r="H294" s="453"/>
      <c r="I294" s="453"/>
      <c r="J294" s="559">
        <f>L294+O294</f>
        <v>1000000</v>
      </c>
      <c r="K294" s="401">
        <f>((8100000)-8100000)+1000000</f>
        <v>1000000</v>
      </c>
      <c r="L294" s="453"/>
      <c r="M294" s="453"/>
      <c r="N294" s="453"/>
      <c r="O294" s="402">
        <f>K294</f>
        <v>1000000</v>
      </c>
      <c r="P294" s="559">
        <f>E294+J294</f>
        <v>2500000</v>
      </c>
      <c r="Q294" s="22"/>
      <c r="R294" s="53"/>
    </row>
    <row r="295" spans="1:18" ht="93" thickTop="1" thickBot="1" x14ac:dyDescent="0.25">
      <c r="A295" s="558" t="s">
        <v>562</v>
      </c>
      <c r="B295" s="558" t="s">
        <v>255</v>
      </c>
      <c r="C295" s="558" t="s">
        <v>256</v>
      </c>
      <c r="D295" s="558" t="s">
        <v>254</v>
      </c>
      <c r="E295" s="398">
        <f t="shared" ref="E295:E296" si="297">F295</f>
        <v>2230434</v>
      </c>
      <c r="F295" s="453">
        <v>2230434</v>
      </c>
      <c r="G295" s="453">
        <v>1669391</v>
      </c>
      <c r="H295" s="453">
        <f>2825+50400+16104</f>
        <v>69329</v>
      </c>
      <c r="I295" s="453"/>
      <c r="J295" s="559">
        <f>L295+O295</f>
        <v>0</v>
      </c>
      <c r="K295" s="401"/>
      <c r="L295" s="453"/>
      <c r="M295" s="453"/>
      <c r="N295" s="453"/>
      <c r="O295" s="402">
        <f>K295</f>
        <v>0</v>
      </c>
      <c r="P295" s="559">
        <f>E295+J295</f>
        <v>2230434</v>
      </c>
      <c r="Q295" s="22"/>
      <c r="R295" s="49"/>
    </row>
    <row r="296" spans="1:18" ht="93" hidden="1" thickTop="1" thickBot="1" x14ac:dyDescent="0.25">
      <c r="A296" s="44" t="s">
        <v>563</v>
      </c>
      <c r="B296" s="44" t="s">
        <v>564</v>
      </c>
      <c r="C296" s="44" t="s">
        <v>256</v>
      </c>
      <c r="D296" s="44" t="s">
        <v>565</v>
      </c>
      <c r="E296" s="205">
        <f t="shared" si="297"/>
        <v>0</v>
      </c>
      <c r="F296" s="206">
        <f>(1219000)-1219000</f>
        <v>0</v>
      </c>
      <c r="G296" s="206">
        <f>(354000+540000)-894000</f>
        <v>0</v>
      </c>
      <c r="H296" s="206">
        <f>(6000+3000)-9000</f>
        <v>0</v>
      </c>
      <c r="I296" s="206"/>
      <c r="J296" s="45">
        <f>L296+O296</f>
        <v>0</v>
      </c>
      <c r="K296" s="46"/>
      <c r="L296" s="206"/>
      <c r="M296" s="206"/>
      <c r="N296" s="206"/>
      <c r="O296" s="47">
        <f>K296</f>
        <v>0</v>
      </c>
      <c r="P296" s="45">
        <f>E296+J296</f>
        <v>0</v>
      </c>
      <c r="Q296" s="22"/>
      <c r="R296" s="53"/>
    </row>
    <row r="297" spans="1:18" ht="181.5" thickTop="1" thickBot="1" x14ac:dyDescent="0.25">
      <c r="A297" s="472" t="s">
        <v>25</v>
      </c>
      <c r="B297" s="472"/>
      <c r="C297" s="472"/>
      <c r="D297" s="473" t="s">
        <v>1485</v>
      </c>
      <c r="E297" s="475">
        <f>E298</f>
        <v>3862358</v>
      </c>
      <c r="F297" s="474">
        <f t="shared" ref="F297:G297" si="298">F298</f>
        <v>3862358</v>
      </c>
      <c r="G297" s="474">
        <f t="shared" si="298"/>
        <v>2744545</v>
      </c>
      <c r="H297" s="474">
        <f>H298</f>
        <v>147298</v>
      </c>
      <c r="I297" s="474">
        <f t="shared" ref="I297" si="299">I298</f>
        <v>0</v>
      </c>
      <c r="J297" s="475">
        <f>J298</f>
        <v>73814701</v>
      </c>
      <c r="K297" s="474">
        <f>K298</f>
        <v>73814701</v>
      </c>
      <c r="L297" s="474">
        <f>L298</f>
        <v>0</v>
      </c>
      <c r="M297" s="474">
        <f t="shared" ref="M297" si="300">M298</f>
        <v>0</v>
      </c>
      <c r="N297" s="474">
        <f>N298</f>
        <v>0</v>
      </c>
      <c r="O297" s="475">
        <f>O298</f>
        <v>73814701</v>
      </c>
      <c r="P297" s="474">
        <f t="shared" ref="P297" si="301">P298</f>
        <v>77677059</v>
      </c>
      <c r="Q297" s="22"/>
    </row>
    <row r="298" spans="1:18" ht="226.5" thickTop="1" thickBot="1" x14ac:dyDescent="0.25">
      <c r="A298" s="476" t="s">
        <v>26</v>
      </c>
      <c r="B298" s="476"/>
      <c r="C298" s="476"/>
      <c r="D298" s="477" t="s">
        <v>908</v>
      </c>
      <c r="E298" s="478">
        <f>E299+E305+E308+E303</f>
        <v>3862358</v>
      </c>
      <c r="F298" s="478">
        <f>F299+F305+F308+F303</f>
        <v>3862358</v>
      </c>
      <c r="G298" s="478">
        <f>G299+G305+G308+G303</f>
        <v>2744545</v>
      </c>
      <c r="H298" s="478">
        <f>H299+H305+H308+H303</f>
        <v>147298</v>
      </c>
      <c r="I298" s="478">
        <f>I299+I305+I308+I303</f>
        <v>0</v>
      </c>
      <c r="J298" s="478">
        <f>L298+O298</f>
        <v>73814701</v>
      </c>
      <c r="K298" s="478">
        <f>K299+K305+K308+K303</f>
        <v>73814701</v>
      </c>
      <c r="L298" s="478">
        <f>L299+L305+L308+L303</f>
        <v>0</v>
      </c>
      <c r="M298" s="478">
        <f>M299+M305+M308+M303</f>
        <v>0</v>
      </c>
      <c r="N298" s="478">
        <f>N299+N305+N308+N303</f>
        <v>0</v>
      </c>
      <c r="O298" s="478">
        <f>O299+O305+O308+O303</f>
        <v>73814701</v>
      </c>
      <c r="P298" s="478">
        <f>E298+J298</f>
        <v>77677059</v>
      </c>
      <c r="Q298" s="404" t="b">
        <f>P298=P300+P301+P304+P307+P310+P312+P313+P315</f>
        <v>1</v>
      </c>
      <c r="R298" s="49"/>
    </row>
    <row r="299" spans="1:18" ht="47.25" thickTop="1" thickBot="1" x14ac:dyDescent="0.25">
      <c r="A299" s="397" t="s">
        <v>826</v>
      </c>
      <c r="B299" s="397" t="s">
        <v>696</v>
      </c>
      <c r="C299" s="397"/>
      <c r="D299" s="397" t="s">
        <v>697</v>
      </c>
      <c r="E299" s="686">
        <f t="shared" ref="E299:P299" si="302">SUM(E300:E302)</f>
        <v>3862358</v>
      </c>
      <c r="F299" s="686">
        <f t="shared" si="302"/>
        <v>3862358</v>
      </c>
      <c r="G299" s="686">
        <f t="shared" si="302"/>
        <v>2744545</v>
      </c>
      <c r="H299" s="686">
        <f t="shared" si="302"/>
        <v>147298</v>
      </c>
      <c r="I299" s="686">
        <f t="shared" si="302"/>
        <v>0</v>
      </c>
      <c r="J299" s="686">
        <f t="shared" si="302"/>
        <v>0</v>
      </c>
      <c r="K299" s="559">
        <f t="shared" si="302"/>
        <v>0</v>
      </c>
      <c r="L299" s="559">
        <f t="shared" si="302"/>
        <v>0</v>
      </c>
      <c r="M299" s="559">
        <f t="shared" si="302"/>
        <v>0</v>
      </c>
      <c r="N299" s="559">
        <f t="shared" si="302"/>
        <v>0</v>
      </c>
      <c r="O299" s="559">
        <f t="shared" si="302"/>
        <v>0</v>
      </c>
      <c r="P299" s="559">
        <f t="shared" si="302"/>
        <v>3862358</v>
      </c>
      <c r="Q299" s="50"/>
      <c r="R299" s="49"/>
    </row>
    <row r="300" spans="1:18" ht="230.25" thickTop="1" thickBot="1" x14ac:dyDescent="0.25">
      <c r="A300" s="558" t="s">
        <v>423</v>
      </c>
      <c r="B300" s="558" t="s">
        <v>241</v>
      </c>
      <c r="C300" s="558" t="s">
        <v>239</v>
      </c>
      <c r="D300" s="558" t="s">
        <v>240</v>
      </c>
      <c r="E300" s="686">
        <f>F300</f>
        <v>3852358</v>
      </c>
      <c r="F300" s="401">
        <v>3852358</v>
      </c>
      <c r="G300" s="401">
        <v>2744545</v>
      </c>
      <c r="H300" s="401">
        <f>3963+73000+70335</f>
        <v>147298</v>
      </c>
      <c r="I300" s="401"/>
      <c r="J300" s="686">
        <f t="shared" ref="J300:J316" si="303">L300+O300</f>
        <v>0</v>
      </c>
      <c r="K300" s="401"/>
      <c r="L300" s="401"/>
      <c r="M300" s="401"/>
      <c r="N300" s="401"/>
      <c r="O300" s="402">
        <f>K300</f>
        <v>0</v>
      </c>
      <c r="P300" s="559">
        <f t="shared" ref="P300:P316" si="304">E300+J300</f>
        <v>3852358</v>
      </c>
      <c r="Q300" s="50"/>
      <c r="R300" s="53"/>
    </row>
    <row r="301" spans="1:18" ht="184.5" thickTop="1" thickBot="1" x14ac:dyDescent="0.25">
      <c r="A301" s="558" t="s">
        <v>642</v>
      </c>
      <c r="B301" s="558" t="s">
        <v>368</v>
      </c>
      <c r="C301" s="558" t="s">
        <v>637</v>
      </c>
      <c r="D301" s="558" t="s">
        <v>638</v>
      </c>
      <c r="E301" s="398">
        <f>F301</f>
        <v>10000</v>
      </c>
      <c r="F301" s="453">
        <v>10000</v>
      </c>
      <c r="G301" s="453"/>
      <c r="H301" s="453"/>
      <c r="I301" s="453"/>
      <c r="J301" s="686">
        <f t="shared" si="303"/>
        <v>0</v>
      </c>
      <c r="K301" s="453"/>
      <c r="L301" s="454"/>
      <c r="M301" s="454"/>
      <c r="N301" s="454"/>
      <c r="O301" s="402">
        <f t="shared" ref="O301" si="305">K301</f>
        <v>0</v>
      </c>
      <c r="P301" s="559">
        <f t="shared" ref="P301" si="306">+J301+E301</f>
        <v>10000</v>
      </c>
      <c r="Q301" s="50"/>
      <c r="R301" s="53"/>
    </row>
    <row r="302" spans="1:18" ht="93" hidden="1" thickTop="1" thickBot="1" x14ac:dyDescent="0.25">
      <c r="A302" s="171" t="s">
        <v>944</v>
      </c>
      <c r="B302" s="171" t="s">
        <v>43</v>
      </c>
      <c r="C302" s="171" t="s">
        <v>42</v>
      </c>
      <c r="D302" s="171" t="s">
        <v>253</v>
      </c>
      <c r="E302" s="684">
        <f>F302</f>
        <v>0</v>
      </c>
      <c r="F302" s="177">
        <v>0</v>
      </c>
      <c r="G302" s="177"/>
      <c r="H302" s="177"/>
      <c r="I302" s="177"/>
      <c r="J302" s="684">
        <f t="shared" ref="J302" si="307">L302+O302</f>
        <v>0</v>
      </c>
      <c r="K302" s="172"/>
      <c r="L302" s="173"/>
      <c r="M302" s="173"/>
      <c r="N302" s="173"/>
      <c r="O302" s="175">
        <f t="shared" ref="O302" si="308">K302</f>
        <v>0</v>
      </c>
      <c r="P302" s="170">
        <f t="shared" ref="P302" si="309">+J302+E302</f>
        <v>0</v>
      </c>
      <c r="Q302" s="50"/>
      <c r="R302" s="53"/>
    </row>
    <row r="303" spans="1:18" s="118" customFormat="1" ht="91.5" thickTop="1" thickBot="1" x14ac:dyDescent="0.25">
      <c r="A303" s="397" t="s">
        <v>1288</v>
      </c>
      <c r="B303" s="397" t="s">
        <v>723</v>
      </c>
      <c r="C303" s="397"/>
      <c r="D303" s="397" t="s">
        <v>724</v>
      </c>
      <c r="E303" s="686">
        <f t="shared" ref="E303:P303" si="310">SUM(E304:E304)</f>
        <v>0</v>
      </c>
      <c r="F303" s="686">
        <f t="shared" si="310"/>
        <v>0</v>
      </c>
      <c r="G303" s="686">
        <f t="shared" si="310"/>
        <v>0</v>
      </c>
      <c r="H303" s="686">
        <f t="shared" si="310"/>
        <v>0</v>
      </c>
      <c r="I303" s="686">
        <f t="shared" si="310"/>
        <v>0</v>
      </c>
      <c r="J303" s="686">
        <f t="shared" si="310"/>
        <v>6050000</v>
      </c>
      <c r="K303" s="559">
        <f t="shared" si="310"/>
        <v>6050000</v>
      </c>
      <c r="L303" s="559">
        <f t="shared" si="310"/>
        <v>0</v>
      </c>
      <c r="M303" s="559">
        <f t="shared" si="310"/>
        <v>0</v>
      </c>
      <c r="N303" s="559">
        <f t="shared" si="310"/>
        <v>0</v>
      </c>
      <c r="O303" s="559">
        <f t="shared" si="310"/>
        <v>6050000</v>
      </c>
      <c r="P303" s="559">
        <f t="shared" si="310"/>
        <v>6050000</v>
      </c>
      <c r="Q303" s="50"/>
      <c r="R303" s="53"/>
    </row>
    <row r="304" spans="1:18" s="118" customFormat="1" ht="276" thickTop="1" thickBot="1" x14ac:dyDescent="0.25">
      <c r="A304" s="558" t="s">
        <v>1289</v>
      </c>
      <c r="B304" s="558" t="s">
        <v>1252</v>
      </c>
      <c r="C304" s="558" t="s">
        <v>211</v>
      </c>
      <c r="D304" s="482" t="s">
        <v>1253</v>
      </c>
      <c r="E304" s="686">
        <f t="shared" ref="E304" si="311">F304</f>
        <v>0</v>
      </c>
      <c r="F304" s="401">
        <v>0</v>
      </c>
      <c r="G304" s="401"/>
      <c r="H304" s="401"/>
      <c r="I304" s="401"/>
      <c r="J304" s="686">
        <f>L304+O304</f>
        <v>6050000</v>
      </c>
      <c r="K304" s="401">
        <f>(1350000)+4700000</f>
        <v>6050000</v>
      </c>
      <c r="L304" s="401"/>
      <c r="M304" s="401"/>
      <c r="N304" s="401"/>
      <c r="O304" s="402">
        <f>K304</f>
        <v>6050000</v>
      </c>
      <c r="P304" s="559">
        <f>E304+J304</f>
        <v>6050000</v>
      </c>
      <c r="Q304" s="50"/>
      <c r="R304" s="53"/>
    </row>
    <row r="305" spans="1:18" ht="47.25" thickTop="1" thickBot="1" x14ac:dyDescent="0.25">
      <c r="A305" s="397" t="s">
        <v>827</v>
      </c>
      <c r="B305" s="397" t="s">
        <v>783</v>
      </c>
      <c r="C305" s="558"/>
      <c r="D305" s="397" t="s">
        <v>784</v>
      </c>
      <c r="E305" s="398">
        <f>E306</f>
        <v>0</v>
      </c>
      <c r="F305" s="398">
        <f t="shared" ref="F305:P306" si="312">F306</f>
        <v>0</v>
      </c>
      <c r="G305" s="398">
        <f t="shared" si="312"/>
        <v>0</v>
      </c>
      <c r="H305" s="398">
        <f t="shared" si="312"/>
        <v>0</v>
      </c>
      <c r="I305" s="398">
        <f t="shared" si="312"/>
        <v>0</v>
      </c>
      <c r="J305" s="398">
        <f t="shared" si="312"/>
        <v>3000000</v>
      </c>
      <c r="K305" s="398">
        <f t="shared" si="312"/>
        <v>3000000</v>
      </c>
      <c r="L305" s="398">
        <f t="shared" si="312"/>
        <v>0</v>
      </c>
      <c r="M305" s="398">
        <f t="shared" si="312"/>
        <v>0</v>
      </c>
      <c r="N305" s="398">
        <f t="shared" si="312"/>
        <v>0</v>
      </c>
      <c r="O305" s="398">
        <f t="shared" si="312"/>
        <v>3000000</v>
      </c>
      <c r="P305" s="398">
        <f t="shared" si="312"/>
        <v>3000000</v>
      </c>
      <c r="Q305" s="50"/>
      <c r="R305" s="53"/>
    </row>
    <row r="306" spans="1:18" ht="138.75" thickTop="1" thickBot="1" x14ac:dyDescent="0.25">
      <c r="A306" s="467" t="s">
        <v>828</v>
      </c>
      <c r="B306" s="467" t="s">
        <v>829</v>
      </c>
      <c r="C306" s="467"/>
      <c r="D306" s="467" t="s">
        <v>830</v>
      </c>
      <c r="E306" s="514">
        <f>E307</f>
        <v>0</v>
      </c>
      <c r="F306" s="514">
        <f t="shared" si="312"/>
        <v>0</v>
      </c>
      <c r="G306" s="514">
        <f t="shared" si="312"/>
        <v>0</v>
      </c>
      <c r="H306" s="514">
        <f t="shared" si="312"/>
        <v>0</v>
      </c>
      <c r="I306" s="514">
        <f t="shared" si="312"/>
        <v>0</v>
      </c>
      <c r="J306" s="514">
        <f t="shared" si="312"/>
        <v>3000000</v>
      </c>
      <c r="K306" s="514">
        <f t="shared" si="312"/>
        <v>3000000</v>
      </c>
      <c r="L306" s="514">
        <f t="shared" si="312"/>
        <v>0</v>
      </c>
      <c r="M306" s="514">
        <f t="shared" si="312"/>
        <v>0</v>
      </c>
      <c r="N306" s="514">
        <f t="shared" si="312"/>
        <v>0</v>
      </c>
      <c r="O306" s="514">
        <f t="shared" si="312"/>
        <v>3000000</v>
      </c>
      <c r="P306" s="514">
        <f t="shared" si="312"/>
        <v>3000000</v>
      </c>
      <c r="Q306" s="50"/>
      <c r="R306" s="53"/>
    </row>
    <row r="307" spans="1:18" ht="409.6" thickTop="1" thickBot="1" x14ac:dyDescent="0.25">
      <c r="A307" s="558" t="s">
        <v>439</v>
      </c>
      <c r="B307" s="558" t="s">
        <v>440</v>
      </c>
      <c r="C307" s="558" t="s">
        <v>200</v>
      </c>
      <c r="D307" s="558" t="s">
        <v>1229</v>
      </c>
      <c r="E307" s="686">
        <f t="shared" ref="E307:E314" si="313">F307</f>
        <v>0</v>
      </c>
      <c r="F307" s="401"/>
      <c r="G307" s="401"/>
      <c r="H307" s="401"/>
      <c r="I307" s="401"/>
      <c r="J307" s="686">
        <f t="shared" si="303"/>
        <v>3000000</v>
      </c>
      <c r="K307" s="401">
        <v>3000000</v>
      </c>
      <c r="L307" s="401"/>
      <c r="M307" s="401"/>
      <c r="N307" s="401"/>
      <c r="O307" s="402">
        <f t="shared" ref="O307" si="314">K307</f>
        <v>3000000</v>
      </c>
      <c r="P307" s="559">
        <f t="shared" si="304"/>
        <v>3000000</v>
      </c>
      <c r="Q307" s="50"/>
      <c r="R307" s="49"/>
    </row>
    <row r="308" spans="1:18" ht="47.25" thickTop="1" thickBot="1" x14ac:dyDescent="0.25">
      <c r="A308" s="397" t="s">
        <v>831</v>
      </c>
      <c r="B308" s="397" t="s">
        <v>760</v>
      </c>
      <c r="C308" s="558"/>
      <c r="D308" s="397" t="s">
        <v>807</v>
      </c>
      <c r="E308" s="686">
        <f>E309+E317</f>
        <v>0</v>
      </c>
      <c r="F308" s="686">
        <f t="shared" ref="F308:I308" si="315">F309+F317</f>
        <v>0</v>
      </c>
      <c r="G308" s="686">
        <f t="shared" si="315"/>
        <v>0</v>
      </c>
      <c r="H308" s="686">
        <f t="shared" si="315"/>
        <v>0</v>
      </c>
      <c r="I308" s="686">
        <f t="shared" si="315"/>
        <v>0</v>
      </c>
      <c r="J308" s="686">
        <f t="shared" ref="J308" si="316">J309+J317</f>
        <v>64764701</v>
      </c>
      <c r="K308" s="559">
        <f t="shared" ref="K308" si="317">K309+K317</f>
        <v>64764701</v>
      </c>
      <c r="L308" s="559">
        <f t="shared" ref="L308" si="318">L309+L317</f>
        <v>0</v>
      </c>
      <c r="M308" s="559">
        <f t="shared" ref="M308" si="319">M309+M317</f>
        <v>0</v>
      </c>
      <c r="N308" s="559">
        <f t="shared" ref="N308" si="320">N309+N317</f>
        <v>0</v>
      </c>
      <c r="O308" s="559">
        <f t="shared" ref="O308" si="321">O309+O317</f>
        <v>64764701</v>
      </c>
      <c r="P308" s="559">
        <f t="shared" ref="P308" si="322">P309+P317</f>
        <v>64764701</v>
      </c>
      <c r="Q308" s="50"/>
      <c r="R308" s="53"/>
    </row>
    <row r="309" spans="1:18" ht="91.5" thickTop="1" thickBot="1" x14ac:dyDescent="0.25">
      <c r="A309" s="399" t="s">
        <v>832</v>
      </c>
      <c r="B309" s="399" t="s">
        <v>816</v>
      </c>
      <c r="C309" s="399"/>
      <c r="D309" s="399" t="s">
        <v>817</v>
      </c>
      <c r="E309" s="403">
        <f t="shared" ref="E309:P309" si="323">SUM(E310:E316)-E311</f>
        <v>0</v>
      </c>
      <c r="F309" s="403">
        <f t="shared" si="323"/>
        <v>0</v>
      </c>
      <c r="G309" s="403">
        <f t="shared" si="323"/>
        <v>0</v>
      </c>
      <c r="H309" s="403">
        <f t="shared" si="323"/>
        <v>0</v>
      </c>
      <c r="I309" s="403">
        <f t="shared" si="323"/>
        <v>0</v>
      </c>
      <c r="J309" s="403">
        <f t="shared" si="323"/>
        <v>64764701</v>
      </c>
      <c r="K309" s="403">
        <f t="shared" si="323"/>
        <v>64764701</v>
      </c>
      <c r="L309" s="403">
        <f t="shared" si="323"/>
        <v>0</v>
      </c>
      <c r="M309" s="403">
        <f t="shared" si="323"/>
        <v>0</v>
      </c>
      <c r="N309" s="403">
        <f t="shared" si="323"/>
        <v>0</v>
      </c>
      <c r="O309" s="403">
        <f t="shared" si="323"/>
        <v>64764701</v>
      </c>
      <c r="P309" s="403">
        <f t="shared" si="323"/>
        <v>64764701</v>
      </c>
      <c r="Q309" s="50"/>
      <c r="R309" s="53"/>
    </row>
    <row r="310" spans="1:18" ht="145.5" thickTop="1" thickBot="1" x14ac:dyDescent="0.25">
      <c r="A310" s="558" t="s">
        <v>943</v>
      </c>
      <c r="B310" s="558" t="s">
        <v>311</v>
      </c>
      <c r="C310" s="558" t="s">
        <v>310</v>
      </c>
      <c r="D310" s="558" t="s">
        <v>1350</v>
      </c>
      <c r="E310" s="686">
        <f t="shared" ref="E310" si="324">F310</f>
        <v>0</v>
      </c>
      <c r="F310" s="401"/>
      <c r="G310" s="401"/>
      <c r="H310" s="401"/>
      <c r="I310" s="401"/>
      <c r="J310" s="686">
        <f t="shared" ref="J310" si="325">L310+O310</f>
        <v>1100000</v>
      </c>
      <c r="K310" s="401">
        <f>(100000)+1000000</f>
        <v>1100000</v>
      </c>
      <c r="L310" s="401"/>
      <c r="M310" s="401"/>
      <c r="N310" s="401"/>
      <c r="O310" s="402">
        <f>K310</f>
        <v>1100000</v>
      </c>
      <c r="P310" s="559">
        <f t="shared" ref="P310" si="326">E310+J310</f>
        <v>1100000</v>
      </c>
      <c r="Q310" s="50"/>
      <c r="R310" s="49"/>
    </row>
    <row r="311" spans="1:18" ht="146.25" thickTop="1" thickBot="1" x14ac:dyDescent="0.25">
      <c r="A311" s="467" t="s">
        <v>833</v>
      </c>
      <c r="B311" s="467" t="s">
        <v>834</v>
      </c>
      <c r="C311" s="467"/>
      <c r="D311" s="467" t="s">
        <v>1343</v>
      </c>
      <c r="E311" s="452">
        <f>SUM(E312:E313)</f>
        <v>0</v>
      </c>
      <c r="F311" s="452">
        <f t="shared" ref="F311:P311" si="327">SUM(F312:F313)</f>
        <v>0</v>
      </c>
      <c r="G311" s="452">
        <f t="shared" si="327"/>
        <v>0</v>
      </c>
      <c r="H311" s="452">
        <f t="shared" si="327"/>
        <v>0</v>
      </c>
      <c r="I311" s="452">
        <f t="shared" si="327"/>
        <v>0</v>
      </c>
      <c r="J311" s="452">
        <f t="shared" si="327"/>
        <v>53033650</v>
      </c>
      <c r="K311" s="452">
        <f t="shared" si="327"/>
        <v>53033650</v>
      </c>
      <c r="L311" s="452">
        <f t="shared" si="327"/>
        <v>0</v>
      </c>
      <c r="M311" s="452">
        <f t="shared" si="327"/>
        <v>0</v>
      </c>
      <c r="N311" s="452">
        <f t="shared" si="327"/>
        <v>0</v>
      </c>
      <c r="O311" s="452">
        <f t="shared" si="327"/>
        <v>53033650</v>
      </c>
      <c r="P311" s="452">
        <f t="shared" si="327"/>
        <v>53033650</v>
      </c>
      <c r="Q311" s="50"/>
      <c r="R311" s="53"/>
    </row>
    <row r="312" spans="1:18" ht="99.75" thickTop="1" thickBot="1" x14ac:dyDescent="0.25">
      <c r="A312" s="558" t="s">
        <v>316</v>
      </c>
      <c r="B312" s="558" t="s">
        <v>317</v>
      </c>
      <c r="C312" s="558" t="s">
        <v>310</v>
      </c>
      <c r="D312" s="558" t="s">
        <v>1326</v>
      </c>
      <c r="E312" s="559">
        <f t="shared" si="313"/>
        <v>0</v>
      </c>
      <c r="F312" s="401"/>
      <c r="G312" s="401"/>
      <c r="H312" s="401"/>
      <c r="I312" s="401"/>
      <c r="J312" s="559">
        <f t="shared" si="303"/>
        <v>51633650</v>
      </c>
      <c r="K312" s="401">
        <f>(700000)+50933650</f>
        <v>51633650</v>
      </c>
      <c r="L312" s="401"/>
      <c r="M312" s="401"/>
      <c r="N312" s="401"/>
      <c r="O312" s="402">
        <f>K312</f>
        <v>51633650</v>
      </c>
      <c r="P312" s="559">
        <f t="shared" si="304"/>
        <v>51633650</v>
      </c>
      <c r="Q312" s="163"/>
      <c r="R312" s="49"/>
    </row>
    <row r="313" spans="1:18" ht="99.75" thickTop="1" thickBot="1" x14ac:dyDescent="0.25">
      <c r="A313" s="558" t="s">
        <v>523</v>
      </c>
      <c r="B313" s="558" t="s">
        <v>524</v>
      </c>
      <c r="C313" s="558" t="s">
        <v>310</v>
      </c>
      <c r="D313" s="558" t="s">
        <v>1356</v>
      </c>
      <c r="E313" s="559">
        <f t="shared" si="313"/>
        <v>0</v>
      </c>
      <c r="F313" s="401"/>
      <c r="G313" s="401"/>
      <c r="H313" s="401"/>
      <c r="I313" s="401"/>
      <c r="J313" s="559">
        <f t="shared" si="303"/>
        <v>1400000</v>
      </c>
      <c r="K313" s="401">
        <f>(500000)+900000</f>
        <v>1400000</v>
      </c>
      <c r="L313" s="401"/>
      <c r="M313" s="401"/>
      <c r="N313" s="401"/>
      <c r="O313" s="402">
        <f>K313</f>
        <v>1400000</v>
      </c>
      <c r="P313" s="559">
        <f t="shared" si="304"/>
        <v>1400000</v>
      </c>
      <c r="Q313" s="163"/>
      <c r="R313" s="49"/>
    </row>
    <row r="314" spans="1:18" ht="145.5" hidden="1" thickTop="1" thickBot="1" x14ac:dyDescent="0.25">
      <c r="A314" s="171" t="s">
        <v>318</v>
      </c>
      <c r="B314" s="171" t="s">
        <v>319</v>
      </c>
      <c r="C314" s="171" t="s">
        <v>310</v>
      </c>
      <c r="D314" s="171" t="s">
        <v>1292</v>
      </c>
      <c r="E314" s="170">
        <f t="shared" si="313"/>
        <v>0</v>
      </c>
      <c r="F314" s="177"/>
      <c r="G314" s="177"/>
      <c r="H314" s="177"/>
      <c r="I314" s="177"/>
      <c r="J314" s="170">
        <f t="shared" si="303"/>
        <v>0</v>
      </c>
      <c r="K314" s="177"/>
      <c r="L314" s="177"/>
      <c r="M314" s="177"/>
      <c r="N314" s="177"/>
      <c r="O314" s="175">
        <f>K314</f>
        <v>0</v>
      </c>
      <c r="P314" s="170">
        <f t="shared" si="304"/>
        <v>0</v>
      </c>
      <c r="Q314" s="163"/>
    </row>
    <row r="315" spans="1:18" ht="99.75" thickTop="1" thickBot="1" x14ac:dyDescent="0.3">
      <c r="A315" s="558" t="s">
        <v>320</v>
      </c>
      <c r="B315" s="558" t="s">
        <v>321</v>
      </c>
      <c r="C315" s="558" t="s">
        <v>310</v>
      </c>
      <c r="D315" s="558" t="s">
        <v>1357</v>
      </c>
      <c r="E315" s="559">
        <f>F315</f>
        <v>0</v>
      </c>
      <c r="F315" s="401"/>
      <c r="G315" s="401"/>
      <c r="H315" s="401"/>
      <c r="I315" s="401"/>
      <c r="J315" s="559">
        <f t="shared" si="303"/>
        <v>10631051</v>
      </c>
      <c r="K315" s="401">
        <f>(2050000)+8581051</f>
        <v>10631051</v>
      </c>
      <c r="L315" s="401"/>
      <c r="M315" s="401"/>
      <c r="N315" s="401"/>
      <c r="O315" s="402">
        <f>K315</f>
        <v>10631051</v>
      </c>
      <c r="P315" s="559">
        <f t="shared" si="304"/>
        <v>10631051</v>
      </c>
      <c r="Q315" s="207"/>
      <c r="R315" s="49"/>
    </row>
    <row r="316" spans="1:18" ht="184.5" hidden="1" thickTop="1" thickBot="1" x14ac:dyDescent="0.25">
      <c r="A316" s="44" t="s">
        <v>443</v>
      </c>
      <c r="B316" s="44" t="s">
        <v>356</v>
      </c>
      <c r="C316" s="44" t="s">
        <v>171</v>
      </c>
      <c r="D316" s="44" t="s">
        <v>267</v>
      </c>
      <c r="E316" s="45">
        <f>F316</f>
        <v>0</v>
      </c>
      <c r="F316" s="46"/>
      <c r="G316" s="46"/>
      <c r="H316" s="46"/>
      <c r="I316" s="46"/>
      <c r="J316" s="45">
        <f t="shared" si="303"/>
        <v>0</v>
      </c>
      <c r="K316" s="46">
        <v>0</v>
      </c>
      <c r="L316" s="46"/>
      <c r="M316" s="46"/>
      <c r="N316" s="46"/>
      <c r="O316" s="47">
        <f>K316</f>
        <v>0</v>
      </c>
      <c r="P316" s="45">
        <f t="shared" si="304"/>
        <v>0</v>
      </c>
      <c r="Q316" s="22"/>
      <c r="R316" s="49"/>
    </row>
    <row r="317" spans="1:18" ht="136.5" hidden="1" thickTop="1" thickBot="1" x14ac:dyDescent="0.25">
      <c r="A317" s="179" t="s">
        <v>1008</v>
      </c>
      <c r="B317" s="179" t="s">
        <v>703</v>
      </c>
      <c r="C317" s="179"/>
      <c r="D317" s="179" t="s">
        <v>701</v>
      </c>
      <c r="E317" s="204">
        <f>E318</f>
        <v>0</v>
      </c>
      <c r="F317" s="204">
        <f>F318</f>
        <v>0</v>
      </c>
      <c r="G317" s="204">
        <f>G318</f>
        <v>0</v>
      </c>
      <c r="H317" s="204">
        <f>H318</f>
        <v>0</v>
      </c>
      <c r="I317" s="204">
        <f>I318</f>
        <v>0</v>
      </c>
      <c r="J317" s="204">
        <f t="shared" ref="J317:O317" si="328">J318</f>
        <v>0</v>
      </c>
      <c r="K317" s="204">
        <f t="shared" si="328"/>
        <v>0</v>
      </c>
      <c r="L317" s="204">
        <f t="shared" si="328"/>
        <v>0</v>
      </c>
      <c r="M317" s="204">
        <f t="shared" si="328"/>
        <v>0</v>
      </c>
      <c r="N317" s="204">
        <f t="shared" si="328"/>
        <v>0</v>
      </c>
      <c r="O317" s="204">
        <f t="shared" si="328"/>
        <v>0</v>
      </c>
      <c r="P317" s="204">
        <f>P318</f>
        <v>0</v>
      </c>
      <c r="Q317" s="22"/>
      <c r="R317" s="49"/>
    </row>
    <row r="318" spans="1:18" ht="93" hidden="1" thickTop="1" thickBot="1" x14ac:dyDescent="0.25">
      <c r="A318" s="183" t="s">
        <v>1009</v>
      </c>
      <c r="B318" s="183" t="s">
        <v>706</v>
      </c>
      <c r="C318" s="183"/>
      <c r="D318" s="183" t="s">
        <v>810</v>
      </c>
      <c r="E318" s="203">
        <f>E319+E321</f>
        <v>0</v>
      </c>
      <c r="F318" s="203">
        <f t="shared" ref="F318:P318" si="329">F319+F321</f>
        <v>0</v>
      </c>
      <c r="G318" s="203">
        <f t="shared" si="329"/>
        <v>0</v>
      </c>
      <c r="H318" s="203">
        <f t="shared" si="329"/>
        <v>0</v>
      </c>
      <c r="I318" s="203">
        <f t="shared" si="329"/>
        <v>0</v>
      </c>
      <c r="J318" s="203">
        <f t="shared" si="329"/>
        <v>0</v>
      </c>
      <c r="K318" s="203">
        <f t="shared" si="329"/>
        <v>0</v>
      </c>
      <c r="L318" s="203">
        <f t="shared" si="329"/>
        <v>0</v>
      </c>
      <c r="M318" s="203">
        <f t="shared" si="329"/>
        <v>0</v>
      </c>
      <c r="N318" s="203">
        <f t="shared" si="329"/>
        <v>0</v>
      </c>
      <c r="O318" s="203">
        <f t="shared" si="329"/>
        <v>0</v>
      </c>
      <c r="P318" s="203">
        <f t="shared" si="329"/>
        <v>0</v>
      </c>
      <c r="Q318" s="22"/>
      <c r="R318" s="49"/>
    </row>
    <row r="319" spans="1:18" ht="409.6" hidden="1" thickTop="1" thickBot="1" x14ac:dyDescent="0.7">
      <c r="A319" s="835" t="s">
        <v>1010</v>
      </c>
      <c r="B319" s="835" t="s">
        <v>344</v>
      </c>
      <c r="C319" s="835" t="s">
        <v>171</v>
      </c>
      <c r="D319" s="208" t="s">
        <v>446</v>
      </c>
      <c r="E319" s="836">
        <f t="shared" ref="E319" si="330">F319</f>
        <v>0</v>
      </c>
      <c r="F319" s="837"/>
      <c r="G319" s="837"/>
      <c r="H319" s="837"/>
      <c r="I319" s="837"/>
      <c r="J319" s="836">
        <f t="shared" ref="J319" si="331">L319+O319</f>
        <v>0</v>
      </c>
      <c r="K319" s="837"/>
      <c r="L319" s="837"/>
      <c r="M319" s="837"/>
      <c r="N319" s="837"/>
      <c r="O319" s="841">
        <f>K319</f>
        <v>0</v>
      </c>
      <c r="P319" s="833">
        <f>E319+J319</f>
        <v>0</v>
      </c>
      <c r="Q319" s="22"/>
      <c r="R319" s="49"/>
    </row>
    <row r="320" spans="1:18" ht="184.5" hidden="1" thickTop="1" thickBot="1" x14ac:dyDescent="0.25">
      <c r="A320" s="835"/>
      <c r="B320" s="835"/>
      <c r="C320" s="835"/>
      <c r="D320" s="209" t="s">
        <v>447</v>
      </c>
      <c r="E320" s="836"/>
      <c r="F320" s="837"/>
      <c r="G320" s="837"/>
      <c r="H320" s="837"/>
      <c r="I320" s="837"/>
      <c r="J320" s="836"/>
      <c r="K320" s="837"/>
      <c r="L320" s="837"/>
      <c r="M320" s="837"/>
      <c r="N320" s="837"/>
      <c r="O320" s="841"/>
      <c r="P320" s="833"/>
      <c r="Q320" s="22"/>
      <c r="R320" s="49"/>
    </row>
    <row r="321" spans="1:18" s="118" customFormat="1" ht="93" hidden="1" thickTop="1" thickBot="1" x14ac:dyDescent="0.25">
      <c r="A321" s="171" t="s">
        <v>1245</v>
      </c>
      <c r="B321" s="171" t="s">
        <v>262</v>
      </c>
      <c r="C321" s="171" t="s">
        <v>171</v>
      </c>
      <c r="D321" s="201" t="s">
        <v>260</v>
      </c>
      <c r="E321" s="170">
        <f>F321</f>
        <v>0</v>
      </c>
      <c r="F321" s="177"/>
      <c r="G321" s="177"/>
      <c r="H321" s="177"/>
      <c r="I321" s="177"/>
      <c r="J321" s="170">
        <f t="shared" ref="J321" si="332">L321+O321</f>
        <v>0</v>
      </c>
      <c r="K321" s="177"/>
      <c r="L321" s="177"/>
      <c r="M321" s="177"/>
      <c r="N321" s="177"/>
      <c r="O321" s="175">
        <f>K321</f>
        <v>0</v>
      </c>
      <c r="P321" s="170">
        <f t="shared" ref="P321" si="333">E321+J321</f>
        <v>0</v>
      </c>
      <c r="Q321" s="22"/>
      <c r="R321" s="117"/>
    </row>
    <row r="322" spans="1:18" ht="181.5" thickTop="1" thickBot="1" x14ac:dyDescent="0.25">
      <c r="A322" s="472" t="s">
        <v>161</v>
      </c>
      <c r="B322" s="472"/>
      <c r="C322" s="472"/>
      <c r="D322" s="473" t="s">
        <v>909</v>
      </c>
      <c r="E322" s="475">
        <f>E323</f>
        <v>9798400</v>
      </c>
      <c r="F322" s="474">
        <f t="shared" ref="F322:G322" si="334">F323</f>
        <v>9798400</v>
      </c>
      <c r="G322" s="474">
        <f t="shared" si="334"/>
        <v>6132550</v>
      </c>
      <c r="H322" s="474">
        <f>H323</f>
        <v>401600</v>
      </c>
      <c r="I322" s="474">
        <f t="shared" ref="I322" si="335">I323</f>
        <v>0</v>
      </c>
      <c r="J322" s="475">
        <f>J323</f>
        <v>1030000</v>
      </c>
      <c r="K322" s="474">
        <f>K323</f>
        <v>1030000</v>
      </c>
      <c r="L322" s="474">
        <f>L323</f>
        <v>0</v>
      </c>
      <c r="M322" s="474">
        <f t="shared" ref="M322" si="336">M323</f>
        <v>0</v>
      </c>
      <c r="N322" s="474">
        <f>N323</f>
        <v>0</v>
      </c>
      <c r="O322" s="475">
        <f>O323</f>
        <v>1030000</v>
      </c>
      <c r="P322" s="474">
        <f t="shared" ref="P322" si="337">P323</f>
        <v>10828400</v>
      </c>
      <c r="Q322" s="22"/>
    </row>
    <row r="323" spans="1:18" ht="226.5" thickTop="1" thickBot="1" x14ac:dyDescent="0.25">
      <c r="A323" s="476" t="s">
        <v>162</v>
      </c>
      <c r="B323" s="476"/>
      <c r="C323" s="476"/>
      <c r="D323" s="477" t="s">
        <v>910</v>
      </c>
      <c r="E323" s="478">
        <f>E324+E328</f>
        <v>9798400</v>
      </c>
      <c r="F323" s="478">
        <f>F324+F328</f>
        <v>9798400</v>
      </c>
      <c r="G323" s="478">
        <f>G324+G328</f>
        <v>6132550</v>
      </c>
      <c r="H323" s="478">
        <f>H324+H328</f>
        <v>401600</v>
      </c>
      <c r="I323" s="478">
        <f>I324+I328</f>
        <v>0</v>
      </c>
      <c r="J323" s="478">
        <f>L323+O323</f>
        <v>1030000</v>
      </c>
      <c r="K323" s="478">
        <f>K324+K328</f>
        <v>1030000</v>
      </c>
      <c r="L323" s="478">
        <f>L324+L328</f>
        <v>0</v>
      </c>
      <c r="M323" s="478">
        <f>M324+M328</f>
        <v>0</v>
      </c>
      <c r="N323" s="478">
        <f>N324+N328</f>
        <v>0</v>
      </c>
      <c r="O323" s="478">
        <f>O324+O328</f>
        <v>1030000</v>
      </c>
      <c r="P323" s="478">
        <f>E323+J323</f>
        <v>10828400</v>
      </c>
      <c r="Q323" s="404" t="b">
        <f>P323=P325+P326+P327+P330</f>
        <v>1</v>
      </c>
      <c r="R323" s="49"/>
    </row>
    <row r="324" spans="1:18" ht="47.25" thickTop="1" thickBot="1" x14ac:dyDescent="0.25">
      <c r="A324" s="397" t="s">
        <v>835</v>
      </c>
      <c r="B324" s="397" t="s">
        <v>696</v>
      </c>
      <c r="C324" s="397"/>
      <c r="D324" s="397" t="s">
        <v>697</v>
      </c>
      <c r="E324" s="686">
        <f>SUM(E325:E327)</f>
        <v>9798400</v>
      </c>
      <c r="F324" s="686">
        <f t="shared" ref="F324:N324" si="338">SUM(F325:F327)</f>
        <v>9798400</v>
      </c>
      <c r="G324" s="686">
        <f t="shared" si="338"/>
        <v>6132550</v>
      </c>
      <c r="H324" s="686">
        <f t="shared" si="338"/>
        <v>401600</v>
      </c>
      <c r="I324" s="686">
        <f t="shared" si="338"/>
        <v>0</v>
      </c>
      <c r="J324" s="686">
        <f t="shared" si="338"/>
        <v>30000</v>
      </c>
      <c r="K324" s="559">
        <f t="shared" si="338"/>
        <v>30000</v>
      </c>
      <c r="L324" s="559">
        <f t="shared" si="338"/>
        <v>0</v>
      </c>
      <c r="M324" s="559">
        <f t="shared" si="338"/>
        <v>0</v>
      </c>
      <c r="N324" s="559">
        <f t="shared" si="338"/>
        <v>0</v>
      </c>
      <c r="O324" s="559">
        <f>SUM(O325:O327)</f>
        <v>30000</v>
      </c>
      <c r="P324" s="559">
        <f>SUM(P325:P327)</f>
        <v>9828400</v>
      </c>
      <c r="Q324" s="50"/>
      <c r="R324" s="49"/>
    </row>
    <row r="325" spans="1:18" ht="230.25" thickTop="1" thickBot="1" x14ac:dyDescent="0.25">
      <c r="A325" s="558" t="s">
        <v>425</v>
      </c>
      <c r="B325" s="558" t="s">
        <v>241</v>
      </c>
      <c r="C325" s="558" t="s">
        <v>239</v>
      </c>
      <c r="D325" s="558" t="s">
        <v>240</v>
      </c>
      <c r="E325" s="686">
        <f>F325</f>
        <v>8534300</v>
      </c>
      <c r="F325" s="401">
        <f>(8244900)+22000+55000+44000+4400+20000+144000</f>
        <v>8534300</v>
      </c>
      <c r="G325" s="401">
        <v>6132550</v>
      </c>
      <c r="H325" s="401">
        <f>(151000+4400+97800)+4400+144000</f>
        <v>401600</v>
      </c>
      <c r="I325" s="401"/>
      <c r="J325" s="686">
        <f>L325+O325</f>
        <v>30000</v>
      </c>
      <c r="K325" s="401">
        <v>30000</v>
      </c>
      <c r="L325" s="401"/>
      <c r="M325" s="401"/>
      <c r="N325" s="401"/>
      <c r="O325" s="402">
        <f>K325</f>
        <v>30000</v>
      </c>
      <c r="P325" s="559">
        <f>E325+J325</f>
        <v>8564300</v>
      </c>
      <c r="Q325" s="50"/>
      <c r="R325" s="49"/>
    </row>
    <row r="326" spans="1:18" ht="184.5" thickTop="1" thickBot="1" x14ac:dyDescent="0.25">
      <c r="A326" s="558" t="s">
        <v>643</v>
      </c>
      <c r="B326" s="558" t="s">
        <v>368</v>
      </c>
      <c r="C326" s="558" t="s">
        <v>637</v>
      </c>
      <c r="D326" s="558" t="s">
        <v>638</v>
      </c>
      <c r="E326" s="398">
        <f>F326</f>
        <v>10000</v>
      </c>
      <c r="F326" s="453">
        <v>10000</v>
      </c>
      <c r="G326" s="453"/>
      <c r="H326" s="453"/>
      <c r="I326" s="453"/>
      <c r="J326" s="559">
        <f t="shared" ref="J326:J327" si="339">L326+O326</f>
        <v>0</v>
      </c>
      <c r="K326" s="453"/>
      <c r="L326" s="454"/>
      <c r="M326" s="454"/>
      <c r="N326" s="454"/>
      <c r="O326" s="402">
        <f t="shared" ref="O326:O327" si="340">K326</f>
        <v>0</v>
      </c>
      <c r="P326" s="559">
        <f t="shared" ref="P326" si="341">+J326+E326</f>
        <v>10000</v>
      </c>
      <c r="Q326" s="50"/>
      <c r="R326" s="49"/>
    </row>
    <row r="327" spans="1:18" s="118" customFormat="1" ht="93" thickTop="1" thickBot="1" x14ac:dyDescent="0.25">
      <c r="A327" s="722" t="s">
        <v>1347</v>
      </c>
      <c r="B327" s="722" t="s">
        <v>43</v>
      </c>
      <c r="C327" s="722" t="s">
        <v>42</v>
      </c>
      <c r="D327" s="722" t="s">
        <v>253</v>
      </c>
      <c r="E327" s="723">
        <f t="shared" ref="E327" si="342">F327</f>
        <v>1254100</v>
      </c>
      <c r="F327" s="401">
        <v>1254100</v>
      </c>
      <c r="G327" s="401"/>
      <c r="H327" s="401"/>
      <c r="I327" s="401"/>
      <c r="J327" s="723">
        <f t="shared" si="339"/>
        <v>0</v>
      </c>
      <c r="K327" s="401"/>
      <c r="L327" s="401"/>
      <c r="M327" s="401"/>
      <c r="N327" s="401"/>
      <c r="O327" s="402">
        <f t="shared" si="340"/>
        <v>0</v>
      </c>
      <c r="P327" s="723">
        <f>E327+J327</f>
        <v>1254100</v>
      </c>
      <c r="Q327" s="50"/>
      <c r="R327" s="560"/>
    </row>
    <row r="328" spans="1:18" ht="47.25" thickTop="1" thickBot="1" x14ac:dyDescent="0.25">
      <c r="A328" s="397" t="s">
        <v>925</v>
      </c>
      <c r="B328" s="397" t="s">
        <v>760</v>
      </c>
      <c r="C328" s="722"/>
      <c r="D328" s="397" t="s">
        <v>807</v>
      </c>
      <c r="E328" s="723">
        <f>E329</f>
        <v>0</v>
      </c>
      <c r="F328" s="723">
        <f t="shared" ref="F328:P329" si="343">F329</f>
        <v>0</v>
      </c>
      <c r="G328" s="723">
        <f t="shared" si="343"/>
        <v>0</v>
      </c>
      <c r="H328" s="723">
        <f t="shared" si="343"/>
        <v>0</v>
      </c>
      <c r="I328" s="723">
        <f t="shared" si="343"/>
        <v>0</v>
      </c>
      <c r="J328" s="723">
        <f t="shared" si="343"/>
        <v>1000000</v>
      </c>
      <c r="K328" s="723">
        <f t="shared" si="343"/>
        <v>1000000</v>
      </c>
      <c r="L328" s="723">
        <f t="shared" si="343"/>
        <v>0</v>
      </c>
      <c r="M328" s="723">
        <f t="shared" si="343"/>
        <v>0</v>
      </c>
      <c r="N328" s="723">
        <f t="shared" si="343"/>
        <v>0</v>
      </c>
      <c r="O328" s="723">
        <f t="shared" si="343"/>
        <v>1000000</v>
      </c>
      <c r="P328" s="723">
        <f t="shared" si="343"/>
        <v>1000000</v>
      </c>
      <c r="Q328" s="50"/>
      <c r="R328" s="49"/>
    </row>
    <row r="329" spans="1:18" ht="91.5" thickTop="1" thickBot="1" x14ac:dyDescent="0.25">
      <c r="A329" s="399" t="s">
        <v>926</v>
      </c>
      <c r="B329" s="399" t="s">
        <v>816</v>
      </c>
      <c r="C329" s="399"/>
      <c r="D329" s="399" t="s">
        <v>817</v>
      </c>
      <c r="E329" s="403">
        <f>E330</f>
        <v>0</v>
      </c>
      <c r="F329" s="403">
        <f t="shared" si="343"/>
        <v>0</v>
      </c>
      <c r="G329" s="403">
        <f t="shared" si="343"/>
        <v>0</v>
      </c>
      <c r="H329" s="403">
        <f t="shared" si="343"/>
        <v>0</v>
      </c>
      <c r="I329" s="403">
        <f t="shared" si="343"/>
        <v>0</v>
      </c>
      <c r="J329" s="403">
        <f t="shared" si="343"/>
        <v>1000000</v>
      </c>
      <c r="K329" s="403">
        <f t="shared" si="343"/>
        <v>1000000</v>
      </c>
      <c r="L329" s="403">
        <f t="shared" si="343"/>
        <v>0</v>
      </c>
      <c r="M329" s="403">
        <f t="shared" si="343"/>
        <v>0</v>
      </c>
      <c r="N329" s="403">
        <f t="shared" si="343"/>
        <v>0</v>
      </c>
      <c r="O329" s="403">
        <f t="shared" si="343"/>
        <v>1000000</v>
      </c>
      <c r="P329" s="403">
        <f t="shared" si="343"/>
        <v>1000000</v>
      </c>
      <c r="Q329" s="50"/>
      <c r="R329" s="49"/>
    </row>
    <row r="330" spans="1:18" ht="184.5" thickTop="1" thickBot="1" x14ac:dyDescent="0.25">
      <c r="A330" s="722" t="s">
        <v>927</v>
      </c>
      <c r="B330" s="722" t="s">
        <v>928</v>
      </c>
      <c r="C330" s="722" t="s">
        <v>310</v>
      </c>
      <c r="D330" s="722" t="s">
        <v>929</v>
      </c>
      <c r="E330" s="398">
        <f>F330</f>
        <v>0</v>
      </c>
      <c r="F330" s="453"/>
      <c r="G330" s="453"/>
      <c r="H330" s="453"/>
      <c r="I330" s="453"/>
      <c r="J330" s="723">
        <f t="shared" ref="J330" si="344">L330+O330</f>
        <v>1000000</v>
      </c>
      <c r="K330" s="453">
        <v>1000000</v>
      </c>
      <c r="L330" s="454"/>
      <c r="M330" s="454"/>
      <c r="N330" s="454"/>
      <c r="O330" s="402">
        <f t="shared" ref="O330" si="345">K330</f>
        <v>1000000</v>
      </c>
      <c r="P330" s="723">
        <f t="shared" ref="P330" si="346">+J330+E330</f>
        <v>1000000</v>
      </c>
      <c r="Q330" s="50"/>
      <c r="R330" s="49"/>
    </row>
    <row r="331" spans="1:18" ht="181.5" thickTop="1" thickBot="1" x14ac:dyDescent="0.25">
      <c r="A331" s="472" t="s">
        <v>450</v>
      </c>
      <c r="B331" s="472"/>
      <c r="C331" s="472"/>
      <c r="D331" s="473" t="s">
        <v>452</v>
      </c>
      <c r="E331" s="475">
        <f>E332</f>
        <v>144099677.40000001</v>
      </c>
      <c r="F331" s="474">
        <f t="shared" ref="F331:G331" si="347">F332</f>
        <v>144099677.40000001</v>
      </c>
      <c r="G331" s="474">
        <f t="shared" si="347"/>
        <v>4332271</v>
      </c>
      <c r="H331" s="474">
        <f>H332</f>
        <v>173325</v>
      </c>
      <c r="I331" s="474">
        <f t="shared" ref="I331" si="348">I332</f>
        <v>0</v>
      </c>
      <c r="J331" s="475">
        <f>J332</f>
        <v>39060000</v>
      </c>
      <c r="K331" s="474">
        <f>K332</f>
        <v>39060000</v>
      </c>
      <c r="L331" s="474">
        <f>L332</f>
        <v>0</v>
      </c>
      <c r="M331" s="474">
        <f t="shared" ref="M331" si="349">M332</f>
        <v>0</v>
      </c>
      <c r="N331" s="474">
        <f>N332</f>
        <v>0</v>
      </c>
      <c r="O331" s="475">
        <f>O332</f>
        <v>39060000</v>
      </c>
      <c r="P331" s="474">
        <f t="shared" ref="P331" si="350">P332</f>
        <v>183159677.40000001</v>
      </c>
      <c r="Q331" s="22"/>
    </row>
    <row r="332" spans="1:18" ht="226.5" thickTop="1" thickBot="1" x14ac:dyDescent="0.25">
      <c r="A332" s="476" t="s">
        <v>451</v>
      </c>
      <c r="B332" s="476"/>
      <c r="C332" s="476"/>
      <c r="D332" s="477" t="s">
        <v>453</v>
      </c>
      <c r="E332" s="478">
        <f t="shared" ref="E332:O332" si="351">E333+E336+E345+E348</f>
        <v>144099677.40000001</v>
      </c>
      <c r="F332" s="478">
        <f t="shared" si="351"/>
        <v>144099677.40000001</v>
      </c>
      <c r="G332" s="478">
        <f t="shared" si="351"/>
        <v>4332271</v>
      </c>
      <c r="H332" s="478">
        <f t="shared" si="351"/>
        <v>173325</v>
      </c>
      <c r="I332" s="478">
        <f t="shared" si="351"/>
        <v>0</v>
      </c>
      <c r="J332" s="478">
        <f t="shared" si="351"/>
        <v>39060000</v>
      </c>
      <c r="K332" s="478">
        <f t="shared" si="351"/>
        <v>39060000</v>
      </c>
      <c r="L332" s="478">
        <f t="shared" si="351"/>
        <v>0</v>
      </c>
      <c r="M332" s="478">
        <f t="shared" si="351"/>
        <v>0</v>
      </c>
      <c r="N332" s="478">
        <f t="shared" si="351"/>
        <v>0</v>
      </c>
      <c r="O332" s="478">
        <f t="shared" si="351"/>
        <v>39060000</v>
      </c>
      <c r="P332" s="478">
        <f>E332+J332</f>
        <v>183159677.40000001</v>
      </c>
      <c r="Q332" s="404" t="b">
        <f>P332=P334+P341+P347+P344+P349</f>
        <v>1</v>
      </c>
      <c r="R332" s="49"/>
    </row>
    <row r="333" spans="1:18" ht="47.25" thickTop="1" thickBot="1" x14ac:dyDescent="0.25">
      <c r="A333" s="397" t="s">
        <v>836</v>
      </c>
      <c r="B333" s="397" t="s">
        <v>696</v>
      </c>
      <c r="C333" s="397"/>
      <c r="D333" s="397" t="s">
        <v>697</v>
      </c>
      <c r="E333" s="686">
        <f>SUM(E334:E335)</f>
        <v>10496456.4</v>
      </c>
      <c r="F333" s="686">
        <f t="shared" ref="F333" si="352">SUM(F334:F335)</f>
        <v>10496456.4</v>
      </c>
      <c r="G333" s="686">
        <f t="shared" ref="G333" si="353">SUM(G334:G335)</f>
        <v>4332271</v>
      </c>
      <c r="H333" s="686">
        <f t="shared" ref="H333" si="354">SUM(H334:H335)</f>
        <v>173325</v>
      </c>
      <c r="I333" s="686">
        <f t="shared" ref="I333" si="355">SUM(I334:I335)</f>
        <v>0</v>
      </c>
      <c r="J333" s="686">
        <f t="shared" ref="J333" si="356">SUM(J334:J335)</f>
        <v>0</v>
      </c>
      <c r="K333" s="559">
        <f t="shared" ref="K333" si="357">SUM(K334:K335)</f>
        <v>0</v>
      </c>
      <c r="L333" s="559">
        <f t="shared" ref="L333" si="358">SUM(L334:L335)</f>
        <v>0</v>
      </c>
      <c r="M333" s="559">
        <f t="shared" ref="M333" si="359">SUM(M334:M335)</f>
        <v>0</v>
      </c>
      <c r="N333" s="559">
        <f t="shared" ref="N333" si="360">SUM(N334:N335)</f>
        <v>0</v>
      </c>
      <c r="O333" s="559">
        <f t="shared" ref="O333" si="361">SUM(O334:O335)</f>
        <v>0</v>
      </c>
      <c r="P333" s="559">
        <f t="shared" ref="P333" si="362">SUM(P334:P335)</f>
        <v>10496456.4</v>
      </c>
      <c r="Q333" s="50"/>
      <c r="R333" s="49"/>
    </row>
    <row r="334" spans="1:18" ht="230.25" thickTop="1" thickBot="1" x14ac:dyDescent="0.25">
      <c r="A334" s="558" t="s">
        <v>454</v>
      </c>
      <c r="B334" s="558" t="s">
        <v>241</v>
      </c>
      <c r="C334" s="558" t="s">
        <v>239</v>
      </c>
      <c r="D334" s="558" t="s">
        <v>240</v>
      </c>
      <c r="E334" s="686">
        <f>F334</f>
        <v>10496456.4</v>
      </c>
      <c r="F334" s="401">
        <f>(10496036)+420.4</f>
        <v>10496456.4</v>
      </c>
      <c r="G334" s="401">
        <v>4332271</v>
      </c>
      <c r="H334" s="401">
        <f>86000+5000+80000+2325</f>
        <v>173325</v>
      </c>
      <c r="I334" s="401"/>
      <c r="J334" s="686">
        <f>L334+O334</f>
        <v>0</v>
      </c>
      <c r="K334" s="401"/>
      <c r="L334" s="401"/>
      <c r="M334" s="401"/>
      <c r="N334" s="401"/>
      <c r="O334" s="402">
        <f>K334</f>
        <v>0</v>
      </c>
      <c r="P334" s="559">
        <f>E334+J334</f>
        <v>10496456.4</v>
      </c>
      <c r="Q334" s="50"/>
      <c r="R334" s="49"/>
    </row>
    <row r="335" spans="1:18" ht="184.5" hidden="1" thickTop="1" thickBot="1" x14ac:dyDescent="0.25">
      <c r="A335" s="44" t="s">
        <v>644</v>
      </c>
      <c r="B335" s="44" t="s">
        <v>368</v>
      </c>
      <c r="C335" s="44" t="s">
        <v>637</v>
      </c>
      <c r="D335" s="44" t="s">
        <v>638</v>
      </c>
      <c r="E335" s="197">
        <f>F335</f>
        <v>0</v>
      </c>
      <c r="F335" s="172"/>
      <c r="G335" s="172"/>
      <c r="H335" s="172"/>
      <c r="I335" s="172"/>
      <c r="J335" s="684">
        <f t="shared" ref="J335" si="363">L335+O335</f>
        <v>0</v>
      </c>
      <c r="K335" s="206"/>
      <c r="L335" s="210"/>
      <c r="M335" s="210"/>
      <c r="N335" s="210"/>
      <c r="O335" s="47">
        <f t="shared" ref="O335" si="364">K335</f>
        <v>0</v>
      </c>
      <c r="P335" s="45">
        <f t="shared" ref="P335" si="365">+J335+E335</f>
        <v>0</v>
      </c>
      <c r="Q335" s="50"/>
      <c r="R335" s="49"/>
    </row>
    <row r="336" spans="1:18" ht="47.25" thickTop="1" thickBot="1" x14ac:dyDescent="0.25">
      <c r="A336" s="397" t="s">
        <v>837</v>
      </c>
      <c r="B336" s="397" t="s">
        <v>760</v>
      </c>
      <c r="C336" s="558"/>
      <c r="D336" s="397" t="s">
        <v>807</v>
      </c>
      <c r="E336" s="686">
        <f>E337+E343</f>
        <v>131683221</v>
      </c>
      <c r="F336" s="686">
        <f t="shared" ref="F336:P336" si="366">F337+F343</f>
        <v>131683221</v>
      </c>
      <c r="G336" s="686">
        <f t="shared" si="366"/>
        <v>0</v>
      </c>
      <c r="H336" s="686">
        <f t="shared" si="366"/>
        <v>0</v>
      </c>
      <c r="I336" s="686">
        <f t="shared" si="366"/>
        <v>0</v>
      </c>
      <c r="J336" s="686">
        <f t="shared" si="366"/>
        <v>39060000</v>
      </c>
      <c r="K336" s="559">
        <f t="shared" si="366"/>
        <v>39060000</v>
      </c>
      <c r="L336" s="559">
        <f t="shared" si="366"/>
        <v>0</v>
      </c>
      <c r="M336" s="559">
        <f t="shared" si="366"/>
        <v>0</v>
      </c>
      <c r="N336" s="559">
        <f t="shared" si="366"/>
        <v>0</v>
      </c>
      <c r="O336" s="559">
        <f t="shared" si="366"/>
        <v>39060000</v>
      </c>
      <c r="P336" s="559">
        <f t="shared" si="366"/>
        <v>170743221</v>
      </c>
      <c r="Q336" s="50"/>
      <c r="R336" s="53"/>
    </row>
    <row r="337" spans="1:18" ht="181.5" thickTop="1" thickBot="1" x14ac:dyDescent="0.25">
      <c r="A337" s="399" t="s">
        <v>838</v>
      </c>
      <c r="B337" s="399" t="s">
        <v>819</v>
      </c>
      <c r="C337" s="399"/>
      <c r="D337" s="399" t="s">
        <v>820</v>
      </c>
      <c r="E337" s="403">
        <f>E340+E342</f>
        <v>131683221</v>
      </c>
      <c r="F337" s="403">
        <f t="shared" ref="F337:P337" si="367">F340+F342</f>
        <v>131683221</v>
      </c>
      <c r="G337" s="403">
        <f t="shared" si="367"/>
        <v>0</v>
      </c>
      <c r="H337" s="403">
        <f t="shared" si="367"/>
        <v>0</v>
      </c>
      <c r="I337" s="403">
        <f t="shared" si="367"/>
        <v>0</v>
      </c>
      <c r="J337" s="403">
        <f t="shared" si="367"/>
        <v>0</v>
      </c>
      <c r="K337" s="403">
        <f t="shared" si="367"/>
        <v>0</v>
      </c>
      <c r="L337" s="403">
        <f t="shared" si="367"/>
        <v>0</v>
      </c>
      <c r="M337" s="403">
        <f t="shared" si="367"/>
        <v>0</v>
      </c>
      <c r="N337" s="403">
        <f t="shared" si="367"/>
        <v>0</v>
      </c>
      <c r="O337" s="403">
        <f t="shared" si="367"/>
        <v>0</v>
      </c>
      <c r="P337" s="403">
        <f t="shared" si="367"/>
        <v>131683221</v>
      </c>
      <c r="Q337" s="50"/>
      <c r="R337" s="53"/>
    </row>
    <row r="338" spans="1:18" ht="184.5" hidden="1" thickTop="1" thickBot="1" x14ac:dyDescent="0.25">
      <c r="A338" s="467" t="s">
        <v>1035</v>
      </c>
      <c r="B338" s="467" t="s">
        <v>1036</v>
      </c>
      <c r="C338" s="467"/>
      <c r="D338" s="467" t="s">
        <v>1034</v>
      </c>
      <c r="E338" s="452">
        <f>E339</f>
        <v>0</v>
      </c>
      <c r="F338" s="452">
        <f t="shared" ref="F338:O338" si="368">F339</f>
        <v>0</v>
      </c>
      <c r="G338" s="452">
        <f t="shared" si="368"/>
        <v>0</v>
      </c>
      <c r="H338" s="452">
        <f t="shared" si="368"/>
        <v>0</v>
      </c>
      <c r="I338" s="452">
        <f t="shared" si="368"/>
        <v>0</v>
      </c>
      <c r="J338" s="452">
        <f t="shared" si="368"/>
        <v>0</v>
      </c>
      <c r="K338" s="452">
        <f t="shared" si="368"/>
        <v>0</v>
      </c>
      <c r="L338" s="452">
        <f t="shared" si="368"/>
        <v>0</v>
      </c>
      <c r="M338" s="452">
        <f t="shared" si="368"/>
        <v>0</v>
      </c>
      <c r="N338" s="452">
        <f t="shared" si="368"/>
        <v>0</v>
      </c>
      <c r="O338" s="452">
        <f t="shared" si="368"/>
        <v>0</v>
      </c>
      <c r="P338" s="452">
        <f t="shared" ref="F338:P340" si="369">P339</f>
        <v>0</v>
      </c>
      <c r="Q338" s="50"/>
      <c r="R338" s="53"/>
    </row>
    <row r="339" spans="1:18" ht="93" hidden="1" thickTop="1" thickBot="1" x14ac:dyDescent="0.25">
      <c r="A339" s="558" t="s">
        <v>474</v>
      </c>
      <c r="B339" s="558" t="s">
        <v>418</v>
      </c>
      <c r="C339" s="558" t="s">
        <v>419</v>
      </c>
      <c r="D339" s="558" t="s">
        <v>420</v>
      </c>
      <c r="E339" s="686">
        <f>F339</f>
        <v>0</v>
      </c>
      <c r="F339" s="401">
        <f>7903408-7903408</f>
        <v>0</v>
      </c>
      <c r="G339" s="401"/>
      <c r="H339" s="401"/>
      <c r="I339" s="401"/>
      <c r="J339" s="686">
        <f>L339+O339</f>
        <v>0</v>
      </c>
      <c r="K339" s="401"/>
      <c r="L339" s="401"/>
      <c r="M339" s="401"/>
      <c r="N339" s="401"/>
      <c r="O339" s="402">
        <f>K339</f>
        <v>0</v>
      </c>
      <c r="P339" s="559">
        <f>E339+J339</f>
        <v>0</v>
      </c>
      <c r="Q339" s="50"/>
      <c r="R339" s="53"/>
    </row>
    <row r="340" spans="1:18" ht="184.5" thickTop="1" thickBot="1" x14ac:dyDescent="0.25">
      <c r="A340" s="467" t="s">
        <v>839</v>
      </c>
      <c r="B340" s="467" t="s">
        <v>840</v>
      </c>
      <c r="C340" s="467"/>
      <c r="D340" s="467" t="s">
        <v>841</v>
      </c>
      <c r="E340" s="452">
        <f>E341</f>
        <v>131683221</v>
      </c>
      <c r="F340" s="452">
        <f t="shared" si="369"/>
        <v>131683221</v>
      </c>
      <c r="G340" s="452">
        <f t="shared" si="369"/>
        <v>0</v>
      </c>
      <c r="H340" s="452">
        <f t="shared" si="369"/>
        <v>0</v>
      </c>
      <c r="I340" s="452">
        <f t="shared" si="369"/>
        <v>0</v>
      </c>
      <c r="J340" s="452">
        <f t="shared" si="369"/>
        <v>0</v>
      </c>
      <c r="K340" s="452">
        <f t="shared" si="369"/>
        <v>0</v>
      </c>
      <c r="L340" s="452">
        <f t="shared" si="369"/>
        <v>0</v>
      </c>
      <c r="M340" s="452">
        <f t="shared" si="369"/>
        <v>0</v>
      </c>
      <c r="N340" s="452">
        <f t="shared" si="369"/>
        <v>0</v>
      </c>
      <c r="O340" s="452">
        <f t="shared" si="369"/>
        <v>0</v>
      </c>
      <c r="P340" s="452">
        <f t="shared" si="369"/>
        <v>131683221</v>
      </c>
      <c r="Q340" s="50"/>
      <c r="R340" s="53"/>
    </row>
    <row r="341" spans="1:18" ht="93" thickTop="1" thickBot="1" x14ac:dyDescent="0.25">
      <c r="A341" s="558" t="s">
        <v>475</v>
      </c>
      <c r="B341" s="558" t="s">
        <v>296</v>
      </c>
      <c r="C341" s="558" t="s">
        <v>298</v>
      </c>
      <c r="D341" s="558" t="s">
        <v>297</v>
      </c>
      <c r="E341" s="686">
        <f>F341</f>
        <v>131683221</v>
      </c>
      <c r="F341" s="401">
        <f>(124730000)+6953221</f>
        <v>131683221</v>
      </c>
      <c r="G341" s="401"/>
      <c r="H341" s="401"/>
      <c r="I341" s="401"/>
      <c r="J341" s="686">
        <f>L341+O341</f>
        <v>0</v>
      </c>
      <c r="K341" s="401"/>
      <c r="L341" s="401"/>
      <c r="M341" s="401"/>
      <c r="N341" s="401"/>
      <c r="O341" s="402">
        <f>K341</f>
        <v>0</v>
      </c>
      <c r="P341" s="559">
        <f>E341+J341</f>
        <v>131683221</v>
      </c>
      <c r="Q341" s="50"/>
      <c r="R341" s="53"/>
    </row>
    <row r="342" spans="1:18" s="118" customFormat="1" ht="93" hidden="1" thickTop="1" thickBot="1" x14ac:dyDescent="0.25">
      <c r="A342" s="171" t="s">
        <v>1140</v>
      </c>
      <c r="B342" s="171" t="s">
        <v>1141</v>
      </c>
      <c r="C342" s="171" t="s">
        <v>301</v>
      </c>
      <c r="D342" s="171" t="s">
        <v>1139</v>
      </c>
      <c r="E342" s="684">
        <f>F342</f>
        <v>0</v>
      </c>
      <c r="F342" s="177"/>
      <c r="G342" s="177"/>
      <c r="H342" s="177"/>
      <c r="I342" s="177"/>
      <c r="J342" s="684">
        <f>L342+O342</f>
        <v>0</v>
      </c>
      <c r="K342" s="177"/>
      <c r="L342" s="177"/>
      <c r="M342" s="177"/>
      <c r="N342" s="177"/>
      <c r="O342" s="175">
        <f>K342</f>
        <v>0</v>
      </c>
      <c r="P342" s="170">
        <f>E342+J342</f>
        <v>0</v>
      </c>
      <c r="Q342" s="50"/>
      <c r="R342" s="53"/>
    </row>
    <row r="343" spans="1:18" s="114" customFormat="1" ht="136.5" thickTop="1" thickBot="1" x14ac:dyDescent="0.25">
      <c r="A343" s="399" t="s">
        <v>1224</v>
      </c>
      <c r="B343" s="399" t="s">
        <v>703</v>
      </c>
      <c r="C343" s="399"/>
      <c r="D343" s="399" t="s">
        <v>701</v>
      </c>
      <c r="E343" s="403">
        <f>E344</f>
        <v>0</v>
      </c>
      <c r="F343" s="403">
        <f t="shared" ref="F343:P343" si="370">F344</f>
        <v>0</v>
      </c>
      <c r="G343" s="403">
        <f t="shared" si="370"/>
        <v>0</v>
      </c>
      <c r="H343" s="403">
        <f t="shared" si="370"/>
        <v>0</v>
      </c>
      <c r="I343" s="403">
        <f t="shared" si="370"/>
        <v>0</v>
      </c>
      <c r="J343" s="403">
        <f t="shared" si="370"/>
        <v>39060000</v>
      </c>
      <c r="K343" s="403">
        <f t="shared" si="370"/>
        <v>39060000</v>
      </c>
      <c r="L343" s="403">
        <f t="shared" si="370"/>
        <v>0</v>
      </c>
      <c r="M343" s="403">
        <f t="shared" si="370"/>
        <v>0</v>
      </c>
      <c r="N343" s="403">
        <f t="shared" si="370"/>
        <v>0</v>
      </c>
      <c r="O343" s="403">
        <f t="shared" si="370"/>
        <v>39060000</v>
      </c>
      <c r="P343" s="403">
        <f t="shared" si="370"/>
        <v>39060000</v>
      </c>
      <c r="Q343" s="50"/>
      <c r="R343" s="53"/>
    </row>
    <row r="344" spans="1:18" ht="138.75" thickTop="1" thickBot="1" x14ac:dyDescent="0.25">
      <c r="A344" s="738" t="s">
        <v>1225</v>
      </c>
      <c r="B344" s="738" t="s">
        <v>202</v>
      </c>
      <c r="C344" s="738" t="s">
        <v>171</v>
      </c>
      <c r="D344" s="738" t="s">
        <v>1226</v>
      </c>
      <c r="E344" s="739">
        <f>F344</f>
        <v>0</v>
      </c>
      <c r="F344" s="401">
        <v>0</v>
      </c>
      <c r="G344" s="401"/>
      <c r="H344" s="401"/>
      <c r="I344" s="401"/>
      <c r="J344" s="739">
        <f>L344+O344</f>
        <v>39060000</v>
      </c>
      <c r="K344" s="401">
        <v>39060000</v>
      </c>
      <c r="L344" s="401"/>
      <c r="M344" s="401"/>
      <c r="N344" s="401"/>
      <c r="O344" s="402">
        <f>K344</f>
        <v>39060000</v>
      </c>
      <c r="P344" s="739">
        <f>E344+J344</f>
        <v>39060000</v>
      </c>
      <c r="Q344" s="50"/>
      <c r="R344" s="53"/>
    </row>
    <row r="345" spans="1:18" s="118" customFormat="1" ht="47.25" thickTop="1" thickBot="1" x14ac:dyDescent="0.25">
      <c r="A345" s="397" t="s">
        <v>1271</v>
      </c>
      <c r="B345" s="397" t="s">
        <v>708</v>
      </c>
      <c r="C345" s="397"/>
      <c r="D345" s="397" t="s">
        <v>709</v>
      </c>
      <c r="E345" s="686">
        <f>E346</f>
        <v>1800000</v>
      </c>
      <c r="F345" s="686">
        <f t="shared" ref="F345:P345" si="371">F346</f>
        <v>1800000</v>
      </c>
      <c r="G345" s="686">
        <f t="shared" si="371"/>
        <v>0</v>
      </c>
      <c r="H345" s="686">
        <f t="shared" si="371"/>
        <v>0</v>
      </c>
      <c r="I345" s="686">
        <f t="shared" si="371"/>
        <v>0</v>
      </c>
      <c r="J345" s="686">
        <f t="shared" si="371"/>
        <v>0</v>
      </c>
      <c r="K345" s="559">
        <f t="shared" si="371"/>
        <v>0</v>
      </c>
      <c r="L345" s="559">
        <f t="shared" si="371"/>
        <v>0</v>
      </c>
      <c r="M345" s="559">
        <f t="shared" si="371"/>
        <v>0</v>
      </c>
      <c r="N345" s="559">
        <f t="shared" si="371"/>
        <v>0</v>
      </c>
      <c r="O345" s="559">
        <f t="shared" si="371"/>
        <v>0</v>
      </c>
      <c r="P345" s="559">
        <f t="shared" si="371"/>
        <v>1800000</v>
      </c>
      <c r="Q345" s="50"/>
      <c r="R345" s="53"/>
    </row>
    <row r="346" spans="1:18" s="118" customFormat="1" ht="91.5" thickTop="1" thickBot="1" x14ac:dyDescent="0.25">
      <c r="A346" s="399" t="s">
        <v>1272</v>
      </c>
      <c r="B346" s="399" t="s">
        <v>1237</v>
      </c>
      <c r="C346" s="399"/>
      <c r="D346" s="399" t="s">
        <v>1235</v>
      </c>
      <c r="E346" s="403">
        <f>E347</f>
        <v>1800000</v>
      </c>
      <c r="F346" s="403">
        <f>F347</f>
        <v>1800000</v>
      </c>
      <c r="G346" s="403">
        <f t="shared" ref="G346:O346" si="372">G347</f>
        <v>0</v>
      </c>
      <c r="H346" s="403">
        <f t="shared" si="372"/>
        <v>0</v>
      </c>
      <c r="I346" s="403">
        <f t="shared" si="372"/>
        <v>0</v>
      </c>
      <c r="J346" s="403">
        <f t="shared" si="372"/>
        <v>0</v>
      </c>
      <c r="K346" s="403">
        <f t="shared" si="372"/>
        <v>0</v>
      </c>
      <c r="L346" s="403">
        <f t="shared" si="372"/>
        <v>0</v>
      </c>
      <c r="M346" s="403">
        <f t="shared" si="372"/>
        <v>0</v>
      </c>
      <c r="N346" s="403">
        <f t="shared" si="372"/>
        <v>0</v>
      </c>
      <c r="O346" s="403">
        <f t="shared" si="372"/>
        <v>0</v>
      </c>
      <c r="P346" s="403">
        <f>P347</f>
        <v>1800000</v>
      </c>
      <c r="Q346" s="50"/>
      <c r="R346" s="53"/>
    </row>
    <row r="347" spans="1:18" s="118" customFormat="1" ht="138.75" thickTop="1" thickBot="1" x14ac:dyDescent="0.25">
      <c r="A347" s="558" t="s">
        <v>1273</v>
      </c>
      <c r="B347" s="558" t="s">
        <v>1274</v>
      </c>
      <c r="C347" s="558" t="s">
        <v>1239</v>
      </c>
      <c r="D347" s="558" t="s">
        <v>1275</v>
      </c>
      <c r="E347" s="686">
        <f>F347</f>
        <v>1800000</v>
      </c>
      <c r="F347" s="401">
        <v>1800000</v>
      </c>
      <c r="G347" s="401"/>
      <c r="H347" s="401"/>
      <c r="I347" s="401"/>
      <c r="J347" s="686">
        <f>L347+O347</f>
        <v>0</v>
      </c>
      <c r="K347" s="401"/>
      <c r="L347" s="401"/>
      <c r="M347" s="401"/>
      <c r="N347" s="401"/>
      <c r="O347" s="402">
        <f>K347</f>
        <v>0</v>
      </c>
      <c r="P347" s="559">
        <f>E347+J347</f>
        <v>1800000</v>
      </c>
      <c r="Q347" s="50"/>
      <c r="R347" s="53"/>
    </row>
    <row r="348" spans="1:18" s="118" customFormat="1" ht="47.25" thickTop="1" thickBot="1" x14ac:dyDescent="0.25">
      <c r="A348" s="397" t="s">
        <v>1467</v>
      </c>
      <c r="B348" s="397" t="s">
        <v>714</v>
      </c>
      <c r="C348" s="397"/>
      <c r="D348" s="397" t="s">
        <v>715</v>
      </c>
      <c r="E348" s="760">
        <f t="shared" ref="E348:P348" si="373">E349</f>
        <v>120000</v>
      </c>
      <c r="F348" s="760">
        <f t="shared" si="373"/>
        <v>120000</v>
      </c>
      <c r="G348" s="760">
        <f t="shared" si="373"/>
        <v>0</v>
      </c>
      <c r="H348" s="760">
        <f t="shared" si="373"/>
        <v>0</v>
      </c>
      <c r="I348" s="760">
        <f t="shared" si="373"/>
        <v>0</v>
      </c>
      <c r="J348" s="760">
        <f t="shared" si="373"/>
        <v>0</v>
      </c>
      <c r="K348" s="760">
        <f t="shared" si="373"/>
        <v>0</v>
      </c>
      <c r="L348" s="760">
        <f t="shared" si="373"/>
        <v>0</v>
      </c>
      <c r="M348" s="760">
        <f t="shared" si="373"/>
        <v>0</v>
      </c>
      <c r="N348" s="760">
        <f t="shared" si="373"/>
        <v>0</v>
      </c>
      <c r="O348" s="760">
        <f t="shared" si="373"/>
        <v>0</v>
      </c>
      <c r="P348" s="760">
        <f t="shared" si="373"/>
        <v>120000</v>
      </c>
      <c r="Q348" s="50"/>
      <c r="R348" s="53"/>
    </row>
    <row r="349" spans="1:18" s="118" customFormat="1" ht="271.5" thickTop="1" thickBot="1" x14ac:dyDescent="0.25">
      <c r="A349" s="399" t="s">
        <v>1468</v>
      </c>
      <c r="B349" s="399" t="s">
        <v>521</v>
      </c>
      <c r="C349" s="399" t="s">
        <v>43</v>
      </c>
      <c r="D349" s="399" t="s">
        <v>522</v>
      </c>
      <c r="E349" s="403">
        <f t="shared" ref="E349" si="374">F349</f>
        <v>120000</v>
      </c>
      <c r="F349" s="403">
        <v>120000</v>
      </c>
      <c r="G349" s="403"/>
      <c r="H349" s="403"/>
      <c r="I349" s="403"/>
      <c r="J349" s="403">
        <f>L349+O349</f>
        <v>0</v>
      </c>
      <c r="K349" s="401"/>
      <c r="L349" s="403"/>
      <c r="M349" s="403"/>
      <c r="N349" s="403"/>
      <c r="O349" s="403">
        <f>(K349+0)</f>
        <v>0</v>
      </c>
      <c r="P349" s="403">
        <f>E349+J349</f>
        <v>120000</v>
      </c>
      <c r="Q349" s="50"/>
      <c r="R349" s="53"/>
    </row>
    <row r="350" spans="1:18" ht="136.5" thickTop="1" thickBot="1" x14ac:dyDescent="0.25">
      <c r="A350" s="472" t="s">
        <v>167</v>
      </c>
      <c r="B350" s="472"/>
      <c r="C350" s="472"/>
      <c r="D350" s="473" t="s">
        <v>360</v>
      </c>
      <c r="E350" s="475">
        <f>E351</f>
        <v>8193238</v>
      </c>
      <c r="F350" s="474">
        <f t="shared" ref="F350:G350" si="375">F351</f>
        <v>8193238</v>
      </c>
      <c r="G350" s="474">
        <f t="shared" si="375"/>
        <v>0</v>
      </c>
      <c r="H350" s="474">
        <f>H351</f>
        <v>0</v>
      </c>
      <c r="I350" s="474">
        <f t="shared" ref="I350" si="376">I351</f>
        <v>0</v>
      </c>
      <c r="J350" s="475">
        <f>J351</f>
        <v>502732</v>
      </c>
      <c r="K350" s="474">
        <f>K351</f>
        <v>502732</v>
      </c>
      <c r="L350" s="474">
        <f>L351</f>
        <v>0</v>
      </c>
      <c r="M350" s="474">
        <f t="shared" ref="M350" si="377">M351</f>
        <v>0</v>
      </c>
      <c r="N350" s="474">
        <f>N351</f>
        <v>0</v>
      </c>
      <c r="O350" s="475">
        <f>O351</f>
        <v>502732</v>
      </c>
      <c r="P350" s="474">
        <f t="shared" ref="P350" si="378">P351</f>
        <v>8695970</v>
      </c>
      <c r="Q350" s="22"/>
    </row>
    <row r="351" spans="1:18" ht="181.5" thickTop="1" thickBot="1" x14ac:dyDescent="0.25">
      <c r="A351" s="476" t="s">
        <v>168</v>
      </c>
      <c r="B351" s="476"/>
      <c r="C351" s="476"/>
      <c r="D351" s="477" t="s">
        <v>361</v>
      </c>
      <c r="E351" s="478">
        <f>E354+E366+E363+E352</f>
        <v>8193238</v>
      </c>
      <c r="F351" s="478">
        <f>F354+F366+F363+F352</f>
        <v>8193238</v>
      </c>
      <c r="G351" s="478">
        <f>G354+G366+G363+G352</f>
        <v>0</v>
      </c>
      <c r="H351" s="478">
        <f>H354+H366+H363+H352</f>
        <v>0</v>
      </c>
      <c r="I351" s="478">
        <f>I354+I366+I363+I352</f>
        <v>0</v>
      </c>
      <c r="J351" s="478">
        <f>L351+O351</f>
        <v>502732</v>
      </c>
      <c r="K351" s="478">
        <f>K354+K366+K363+K352</f>
        <v>502732</v>
      </c>
      <c r="L351" s="478">
        <f>L354+L366+L363+L352</f>
        <v>0</v>
      </c>
      <c r="M351" s="478">
        <f>M354+M366+M363+M352</f>
        <v>0</v>
      </c>
      <c r="N351" s="478">
        <f>N354+N366+N363+N352</f>
        <v>0</v>
      </c>
      <c r="O351" s="478">
        <f>O354+O366+O363+O352</f>
        <v>502732</v>
      </c>
      <c r="P351" s="478">
        <f>E351+J351</f>
        <v>8695970</v>
      </c>
      <c r="Q351" s="404" t="b">
        <f>P351=P356+P358+P359+P360+P353+P362+P365</f>
        <v>1</v>
      </c>
      <c r="R351" s="49"/>
    </row>
    <row r="352" spans="1:18" s="118" customFormat="1" ht="91.5" thickTop="1" thickBot="1" x14ac:dyDescent="0.25">
      <c r="A352" s="397" t="s">
        <v>1409</v>
      </c>
      <c r="B352" s="397" t="s">
        <v>723</v>
      </c>
      <c r="C352" s="397"/>
      <c r="D352" s="397" t="s">
        <v>724</v>
      </c>
      <c r="E352" s="723">
        <f t="shared" ref="E352:P352" si="379">SUM(E353:E353)</f>
        <v>794919</v>
      </c>
      <c r="F352" s="723">
        <f t="shared" si="379"/>
        <v>794919</v>
      </c>
      <c r="G352" s="723">
        <f t="shared" si="379"/>
        <v>0</v>
      </c>
      <c r="H352" s="723">
        <f t="shared" si="379"/>
        <v>0</v>
      </c>
      <c r="I352" s="723">
        <f t="shared" si="379"/>
        <v>0</v>
      </c>
      <c r="J352" s="723">
        <f t="shared" si="379"/>
        <v>156881</v>
      </c>
      <c r="K352" s="723">
        <f t="shared" si="379"/>
        <v>156881</v>
      </c>
      <c r="L352" s="723">
        <f t="shared" si="379"/>
        <v>0</v>
      </c>
      <c r="M352" s="723">
        <f t="shared" si="379"/>
        <v>0</v>
      </c>
      <c r="N352" s="723">
        <f t="shared" si="379"/>
        <v>0</v>
      </c>
      <c r="O352" s="723">
        <f t="shared" si="379"/>
        <v>156881</v>
      </c>
      <c r="P352" s="723">
        <f t="shared" si="379"/>
        <v>951800</v>
      </c>
      <c r="Q352" s="404"/>
      <c r="R352" s="724"/>
    </row>
    <row r="353" spans="1:18" s="118" customFormat="1" ht="276" thickTop="1" thickBot="1" x14ac:dyDescent="0.25">
      <c r="A353" s="722" t="s">
        <v>1410</v>
      </c>
      <c r="B353" s="722" t="s">
        <v>1252</v>
      </c>
      <c r="C353" s="722" t="s">
        <v>211</v>
      </c>
      <c r="D353" s="482" t="s">
        <v>1253</v>
      </c>
      <c r="E353" s="723">
        <f t="shared" ref="E353" si="380">F353</f>
        <v>794919</v>
      </c>
      <c r="F353" s="401">
        <f>563860+231059</f>
        <v>794919</v>
      </c>
      <c r="G353" s="401"/>
      <c r="H353" s="401"/>
      <c r="I353" s="401"/>
      <c r="J353" s="723">
        <f>L353+O353</f>
        <v>156881</v>
      </c>
      <c r="K353" s="401">
        <v>156881</v>
      </c>
      <c r="L353" s="401"/>
      <c r="M353" s="401"/>
      <c r="N353" s="401"/>
      <c r="O353" s="402">
        <f>K353</f>
        <v>156881</v>
      </c>
      <c r="P353" s="723">
        <f>E353+J353</f>
        <v>951800</v>
      </c>
      <c r="Q353" s="404"/>
      <c r="R353" s="724"/>
    </row>
    <row r="354" spans="1:18" ht="44.25" customHeight="1" thickTop="1" thickBot="1" x14ac:dyDescent="0.25">
      <c r="A354" s="397" t="s">
        <v>842</v>
      </c>
      <c r="B354" s="397" t="s">
        <v>760</v>
      </c>
      <c r="C354" s="558"/>
      <c r="D354" s="397" t="s">
        <v>807</v>
      </c>
      <c r="E354" s="553">
        <f t="shared" ref="E354:P354" si="381">E357+E355</f>
        <v>7212254</v>
      </c>
      <c r="F354" s="553">
        <f t="shared" si="381"/>
        <v>7212254</v>
      </c>
      <c r="G354" s="553">
        <f t="shared" si="381"/>
        <v>0</v>
      </c>
      <c r="H354" s="553">
        <f t="shared" si="381"/>
        <v>0</v>
      </c>
      <c r="I354" s="553">
        <f t="shared" si="381"/>
        <v>0</v>
      </c>
      <c r="J354" s="553">
        <f t="shared" si="381"/>
        <v>195396</v>
      </c>
      <c r="K354" s="553">
        <f t="shared" si="381"/>
        <v>195396</v>
      </c>
      <c r="L354" s="553">
        <f t="shared" si="381"/>
        <v>0</v>
      </c>
      <c r="M354" s="553">
        <f t="shared" si="381"/>
        <v>0</v>
      </c>
      <c r="N354" s="553">
        <f t="shared" si="381"/>
        <v>0</v>
      </c>
      <c r="O354" s="553">
        <f t="shared" si="381"/>
        <v>195396</v>
      </c>
      <c r="P354" s="553">
        <f t="shared" si="381"/>
        <v>7407650</v>
      </c>
      <c r="Q354" s="50"/>
      <c r="R354" s="49"/>
    </row>
    <row r="355" spans="1:18" s="37" customFormat="1" ht="91.5" thickTop="1" thickBot="1" x14ac:dyDescent="0.25">
      <c r="A355" s="399" t="s">
        <v>1032</v>
      </c>
      <c r="B355" s="399" t="s">
        <v>816</v>
      </c>
      <c r="C355" s="399"/>
      <c r="D355" s="399" t="s">
        <v>817</v>
      </c>
      <c r="E355" s="616">
        <f>E356</f>
        <v>50000</v>
      </c>
      <c r="F355" s="616">
        <f>F356</f>
        <v>50000</v>
      </c>
      <c r="G355" s="616">
        <f t="shared" ref="G355:O355" si="382">G356</f>
        <v>0</v>
      </c>
      <c r="H355" s="616">
        <f t="shared" si="382"/>
        <v>0</v>
      </c>
      <c r="I355" s="616">
        <f t="shared" si="382"/>
        <v>0</v>
      </c>
      <c r="J355" s="616">
        <f t="shared" si="382"/>
        <v>0</v>
      </c>
      <c r="K355" s="616">
        <f t="shared" si="382"/>
        <v>0</v>
      </c>
      <c r="L355" s="616">
        <f t="shared" si="382"/>
        <v>0</v>
      </c>
      <c r="M355" s="616">
        <f t="shared" si="382"/>
        <v>0</v>
      </c>
      <c r="N355" s="616">
        <f t="shared" si="382"/>
        <v>0</v>
      </c>
      <c r="O355" s="616">
        <f t="shared" si="382"/>
        <v>0</v>
      </c>
      <c r="P355" s="616">
        <f>P356</f>
        <v>50000</v>
      </c>
      <c r="Q355" s="48"/>
      <c r="R355" s="560"/>
    </row>
    <row r="356" spans="1:18" s="37" customFormat="1" ht="184.5" thickTop="1" thickBot="1" x14ac:dyDescent="0.25">
      <c r="A356" s="558" t="s">
        <v>1033</v>
      </c>
      <c r="B356" s="558" t="s">
        <v>356</v>
      </c>
      <c r="C356" s="558" t="s">
        <v>171</v>
      </c>
      <c r="D356" s="558" t="s">
        <v>267</v>
      </c>
      <c r="E356" s="559">
        <f t="shared" ref="E356" si="383">F356</f>
        <v>50000</v>
      </c>
      <c r="F356" s="401">
        <v>50000</v>
      </c>
      <c r="G356" s="401"/>
      <c r="H356" s="401"/>
      <c r="I356" s="401"/>
      <c r="J356" s="559">
        <f t="shared" ref="J356" si="384">L356+O356</f>
        <v>0</v>
      </c>
      <c r="K356" s="401"/>
      <c r="L356" s="401"/>
      <c r="M356" s="401"/>
      <c r="N356" s="401"/>
      <c r="O356" s="402">
        <f>K356</f>
        <v>0</v>
      </c>
      <c r="P356" s="559">
        <f t="shared" ref="P356" si="385">E356+J356</f>
        <v>50000</v>
      </c>
      <c r="Q356" s="48"/>
      <c r="R356" s="560"/>
    </row>
    <row r="357" spans="1:18" ht="136.5" thickTop="1" thickBot="1" x14ac:dyDescent="0.25">
      <c r="A357" s="399" t="s">
        <v>843</v>
      </c>
      <c r="B357" s="399" t="s">
        <v>703</v>
      </c>
      <c r="C357" s="399"/>
      <c r="D357" s="399" t="s">
        <v>701</v>
      </c>
      <c r="E357" s="616">
        <f>SUM(E358:E362)-E361</f>
        <v>7162254</v>
      </c>
      <c r="F357" s="616">
        <f t="shared" ref="F357:P357" si="386">SUM(F358:F362)-F361</f>
        <v>7162254</v>
      </c>
      <c r="G357" s="616">
        <f t="shared" si="386"/>
        <v>0</v>
      </c>
      <c r="H357" s="616">
        <f t="shared" si="386"/>
        <v>0</v>
      </c>
      <c r="I357" s="616">
        <f t="shared" si="386"/>
        <v>0</v>
      </c>
      <c r="J357" s="616">
        <f>SUM(J358:J362)-J361</f>
        <v>195396</v>
      </c>
      <c r="K357" s="616">
        <f t="shared" si="386"/>
        <v>195396</v>
      </c>
      <c r="L357" s="616">
        <f t="shared" si="386"/>
        <v>0</v>
      </c>
      <c r="M357" s="616">
        <f t="shared" si="386"/>
        <v>0</v>
      </c>
      <c r="N357" s="616">
        <f t="shared" si="386"/>
        <v>0</v>
      </c>
      <c r="O357" s="616">
        <f t="shared" si="386"/>
        <v>195396</v>
      </c>
      <c r="P357" s="616">
        <f t="shared" si="386"/>
        <v>7357650</v>
      </c>
      <c r="Q357" s="50"/>
      <c r="R357" s="49"/>
    </row>
    <row r="358" spans="1:18" ht="138.75" thickTop="1" thickBot="1" x14ac:dyDescent="0.25">
      <c r="A358" s="558" t="s">
        <v>265</v>
      </c>
      <c r="B358" s="558" t="s">
        <v>266</v>
      </c>
      <c r="C358" s="558" t="s">
        <v>264</v>
      </c>
      <c r="D358" s="558" t="s">
        <v>263</v>
      </c>
      <c r="E358" s="559">
        <f t="shared" ref="E358:E362" si="387">F358</f>
        <v>6205000</v>
      </c>
      <c r="F358" s="401">
        <f>((2555000)+3000000)+650000</f>
        <v>6205000</v>
      </c>
      <c r="G358" s="401"/>
      <c r="H358" s="401"/>
      <c r="I358" s="401"/>
      <c r="J358" s="559">
        <f t="shared" ref="J358:J362" si="388">L358+O358</f>
        <v>0</v>
      </c>
      <c r="K358" s="401"/>
      <c r="L358" s="401"/>
      <c r="M358" s="401"/>
      <c r="N358" s="401"/>
      <c r="O358" s="402">
        <f>K358</f>
        <v>0</v>
      </c>
      <c r="P358" s="559">
        <f t="shared" ref="P358:P362" si="389">E358+J358</f>
        <v>6205000</v>
      </c>
      <c r="Q358" s="22"/>
      <c r="R358" s="49"/>
    </row>
    <row r="359" spans="1:18" ht="184.5" thickTop="1" thickBot="1" x14ac:dyDescent="0.25">
      <c r="A359" s="558" t="s">
        <v>257</v>
      </c>
      <c r="B359" s="558" t="s">
        <v>259</v>
      </c>
      <c r="C359" s="558" t="s">
        <v>218</v>
      </c>
      <c r="D359" s="558" t="s">
        <v>258</v>
      </c>
      <c r="E359" s="559">
        <f t="shared" si="387"/>
        <v>615000</v>
      </c>
      <c r="F359" s="401">
        <v>615000</v>
      </c>
      <c r="G359" s="401"/>
      <c r="H359" s="401"/>
      <c r="I359" s="401"/>
      <c r="J359" s="559">
        <f t="shared" si="388"/>
        <v>0</v>
      </c>
      <c r="K359" s="401"/>
      <c r="L359" s="401"/>
      <c r="M359" s="401"/>
      <c r="N359" s="401"/>
      <c r="O359" s="402">
        <f>K359</f>
        <v>0</v>
      </c>
      <c r="P359" s="559">
        <f t="shared" si="389"/>
        <v>615000</v>
      </c>
      <c r="Q359" s="22"/>
      <c r="R359" s="49"/>
    </row>
    <row r="360" spans="1:18" s="118" customFormat="1" ht="48" thickTop="1" thickBot="1" x14ac:dyDescent="0.25">
      <c r="A360" s="722" t="s">
        <v>1404</v>
      </c>
      <c r="B360" s="722" t="s">
        <v>217</v>
      </c>
      <c r="C360" s="722" t="s">
        <v>218</v>
      </c>
      <c r="D360" s="722" t="s">
        <v>41</v>
      </c>
      <c r="E360" s="723">
        <f t="shared" ref="E360" si="390">F360</f>
        <v>42254</v>
      </c>
      <c r="F360" s="401">
        <f>12504+29750</f>
        <v>42254</v>
      </c>
      <c r="G360" s="401"/>
      <c r="H360" s="401"/>
      <c r="I360" s="401"/>
      <c r="J360" s="723">
        <f t="shared" ref="J360" si="391">L360+O360</f>
        <v>195396</v>
      </c>
      <c r="K360" s="401">
        <v>195396</v>
      </c>
      <c r="L360" s="401"/>
      <c r="M360" s="401"/>
      <c r="N360" s="401"/>
      <c r="O360" s="402">
        <f>K360</f>
        <v>195396</v>
      </c>
      <c r="P360" s="723">
        <f t="shared" ref="P360" si="392">E360+J360</f>
        <v>237650</v>
      </c>
      <c r="Q360" s="22"/>
      <c r="R360" s="724"/>
    </row>
    <row r="361" spans="1:18" ht="48" thickTop="1" thickBot="1" x14ac:dyDescent="0.25">
      <c r="A361" s="467" t="s">
        <v>844</v>
      </c>
      <c r="B361" s="467" t="s">
        <v>706</v>
      </c>
      <c r="C361" s="467"/>
      <c r="D361" s="467" t="s">
        <v>704</v>
      </c>
      <c r="E361" s="452">
        <f>E362</f>
        <v>300000</v>
      </c>
      <c r="F361" s="452">
        <f t="shared" ref="F361:P361" si="393">F362</f>
        <v>300000</v>
      </c>
      <c r="G361" s="452">
        <f t="shared" si="393"/>
        <v>0</v>
      </c>
      <c r="H361" s="452">
        <f t="shared" si="393"/>
        <v>0</v>
      </c>
      <c r="I361" s="452">
        <f t="shared" si="393"/>
        <v>0</v>
      </c>
      <c r="J361" s="452">
        <f t="shared" si="393"/>
        <v>0</v>
      </c>
      <c r="K361" s="452">
        <f t="shared" si="393"/>
        <v>0</v>
      </c>
      <c r="L361" s="452">
        <f t="shared" si="393"/>
        <v>0</v>
      </c>
      <c r="M361" s="452">
        <f t="shared" si="393"/>
        <v>0</v>
      </c>
      <c r="N361" s="452">
        <f t="shared" si="393"/>
        <v>0</v>
      </c>
      <c r="O361" s="452">
        <f t="shared" si="393"/>
        <v>0</v>
      </c>
      <c r="P361" s="452">
        <f t="shared" si="393"/>
        <v>300000</v>
      </c>
      <c r="Q361" s="22"/>
      <c r="R361" s="49"/>
    </row>
    <row r="362" spans="1:18" ht="93" thickTop="1" thickBot="1" x14ac:dyDescent="0.25">
      <c r="A362" s="722" t="s">
        <v>261</v>
      </c>
      <c r="B362" s="722" t="s">
        <v>262</v>
      </c>
      <c r="C362" s="722" t="s">
        <v>171</v>
      </c>
      <c r="D362" s="722" t="s">
        <v>260</v>
      </c>
      <c r="E362" s="723">
        <f t="shared" si="387"/>
        <v>300000</v>
      </c>
      <c r="F362" s="401">
        <v>300000</v>
      </c>
      <c r="G362" s="401"/>
      <c r="H362" s="401"/>
      <c r="I362" s="401"/>
      <c r="J362" s="723">
        <f t="shared" si="388"/>
        <v>0</v>
      </c>
      <c r="K362" s="401"/>
      <c r="L362" s="401"/>
      <c r="M362" s="401"/>
      <c r="N362" s="401"/>
      <c r="O362" s="402">
        <f>K362</f>
        <v>0</v>
      </c>
      <c r="P362" s="723">
        <f t="shared" si="389"/>
        <v>300000</v>
      </c>
      <c r="Q362" s="22"/>
      <c r="R362" s="49"/>
    </row>
    <row r="363" spans="1:18" s="118" customFormat="1" ht="47.25" thickTop="1" thickBot="1" x14ac:dyDescent="0.25">
      <c r="A363" s="397" t="s">
        <v>1406</v>
      </c>
      <c r="B363" s="397" t="s">
        <v>708</v>
      </c>
      <c r="C363" s="397"/>
      <c r="D363" s="397" t="s">
        <v>709</v>
      </c>
      <c r="E363" s="723">
        <f t="shared" ref="E363:P364" si="394">E364</f>
        <v>186065</v>
      </c>
      <c r="F363" s="723">
        <f t="shared" si="394"/>
        <v>186065</v>
      </c>
      <c r="G363" s="723">
        <f t="shared" si="394"/>
        <v>0</v>
      </c>
      <c r="H363" s="723">
        <f t="shared" si="394"/>
        <v>0</v>
      </c>
      <c r="I363" s="723">
        <f t="shared" si="394"/>
        <v>0</v>
      </c>
      <c r="J363" s="723">
        <f t="shared" si="394"/>
        <v>150455</v>
      </c>
      <c r="K363" s="723">
        <f t="shared" si="394"/>
        <v>150455</v>
      </c>
      <c r="L363" s="723">
        <f t="shared" si="394"/>
        <v>0</v>
      </c>
      <c r="M363" s="723">
        <f t="shared" si="394"/>
        <v>0</v>
      </c>
      <c r="N363" s="723">
        <f t="shared" si="394"/>
        <v>0</v>
      </c>
      <c r="O363" s="723">
        <f t="shared" si="394"/>
        <v>150455</v>
      </c>
      <c r="P363" s="723">
        <f t="shared" si="394"/>
        <v>336520</v>
      </c>
      <c r="Q363" s="22"/>
      <c r="R363" s="724"/>
    </row>
    <row r="364" spans="1:18" s="118" customFormat="1" ht="91.5" thickTop="1" thickBot="1" x14ac:dyDescent="0.25">
      <c r="A364" s="399" t="s">
        <v>1407</v>
      </c>
      <c r="B364" s="399" t="s">
        <v>1237</v>
      </c>
      <c r="C364" s="399"/>
      <c r="D364" s="399" t="s">
        <v>1235</v>
      </c>
      <c r="E364" s="403">
        <f t="shared" si="394"/>
        <v>186065</v>
      </c>
      <c r="F364" s="403">
        <f t="shared" si="394"/>
        <v>186065</v>
      </c>
      <c r="G364" s="403">
        <f t="shared" si="394"/>
        <v>0</v>
      </c>
      <c r="H364" s="403">
        <f t="shared" si="394"/>
        <v>0</v>
      </c>
      <c r="I364" s="403">
        <f t="shared" si="394"/>
        <v>0</v>
      </c>
      <c r="J364" s="403">
        <f t="shared" si="394"/>
        <v>150455</v>
      </c>
      <c r="K364" s="403">
        <f t="shared" si="394"/>
        <v>150455</v>
      </c>
      <c r="L364" s="403">
        <f t="shared" si="394"/>
        <v>0</v>
      </c>
      <c r="M364" s="403">
        <f t="shared" si="394"/>
        <v>0</v>
      </c>
      <c r="N364" s="403">
        <f t="shared" si="394"/>
        <v>0</v>
      </c>
      <c r="O364" s="403">
        <f t="shared" si="394"/>
        <v>150455</v>
      </c>
      <c r="P364" s="403">
        <f t="shared" si="394"/>
        <v>336520</v>
      </c>
      <c r="Q364" s="22"/>
      <c r="R364" s="724"/>
    </row>
    <row r="365" spans="1:18" s="118" customFormat="1" ht="93" thickTop="1" thickBot="1" x14ac:dyDescent="0.25">
      <c r="A365" s="722" t="s">
        <v>1408</v>
      </c>
      <c r="B365" s="722" t="s">
        <v>1241</v>
      </c>
      <c r="C365" s="722" t="s">
        <v>1239</v>
      </c>
      <c r="D365" s="722" t="s">
        <v>1238</v>
      </c>
      <c r="E365" s="723">
        <f>F365</f>
        <v>186065</v>
      </c>
      <c r="F365" s="401">
        <f>166065+20000</f>
        <v>186065</v>
      </c>
      <c r="G365" s="401"/>
      <c r="H365" s="401"/>
      <c r="I365" s="401"/>
      <c r="J365" s="723">
        <f>L365+O365</f>
        <v>150455</v>
      </c>
      <c r="K365" s="401">
        <v>150455</v>
      </c>
      <c r="L365" s="401"/>
      <c r="M365" s="401"/>
      <c r="N365" s="401"/>
      <c r="O365" s="402">
        <f>K365</f>
        <v>150455</v>
      </c>
      <c r="P365" s="723">
        <f>E365+J365</f>
        <v>336520</v>
      </c>
      <c r="Q365" s="22"/>
      <c r="R365" s="724"/>
    </row>
    <row r="366" spans="1:18" ht="47.25" hidden="1" thickTop="1" thickBot="1" x14ac:dyDescent="0.25">
      <c r="A366" s="191" t="s">
        <v>922</v>
      </c>
      <c r="B366" s="191" t="s">
        <v>714</v>
      </c>
      <c r="C366" s="191"/>
      <c r="D366" s="191" t="s">
        <v>715</v>
      </c>
      <c r="E366" s="45">
        <f>E367</f>
        <v>0</v>
      </c>
      <c r="F366" s="45">
        <f t="shared" ref="F366:P367" si="395">F367</f>
        <v>0</v>
      </c>
      <c r="G366" s="45">
        <f t="shared" si="395"/>
        <v>0</v>
      </c>
      <c r="H366" s="45">
        <f t="shared" si="395"/>
        <v>0</v>
      </c>
      <c r="I366" s="45">
        <f t="shared" si="395"/>
        <v>0</v>
      </c>
      <c r="J366" s="45">
        <f t="shared" si="395"/>
        <v>0</v>
      </c>
      <c r="K366" s="45">
        <f t="shared" si="395"/>
        <v>0</v>
      </c>
      <c r="L366" s="45">
        <f t="shared" si="395"/>
        <v>0</v>
      </c>
      <c r="M366" s="45">
        <f t="shared" si="395"/>
        <v>0</v>
      </c>
      <c r="N366" s="45">
        <f t="shared" si="395"/>
        <v>0</v>
      </c>
      <c r="O366" s="45">
        <f t="shared" si="395"/>
        <v>0</v>
      </c>
      <c r="P366" s="45">
        <f t="shared" si="395"/>
        <v>0</v>
      </c>
      <c r="Q366" s="22"/>
      <c r="R366" s="49"/>
    </row>
    <row r="367" spans="1:18" ht="271.5" hidden="1" thickTop="1" thickBot="1" x14ac:dyDescent="0.25">
      <c r="A367" s="192" t="s">
        <v>923</v>
      </c>
      <c r="B367" s="192" t="s">
        <v>717</v>
      </c>
      <c r="C367" s="192"/>
      <c r="D367" s="192" t="s">
        <v>718</v>
      </c>
      <c r="E367" s="193">
        <f>E368</f>
        <v>0</v>
      </c>
      <c r="F367" s="193">
        <f t="shared" si="395"/>
        <v>0</v>
      </c>
      <c r="G367" s="193">
        <f t="shared" si="395"/>
        <v>0</v>
      </c>
      <c r="H367" s="193">
        <f t="shared" si="395"/>
        <v>0</v>
      </c>
      <c r="I367" s="193">
        <f t="shared" si="395"/>
        <v>0</v>
      </c>
      <c r="J367" s="193">
        <f t="shared" si="395"/>
        <v>0</v>
      </c>
      <c r="K367" s="193">
        <f t="shared" si="395"/>
        <v>0</v>
      </c>
      <c r="L367" s="193">
        <f t="shared" si="395"/>
        <v>0</v>
      </c>
      <c r="M367" s="193">
        <f t="shared" si="395"/>
        <v>0</v>
      </c>
      <c r="N367" s="193">
        <f t="shared" si="395"/>
        <v>0</v>
      </c>
      <c r="O367" s="193">
        <f t="shared" si="395"/>
        <v>0</v>
      </c>
      <c r="P367" s="193">
        <f t="shared" si="395"/>
        <v>0</v>
      </c>
      <c r="Q367" s="22"/>
      <c r="R367" s="49"/>
    </row>
    <row r="368" spans="1:18" ht="93" hidden="1" thickTop="1" thickBot="1" x14ac:dyDescent="0.25">
      <c r="A368" s="44" t="s">
        <v>924</v>
      </c>
      <c r="B368" s="44" t="s">
        <v>369</v>
      </c>
      <c r="C368" s="44" t="s">
        <v>43</v>
      </c>
      <c r="D368" s="44" t="s">
        <v>370</v>
      </c>
      <c r="E368" s="45">
        <f t="shared" ref="E368" si="396">F368</f>
        <v>0</v>
      </c>
      <c r="F368" s="46">
        <v>0</v>
      </c>
      <c r="G368" s="46"/>
      <c r="H368" s="46"/>
      <c r="I368" s="46"/>
      <c r="J368" s="45">
        <f>L368+O368</f>
        <v>0</v>
      </c>
      <c r="K368" s="46">
        <v>0</v>
      </c>
      <c r="L368" s="46"/>
      <c r="M368" s="46"/>
      <c r="N368" s="46"/>
      <c r="O368" s="47">
        <f>K368</f>
        <v>0</v>
      </c>
      <c r="P368" s="45">
        <f>E368+J368</f>
        <v>0</v>
      </c>
      <c r="Q368" s="22"/>
      <c r="R368" s="49"/>
    </row>
    <row r="369" spans="1:18" ht="226.5" thickTop="1" thickBot="1" x14ac:dyDescent="0.25">
      <c r="A369" s="472" t="s">
        <v>165</v>
      </c>
      <c r="B369" s="472"/>
      <c r="C369" s="472"/>
      <c r="D369" s="473" t="s">
        <v>901</v>
      </c>
      <c r="E369" s="475">
        <f>E370</f>
        <v>7403163</v>
      </c>
      <c r="F369" s="474">
        <f t="shared" ref="F369:G369" si="397">F370</f>
        <v>7403163</v>
      </c>
      <c r="G369" s="474">
        <f t="shared" si="397"/>
        <v>5498880</v>
      </c>
      <c r="H369" s="474">
        <f>H370</f>
        <v>229363</v>
      </c>
      <c r="I369" s="474">
        <f t="shared" ref="I369" si="398">I370</f>
        <v>0</v>
      </c>
      <c r="J369" s="475">
        <f>J370</f>
        <v>4113434</v>
      </c>
      <c r="K369" s="474">
        <f>K370</f>
        <v>157000</v>
      </c>
      <c r="L369" s="474">
        <f>L370</f>
        <v>1260434</v>
      </c>
      <c r="M369" s="474">
        <f t="shared" ref="M369" si="399">M370</f>
        <v>0</v>
      </c>
      <c r="N369" s="474">
        <f>N370</f>
        <v>0</v>
      </c>
      <c r="O369" s="475">
        <f>O370</f>
        <v>2853000</v>
      </c>
      <c r="P369" s="474">
        <f t="shared" ref="P369" si="400">P370</f>
        <v>11516597</v>
      </c>
      <c r="Q369" s="22"/>
    </row>
    <row r="370" spans="1:18" ht="271.5" thickTop="1" thickBot="1" x14ac:dyDescent="0.25">
      <c r="A370" s="476" t="s">
        <v>166</v>
      </c>
      <c r="B370" s="476"/>
      <c r="C370" s="476"/>
      <c r="D370" s="477" t="s">
        <v>900</v>
      </c>
      <c r="E370" s="478">
        <f>E371+E374+E377</f>
        <v>7403163</v>
      </c>
      <c r="F370" s="478">
        <f t="shared" ref="F370:P370" si="401">F371+F374+F377</f>
        <v>7403163</v>
      </c>
      <c r="G370" s="478">
        <f>G371+G374+G377</f>
        <v>5498880</v>
      </c>
      <c r="H370" s="478">
        <f t="shared" si="401"/>
        <v>229363</v>
      </c>
      <c r="I370" s="478">
        <f t="shared" si="401"/>
        <v>0</v>
      </c>
      <c r="J370" s="478">
        <f>J371+J374+J377</f>
        <v>4113434</v>
      </c>
      <c r="K370" s="478">
        <f t="shared" si="401"/>
        <v>157000</v>
      </c>
      <c r="L370" s="478">
        <f>L371+L374+L377</f>
        <v>1260434</v>
      </c>
      <c r="M370" s="478">
        <f t="shared" si="401"/>
        <v>0</v>
      </c>
      <c r="N370" s="478">
        <f t="shared" si="401"/>
        <v>0</v>
      </c>
      <c r="O370" s="478">
        <f t="shared" si="401"/>
        <v>2853000</v>
      </c>
      <c r="P370" s="478">
        <f t="shared" si="401"/>
        <v>11516597</v>
      </c>
      <c r="Q370" s="404" t="b">
        <f>P370=P372+P376+P378</f>
        <v>1</v>
      </c>
      <c r="R370" s="49"/>
    </row>
    <row r="371" spans="1:18" ht="47.25" thickTop="1" thickBot="1" x14ac:dyDescent="0.25">
      <c r="A371" s="397" t="s">
        <v>845</v>
      </c>
      <c r="B371" s="397" t="s">
        <v>696</v>
      </c>
      <c r="C371" s="397"/>
      <c r="D371" s="397" t="s">
        <v>697</v>
      </c>
      <c r="E371" s="686">
        <f>SUM(E372:E373)</f>
        <v>7371163</v>
      </c>
      <c r="F371" s="686">
        <f t="shared" ref="F371" si="402">SUM(F372:F373)</f>
        <v>7371163</v>
      </c>
      <c r="G371" s="686">
        <f t="shared" ref="G371" si="403">SUM(G372:G373)</f>
        <v>5498880</v>
      </c>
      <c r="H371" s="686">
        <f t="shared" ref="H371" si="404">SUM(H372:H373)</f>
        <v>229363</v>
      </c>
      <c r="I371" s="686">
        <f t="shared" ref="I371" si="405">SUM(I372:I373)</f>
        <v>0</v>
      </c>
      <c r="J371" s="686">
        <f t="shared" ref="J371" si="406">SUM(J372:J373)</f>
        <v>0</v>
      </c>
      <c r="K371" s="686">
        <f t="shared" ref="K371" si="407">SUM(K372:K373)</f>
        <v>0</v>
      </c>
      <c r="L371" s="686">
        <f t="shared" ref="L371" si="408">SUM(L372:L373)</f>
        <v>0</v>
      </c>
      <c r="M371" s="686">
        <f t="shared" ref="M371" si="409">SUM(M372:M373)</f>
        <v>0</v>
      </c>
      <c r="N371" s="686">
        <f t="shared" ref="N371" si="410">SUM(N372:N373)</f>
        <v>0</v>
      </c>
      <c r="O371" s="686">
        <f>SUM(O372:O373)</f>
        <v>0</v>
      </c>
      <c r="P371" s="686">
        <f t="shared" ref="P371" si="411">SUM(P372:P373)</f>
        <v>7371163</v>
      </c>
      <c r="Q371" s="50"/>
      <c r="R371" s="49"/>
    </row>
    <row r="372" spans="1:18" ht="230.25" thickTop="1" thickBot="1" x14ac:dyDescent="0.25">
      <c r="A372" s="558" t="s">
        <v>428</v>
      </c>
      <c r="B372" s="558" t="s">
        <v>241</v>
      </c>
      <c r="C372" s="558" t="s">
        <v>239</v>
      </c>
      <c r="D372" s="558" t="s">
        <v>240</v>
      </c>
      <c r="E372" s="686">
        <f>F372</f>
        <v>7371163</v>
      </c>
      <c r="F372" s="401">
        <v>7371163</v>
      </c>
      <c r="G372" s="401">
        <v>5498880</v>
      </c>
      <c r="H372" s="401">
        <f>146200+15123+64380+3660</f>
        <v>229363</v>
      </c>
      <c r="I372" s="401"/>
      <c r="J372" s="686">
        <f t="shared" ref="J372:J376" si="412">L372+O372</f>
        <v>0</v>
      </c>
      <c r="K372" s="401"/>
      <c r="L372" s="401"/>
      <c r="M372" s="401"/>
      <c r="N372" s="401"/>
      <c r="O372" s="402">
        <f>K372</f>
        <v>0</v>
      </c>
      <c r="P372" s="686">
        <f t="shared" ref="P372:P376" si="413">E372+J372</f>
        <v>7371163</v>
      </c>
      <c r="Q372" s="50"/>
      <c r="R372" s="49"/>
    </row>
    <row r="373" spans="1:18" ht="184.5" hidden="1" thickTop="1" thickBot="1" x14ac:dyDescent="0.25">
      <c r="A373" s="44" t="s">
        <v>645</v>
      </c>
      <c r="B373" s="44" t="s">
        <v>368</v>
      </c>
      <c r="C373" s="44" t="s">
        <v>637</v>
      </c>
      <c r="D373" s="44" t="s">
        <v>638</v>
      </c>
      <c r="E373" s="197">
        <f>F373</f>
        <v>0</v>
      </c>
      <c r="F373" s="172">
        <v>0</v>
      </c>
      <c r="G373" s="172"/>
      <c r="H373" s="172"/>
      <c r="I373" s="172"/>
      <c r="J373" s="684">
        <f t="shared" si="412"/>
        <v>0</v>
      </c>
      <c r="K373" s="172"/>
      <c r="L373" s="173"/>
      <c r="M373" s="173"/>
      <c r="N373" s="173"/>
      <c r="O373" s="689">
        <f t="shared" ref="O373" si="414">K373</f>
        <v>0</v>
      </c>
      <c r="P373" s="684">
        <f t="shared" ref="P373" si="415">+J373+E373</f>
        <v>0</v>
      </c>
      <c r="Q373" s="50"/>
      <c r="R373" s="49"/>
    </row>
    <row r="374" spans="1:18" ht="47.25" thickTop="1" thickBot="1" x14ac:dyDescent="0.25">
      <c r="A374" s="397" t="s">
        <v>846</v>
      </c>
      <c r="B374" s="397" t="s">
        <v>708</v>
      </c>
      <c r="C374" s="397"/>
      <c r="D374" s="397" t="s">
        <v>709</v>
      </c>
      <c r="E374" s="398">
        <f>E375</f>
        <v>0</v>
      </c>
      <c r="F374" s="398">
        <f t="shared" ref="F374:P375" si="416">F375</f>
        <v>0</v>
      </c>
      <c r="G374" s="398">
        <f t="shared" si="416"/>
        <v>0</v>
      </c>
      <c r="H374" s="398">
        <f t="shared" si="416"/>
        <v>0</v>
      </c>
      <c r="I374" s="398">
        <f t="shared" si="416"/>
        <v>0</v>
      </c>
      <c r="J374" s="398">
        <f t="shared" si="416"/>
        <v>3956434</v>
      </c>
      <c r="K374" s="398">
        <f t="shared" si="416"/>
        <v>0</v>
      </c>
      <c r="L374" s="398">
        <f t="shared" si="416"/>
        <v>1260434</v>
      </c>
      <c r="M374" s="398">
        <f t="shared" si="416"/>
        <v>0</v>
      </c>
      <c r="N374" s="398">
        <f t="shared" si="416"/>
        <v>0</v>
      </c>
      <c r="O374" s="398">
        <f t="shared" si="416"/>
        <v>2696000</v>
      </c>
      <c r="P374" s="398">
        <f t="shared" si="416"/>
        <v>3956434</v>
      </c>
      <c r="Q374" s="50"/>
      <c r="R374" s="49"/>
    </row>
    <row r="375" spans="1:18" ht="91.5" thickTop="1" thickBot="1" x14ac:dyDescent="0.25">
      <c r="A375" s="399" t="s">
        <v>847</v>
      </c>
      <c r="B375" s="399" t="s">
        <v>848</v>
      </c>
      <c r="C375" s="399"/>
      <c r="D375" s="399" t="s">
        <v>849</v>
      </c>
      <c r="E375" s="400">
        <f>E376</f>
        <v>0</v>
      </c>
      <c r="F375" s="400">
        <f t="shared" si="416"/>
        <v>0</v>
      </c>
      <c r="G375" s="400">
        <f t="shared" si="416"/>
        <v>0</v>
      </c>
      <c r="H375" s="400">
        <f t="shared" si="416"/>
        <v>0</v>
      </c>
      <c r="I375" s="400">
        <f t="shared" si="416"/>
        <v>0</v>
      </c>
      <c r="J375" s="400">
        <f t="shared" si="416"/>
        <v>3956434</v>
      </c>
      <c r="K375" s="400">
        <f t="shared" ref="K375:P375" si="417">K376</f>
        <v>0</v>
      </c>
      <c r="L375" s="400">
        <f t="shared" si="417"/>
        <v>1260434</v>
      </c>
      <c r="M375" s="400">
        <f t="shared" si="417"/>
        <v>0</v>
      </c>
      <c r="N375" s="400">
        <f t="shared" si="417"/>
        <v>0</v>
      </c>
      <c r="O375" s="400">
        <f t="shared" si="417"/>
        <v>2696000</v>
      </c>
      <c r="P375" s="400">
        <f t="shared" si="417"/>
        <v>3956434</v>
      </c>
      <c r="Q375" s="50"/>
      <c r="R375" s="49"/>
    </row>
    <row r="376" spans="1:18" ht="93" thickTop="1" thickBot="1" x14ac:dyDescent="0.25">
      <c r="A376" s="132" t="s">
        <v>1173</v>
      </c>
      <c r="B376" s="132" t="s">
        <v>1174</v>
      </c>
      <c r="C376" s="132" t="s">
        <v>51</v>
      </c>
      <c r="D376" s="132" t="s">
        <v>1175</v>
      </c>
      <c r="E376" s="686">
        <v>0</v>
      </c>
      <c r="F376" s="401"/>
      <c r="G376" s="401"/>
      <c r="H376" s="401"/>
      <c r="I376" s="401"/>
      <c r="J376" s="686">
        <f t="shared" si="412"/>
        <v>3956434</v>
      </c>
      <c r="K376" s="686"/>
      <c r="L376" s="401">
        <f>(476000)+46434+40000+520000+100000+78000</f>
        <v>1260434</v>
      </c>
      <c r="M376" s="401"/>
      <c r="N376" s="401"/>
      <c r="O376" s="402">
        <f>(K376+874000)+13000+420000+1200000+189000</f>
        <v>2696000</v>
      </c>
      <c r="P376" s="686">
        <f t="shared" si="413"/>
        <v>3956434</v>
      </c>
      <c r="Q376" s="404" t="b">
        <f>J376='d9'!F29</f>
        <v>1</v>
      </c>
    </row>
    <row r="377" spans="1:18" s="118" customFormat="1" ht="47.25" thickTop="1" thickBot="1" x14ac:dyDescent="0.25">
      <c r="A377" s="397" t="s">
        <v>1312</v>
      </c>
      <c r="B377" s="397" t="s">
        <v>714</v>
      </c>
      <c r="C377" s="397"/>
      <c r="D377" s="397" t="s">
        <v>715</v>
      </c>
      <c r="E377" s="686">
        <f t="shared" ref="E377:L377" si="418">E378</f>
        <v>32000</v>
      </c>
      <c r="F377" s="686">
        <f t="shared" si="418"/>
        <v>32000</v>
      </c>
      <c r="G377" s="686">
        <f t="shared" si="418"/>
        <v>0</v>
      </c>
      <c r="H377" s="686">
        <f t="shared" si="418"/>
        <v>0</v>
      </c>
      <c r="I377" s="686">
        <f t="shared" si="418"/>
        <v>0</v>
      </c>
      <c r="J377" s="686">
        <f t="shared" si="418"/>
        <v>157000</v>
      </c>
      <c r="K377" s="686">
        <f t="shared" si="418"/>
        <v>157000</v>
      </c>
      <c r="L377" s="686">
        <f t="shared" si="418"/>
        <v>0</v>
      </c>
      <c r="M377" s="686">
        <f t="shared" ref="M377:P377" si="419">M378</f>
        <v>0</v>
      </c>
      <c r="N377" s="686">
        <f t="shared" si="419"/>
        <v>0</v>
      </c>
      <c r="O377" s="686">
        <f t="shared" si="419"/>
        <v>157000</v>
      </c>
      <c r="P377" s="686">
        <f t="shared" si="419"/>
        <v>189000</v>
      </c>
      <c r="Q377" s="50"/>
      <c r="R377" s="22"/>
    </row>
    <row r="378" spans="1:18" s="118" customFormat="1" ht="271.5" thickTop="1" thickBot="1" x14ac:dyDescent="0.25">
      <c r="A378" s="399" t="s">
        <v>1311</v>
      </c>
      <c r="B378" s="399" t="s">
        <v>521</v>
      </c>
      <c r="C378" s="399" t="s">
        <v>43</v>
      </c>
      <c r="D378" s="399" t="s">
        <v>522</v>
      </c>
      <c r="E378" s="403">
        <f t="shared" ref="E378" si="420">F378</f>
        <v>32000</v>
      </c>
      <c r="F378" s="403">
        <f>19000+13000</f>
        <v>32000</v>
      </c>
      <c r="G378" s="403"/>
      <c r="H378" s="403"/>
      <c r="I378" s="403"/>
      <c r="J378" s="403">
        <f>L378+O378</f>
        <v>157000</v>
      </c>
      <c r="K378" s="401">
        <f>77000+80000</f>
        <v>157000</v>
      </c>
      <c r="L378" s="403"/>
      <c r="M378" s="403"/>
      <c r="N378" s="403"/>
      <c r="O378" s="403">
        <f>(K378+0)</f>
        <v>157000</v>
      </c>
      <c r="P378" s="403">
        <f>E378+J378</f>
        <v>189000</v>
      </c>
      <c r="Q378" s="50"/>
      <c r="R378" s="22"/>
    </row>
    <row r="379" spans="1:18" ht="181.5" thickTop="1" thickBot="1" x14ac:dyDescent="0.25">
      <c r="A379" s="472" t="s">
        <v>163</v>
      </c>
      <c r="B379" s="472"/>
      <c r="C379" s="472"/>
      <c r="D379" s="473" t="s">
        <v>912</v>
      </c>
      <c r="E379" s="475">
        <f>E380</f>
        <v>10577600</v>
      </c>
      <c r="F379" s="474">
        <f t="shared" ref="F379:G379" si="421">F380</f>
        <v>10577600</v>
      </c>
      <c r="G379" s="474">
        <f t="shared" si="421"/>
        <v>7843804</v>
      </c>
      <c r="H379" s="474">
        <f>H380</f>
        <v>304000</v>
      </c>
      <c r="I379" s="474">
        <f t="shared" ref="I379" si="422">I380</f>
        <v>0</v>
      </c>
      <c r="J379" s="475">
        <f>J380</f>
        <v>408000</v>
      </c>
      <c r="K379" s="474">
        <f>K380</f>
        <v>408000</v>
      </c>
      <c r="L379" s="474">
        <f>L380</f>
        <v>0</v>
      </c>
      <c r="M379" s="474">
        <f t="shared" ref="M379" si="423">M380</f>
        <v>0</v>
      </c>
      <c r="N379" s="474">
        <f>N380</f>
        <v>0</v>
      </c>
      <c r="O379" s="475">
        <f>O380</f>
        <v>408000</v>
      </c>
      <c r="P379" s="474">
        <f t="shared" ref="P379" si="424">P380</f>
        <v>10985600</v>
      </c>
      <c r="Q379" s="22"/>
    </row>
    <row r="380" spans="1:18" ht="226.5" thickTop="1" thickBot="1" x14ac:dyDescent="0.25">
      <c r="A380" s="476" t="s">
        <v>164</v>
      </c>
      <c r="B380" s="476"/>
      <c r="C380" s="476"/>
      <c r="D380" s="477" t="s">
        <v>911</v>
      </c>
      <c r="E380" s="478">
        <f>E381+E383</f>
        <v>10577600</v>
      </c>
      <c r="F380" s="478">
        <f t="shared" ref="F380:I380" si="425">F381+F383</f>
        <v>10577600</v>
      </c>
      <c r="G380" s="478">
        <f t="shared" si="425"/>
        <v>7843804</v>
      </c>
      <c r="H380" s="478">
        <f t="shared" si="425"/>
        <v>304000</v>
      </c>
      <c r="I380" s="478">
        <f t="shared" si="425"/>
        <v>0</v>
      </c>
      <c r="J380" s="478">
        <f>L380+O380</f>
        <v>408000</v>
      </c>
      <c r="K380" s="478">
        <f t="shared" ref="K380:O380" si="426">K381+K383</f>
        <v>408000</v>
      </c>
      <c r="L380" s="478">
        <f t="shared" si="426"/>
        <v>0</v>
      </c>
      <c r="M380" s="478">
        <f t="shared" si="426"/>
        <v>0</v>
      </c>
      <c r="N380" s="478">
        <f t="shared" si="426"/>
        <v>0</v>
      </c>
      <c r="O380" s="478">
        <f t="shared" si="426"/>
        <v>408000</v>
      </c>
      <c r="P380" s="478">
        <f>E380+J380</f>
        <v>10985600</v>
      </c>
      <c r="Q380" s="404" t="b">
        <f>P380=P385+P387+P382</f>
        <v>1</v>
      </c>
      <c r="R380" s="48"/>
    </row>
    <row r="381" spans="1:18" ht="47.25" thickTop="1" thickBot="1" x14ac:dyDescent="0.25">
      <c r="A381" s="397" t="s">
        <v>850</v>
      </c>
      <c r="B381" s="397" t="s">
        <v>696</v>
      </c>
      <c r="C381" s="397"/>
      <c r="D381" s="397" t="s">
        <v>697</v>
      </c>
      <c r="E381" s="686">
        <f>SUM(E382)</f>
        <v>10387600</v>
      </c>
      <c r="F381" s="686">
        <f t="shared" ref="F381:P381" si="427">SUM(F382)</f>
        <v>10387600</v>
      </c>
      <c r="G381" s="686">
        <f t="shared" si="427"/>
        <v>7843804</v>
      </c>
      <c r="H381" s="686">
        <f t="shared" si="427"/>
        <v>304000</v>
      </c>
      <c r="I381" s="686">
        <f t="shared" si="427"/>
        <v>0</v>
      </c>
      <c r="J381" s="686">
        <f t="shared" si="427"/>
        <v>85500</v>
      </c>
      <c r="K381" s="686">
        <f t="shared" si="427"/>
        <v>85500</v>
      </c>
      <c r="L381" s="686">
        <f t="shared" si="427"/>
        <v>0</v>
      </c>
      <c r="M381" s="686">
        <f t="shared" si="427"/>
        <v>0</v>
      </c>
      <c r="N381" s="686">
        <f t="shared" si="427"/>
        <v>0</v>
      </c>
      <c r="O381" s="686">
        <f t="shared" si="427"/>
        <v>85500</v>
      </c>
      <c r="P381" s="686">
        <f t="shared" si="427"/>
        <v>10473100</v>
      </c>
      <c r="Q381" s="50"/>
      <c r="R381" s="48"/>
    </row>
    <row r="382" spans="1:18" ht="230.25" thickTop="1" thickBot="1" x14ac:dyDescent="0.25">
      <c r="A382" s="558" t="s">
        <v>424</v>
      </c>
      <c r="B382" s="558" t="s">
        <v>241</v>
      </c>
      <c r="C382" s="558" t="s">
        <v>239</v>
      </c>
      <c r="D382" s="558" t="s">
        <v>240</v>
      </c>
      <c r="E382" s="686">
        <f>F382</f>
        <v>10387600</v>
      </c>
      <c r="F382" s="401">
        <f>(10277600)+40000+20000+50000</f>
        <v>10387600</v>
      </c>
      <c r="G382" s="401">
        <v>7843804</v>
      </c>
      <c r="H382" s="401">
        <f>240000+4000+60000</f>
        <v>304000</v>
      </c>
      <c r="I382" s="401"/>
      <c r="J382" s="686">
        <f>L382+O382</f>
        <v>85500</v>
      </c>
      <c r="K382" s="401">
        <v>85500</v>
      </c>
      <c r="L382" s="401"/>
      <c r="M382" s="401"/>
      <c r="N382" s="401"/>
      <c r="O382" s="402">
        <f>K382</f>
        <v>85500</v>
      </c>
      <c r="P382" s="686">
        <f>E382+J382</f>
        <v>10473100</v>
      </c>
      <c r="Q382" s="22"/>
      <c r="R382" s="48"/>
    </row>
    <row r="383" spans="1:18" ht="47.25" thickTop="1" thickBot="1" x14ac:dyDescent="0.25">
      <c r="A383" s="397" t="s">
        <v>851</v>
      </c>
      <c r="B383" s="397" t="s">
        <v>760</v>
      </c>
      <c r="C383" s="558"/>
      <c r="D383" s="397" t="s">
        <v>807</v>
      </c>
      <c r="E383" s="686">
        <f t="shared" ref="E383:P383" si="428">E384+E386</f>
        <v>190000</v>
      </c>
      <c r="F383" s="686">
        <f t="shared" si="428"/>
        <v>190000</v>
      </c>
      <c r="G383" s="686">
        <f t="shared" si="428"/>
        <v>0</v>
      </c>
      <c r="H383" s="686">
        <f t="shared" si="428"/>
        <v>0</v>
      </c>
      <c r="I383" s="686">
        <f t="shared" si="428"/>
        <v>0</v>
      </c>
      <c r="J383" s="686">
        <f t="shared" si="428"/>
        <v>322500</v>
      </c>
      <c r="K383" s="686">
        <f t="shared" si="428"/>
        <v>322500</v>
      </c>
      <c r="L383" s="686">
        <f t="shared" si="428"/>
        <v>0</v>
      </c>
      <c r="M383" s="686">
        <f t="shared" si="428"/>
        <v>0</v>
      </c>
      <c r="N383" s="686">
        <f t="shared" si="428"/>
        <v>0</v>
      </c>
      <c r="O383" s="686">
        <f t="shared" si="428"/>
        <v>322500</v>
      </c>
      <c r="P383" s="686">
        <f t="shared" si="428"/>
        <v>512500</v>
      </c>
      <c r="Q383" s="22"/>
      <c r="R383" s="50"/>
    </row>
    <row r="384" spans="1:18" ht="136.5" thickTop="1" thickBot="1" x14ac:dyDescent="0.25">
      <c r="A384" s="399" t="s">
        <v>852</v>
      </c>
      <c r="B384" s="399" t="s">
        <v>853</v>
      </c>
      <c r="C384" s="399"/>
      <c r="D384" s="399" t="s">
        <v>854</v>
      </c>
      <c r="E384" s="403">
        <f>SUM(E385)</f>
        <v>190000</v>
      </c>
      <c r="F384" s="403">
        <f t="shared" ref="F384:P384" si="429">SUM(F385)</f>
        <v>190000</v>
      </c>
      <c r="G384" s="403">
        <f t="shared" si="429"/>
        <v>0</v>
      </c>
      <c r="H384" s="403">
        <f t="shared" si="429"/>
        <v>0</v>
      </c>
      <c r="I384" s="403">
        <f t="shared" si="429"/>
        <v>0</v>
      </c>
      <c r="J384" s="403">
        <f t="shared" si="429"/>
        <v>210000</v>
      </c>
      <c r="K384" s="403">
        <f t="shared" si="429"/>
        <v>210000</v>
      </c>
      <c r="L384" s="403">
        <f t="shared" si="429"/>
        <v>0</v>
      </c>
      <c r="M384" s="403">
        <f t="shared" si="429"/>
        <v>0</v>
      </c>
      <c r="N384" s="403">
        <f t="shared" si="429"/>
        <v>0</v>
      </c>
      <c r="O384" s="403">
        <f t="shared" si="429"/>
        <v>210000</v>
      </c>
      <c r="P384" s="403">
        <f t="shared" si="429"/>
        <v>400000</v>
      </c>
      <c r="Q384" s="22"/>
      <c r="R384" s="50"/>
    </row>
    <row r="385" spans="1:19" ht="93" thickTop="1" thickBot="1" x14ac:dyDescent="0.25">
      <c r="A385" s="558" t="s">
        <v>312</v>
      </c>
      <c r="B385" s="558" t="s">
        <v>313</v>
      </c>
      <c r="C385" s="558" t="s">
        <v>314</v>
      </c>
      <c r="D385" s="558" t="s">
        <v>468</v>
      </c>
      <c r="E385" s="686">
        <f>F385</f>
        <v>190000</v>
      </c>
      <c r="F385" s="401">
        <v>190000</v>
      </c>
      <c r="G385" s="401"/>
      <c r="H385" s="401"/>
      <c r="I385" s="401"/>
      <c r="J385" s="686">
        <f>L385+O385</f>
        <v>210000</v>
      </c>
      <c r="K385" s="401">
        <v>210000</v>
      </c>
      <c r="L385" s="401"/>
      <c r="M385" s="401"/>
      <c r="N385" s="401"/>
      <c r="O385" s="402">
        <f>K385</f>
        <v>210000</v>
      </c>
      <c r="P385" s="686">
        <f>E385+J385</f>
        <v>400000</v>
      </c>
      <c r="Q385" s="22"/>
      <c r="R385" s="48"/>
    </row>
    <row r="386" spans="1:19" ht="136.5" thickTop="1" thickBot="1" x14ac:dyDescent="0.25">
      <c r="A386" s="399" t="s">
        <v>855</v>
      </c>
      <c r="B386" s="399" t="s">
        <v>703</v>
      </c>
      <c r="C386" s="558"/>
      <c r="D386" s="399" t="s">
        <v>856</v>
      </c>
      <c r="E386" s="403">
        <f>SUM(E387)</f>
        <v>0</v>
      </c>
      <c r="F386" s="403">
        <f t="shared" ref="F386:P386" si="430">SUM(F387)</f>
        <v>0</v>
      </c>
      <c r="G386" s="403">
        <f t="shared" si="430"/>
        <v>0</v>
      </c>
      <c r="H386" s="403">
        <f t="shared" si="430"/>
        <v>0</v>
      </c>
      <c r="I386" s="403">
        <f t="shared" si="430"/>
        <v>0</v>
      </c>
      <c r="J386" s="403">
        <f t="shared" si="430"/>
        <v>112500</v>
      </c>
      <c r="K386" s="403">
        <f t="shared" si="430"/>
        <v>112500</v>
      </c>
      <c r="L386" s="403">
        <f t="shared" si="430"/>
        <v>0</v>
      </c>
      <c r="M386" s="403">
        <f t="shared" si="430"/>
        <v>0</v>
      </c>
      <c r="N386" s="403">
        <f t="shared" si="430"/>
        <v>0</v>
      </c>
      <c r="O386" s="403">
        <f t="shared" si="430"/>
        <v>112500</v>
      </c>
      <c r="P386" s="403">
        <f t="shared" si="430"/>
        <v>112500</v>
      </c>
      <c r="Q386" s="22"/>
    </row>
    <row r="387" spans="1:19" ht="138.75" thickTop="1" thickBot="1" x14ac:dyDescent="0.25">
      <c r="A387" s="558" t="s">
        <v>374</v>
      </c>
      <c r="B387" s="558" t="s">
        <v>375</v>
      </c>
      <c r="C387" s="558" t="s">
        <v>171</v>
      </c>
      <c r="D387" s="558" t="s">
        <v>376</v>
      </c>
      <c r="E387" s="686">
        <f>F387</f>
        <v>0</v>
      </c>
      <c r="F387" s="401"/>
      <c r="G387" s="401"/>
      <c r="H387" s="401"/>
      <c r="I387" s="401"/>
      <c r="J387" s="686">
        <f>L387+O387</f>
        <v>112500</v>
      </c>
      <c r="K387" s="401">
        <f>(90000)+22500</f>
        <v>112500</v>
      </c>
      <c r="L387" s="401"/>
      <c r="M387" s="401"/>
      <c r="N387" s="401"/>
      <c r="O387" s="402">
        <f>K387</f>
        <v>112500</v>
      </c>
      <c r="P387" s="686">
        <f>E387+J387</f>
        <v>112500</v>
      </c>
      <c r="Q387" s="22"/>
      <c r="R387" s="48"/>
    </row>
    <row r="388" spans="1:19" ht="136.5" thickTop="1" thickBot="1" x14ac:dyDescent="0.25">
      <c r="A388" s="472" t="s">
        <v>169</v>
      </c>
      <c r="B388" s="472"/>
      <c r="C388" s="472"/>
      <c r="D388" s="473" t="s">
        <v>27</v>
      </c>
      <c r="E388" s="475">
        <f>E389</f>
        <v>409662694.88</v>
      </c>
      <c r="F388" s="474">
        <f t="shared" ref="F388:G388" si="431">F389</f>
        <v>409662694.88</v>
      </c>
      <c r="G388" s="474">
        <f t="shared" si="431"/>
        <v>8214383</v>
      </c>
      <c r="H388" s="474">
        <f>H389</f>
        <v>319894</v>
      </c>
      <c r="I388" s="474">
        <f t="shared" ref="I388" si="432">I389</f>
        <v>0</v>
      </c>
      <c r="J388" s="475">
        <f>J389</f>
        <v>0</v>
      </c>
      <c r="K388" s="474">
        <f>K389</f>
        <v>0</v>
      </c>
      <c r="L388" s="474">
        <f>L389</f>
        <v>0</v>
      </c>
      <c r="M388" s="474">
        <f t="shared" ref="M388" si="433">M389</f>
        <v>0</v>
      </c>
      <c r="N388" s="474">
        <f>N389</f>
        <v>0</v>
      </c>
      <c r="O388" s="475">
        <f>O389</f>
        <v>0</v>
      </c>
      <c r="P388" s="474">
        <f t="shared" ref="P388" si="434">P389</f>
        <v>409662694.88</v>
      </c>
      <c r="Q388" s="22"/>
    </row>
    <row r="389" spans="1:19" ht="181.5" thickTop="1" thickBot="1" x14ac:dyDescent="0.25">
      <c r="A389" s="476" t="s">
        <v>170</v>
      </c>
      <c r="B389" s="476"/>
      <c r="C389" s="476"/>
      <c r="D389" s="477" t="s">
        <v>40</v>
      </c>
      <c r="E389" s="478">
        <f>E390+E396+E403+E393</f>
        <v>409662694.88</v>
      </c>
      <c r="F389" s="478">
        <f t="shared" ref="F389:P389" si="435">F390+F396+F403+F393</f>
        <v>409662694.88</v>
      </c>
      <c r="G389" s="478">
        <f t="shared" si="435"/>
        <v>8214383</v>
      </c>
      <c r="H389" s="478">
        <f t="shared" si="435"/>
        <v>319894</v>
      </c>
      <c r="I389" s="478">
        <f t="shared" si="435"/>
        <v>0</v>
      </c>
      <c r="J389" s="478">
        <f t="shared" si="435"/>
        <v>0</v>
      </c>
      <c r="K389" s="478">
        <f t="shared" si="435"/>
        <v>0</v>
      </c>
      <c r="L389" s="478">
        <f t="shared" si="435"/>
        <v>0</v>
      </c>
      <c r="M389" s="478">
        <f t="shared" si="435"/>
        <v>0</v>
      </c>
      <c r="N389" s="478">
        <f t="shared" si="435"/>
        <v>0</v>
      </c>
      <c r="O389" s="478">
        <f t="shared" si="435"/>
        <v>0</v>
      </c>
      <c r="P389" s="478">
        <f t="shared" si="435"/>
        <v>409662694.88</v>
      </c>
      <c r="Q389" s="404" t="b">
        <f>P389=P391+P397+P399+P405</f>
        <v>1</v>
      </c>
      <c r="R389" s="48"/>
    </row>
    <row r="390" spans="1:19" ht="47.25" thickTop="1" thickBot="1" x14ac:dyDescent="0.25">
      <c r="A390" s="397" t="s">
        <v>857</v>
      </c>
      <c r="B390" s="397" t="s">
        <v>696</v>
      </c>
      <c r="C390" s="397"/>
      <c r="D390" s="397" t="s">
        <v>697</v>
      </c>
      <c r="E390" s="686">
        <f>SUM(E391:E392)</f>
        <v>10739200</v>
      </c>
      <c r="F390" s="686">
        <f t="shared" ref="F390:P390" si="436">SUM(F391:F392)</f>
        <v>10739200</v>
      </c>
      <c r="G390" s="686">
        <f t="shared" si="436"/>
        <v>8214383</v>
      </c>
      <c r="H390" s="686">
        <f t="shared" si="436"/>
        <v>319894</v>
      </c>
      <c r="I390" s="686">
        <f t="shared" si="436"/>
        <v>0</v>
      </c>
      <c r="J390" s="686">
        <f t="shared" si="436"/>
        <v>0</v>
      </c>
      <c r="K390" s="686">
        <f t="shared" si="436"/>
        <v>0</v>
      </c>
      <c r="L390" s="686">
        <f t="shared" si="436"/>
        <v>0</v>
      </c>
      <c r="M390" s="686">
        <f t="shared" si="436"/>
        <v>0</v>
      </c>
      <c r="N390" s="686">
        <f t="shared" si="436"/>
        <v>0</v>
      </c>
      <c r="O390" s="686">
        <f t="shared" si="436"/>
        <v>0</v>
      </c>
      <c r="P390" s="686">
        <f t="shared" si="436"/>
        <v>10739200</v>
      </c>
      <c r="Q390" s="50"/>
      <c r="R390" s="53"/>
    </row>
    <row r="391" spans="1:19" ht="230.25" thickTop="1" thickBot="1" x14ac:dyDescent="0.25">
      <c r="A391" s="558" t="s">
        <v>426</v>
      </c>
      <c r="B391" s="558" t="s">
        <v>241</v>
      </c>
      <c r="C391" s="558" t="s">
        <v>239</v>
      </c>
      <c r="D391" s="685" t="s">
        <v>240</v>
      </c>
      <c r="E391" s="686">
        <f>F391</f>
        <v>10739200</v>
      </c>
      <c r="F391" s="401">
        <v>10739200</v>
      </c>
      <c r="G391" s="401">
        <v>8214383</v>
      </c>
      <c r="H391" s="401">
        <f>144480+6318+160000+9096</f>
        <v>319894</v>
      </c>
      <c r="I391" s="401"/>
      <c r="J391" s="686">
        <f>L391+O391</f>
        <v>0</v>
      </c>
      <c r="K391" s="401"/>
      <c r="L391" s="401"/>
      <c r="M391" s="401"/>
      <c r="N391" s="401"/>
      <c r="O391" s="402">
        <f>K391</f>
        <v>0</v>
      </c>
      <c r="P391" s="686">
        <f>E391+J391</f>
        <v>10739200</v>
      </c>
      <c r="Q391" s="50"/>
      <c r="R391" s="53"/>
      <c r="S391" s="50"/>
    </row>
    <row r="392" spans="1:19" ht="184.5" hidden="1" thickTop="1" thickBot="1" x14ac:dyDescent="0.25">
      <c r="A392" s="171" t="s">
        <v>646</v>
      </c>
      <c r="B392" s="171" t="s">
        <v>368</v>
      </c>
      <c r="C392" s="171" t="s">
        <v>637</v>
      </c>
      <c r="D392" s="688" t="s">
        <v>638</v>
      </c>
      <c r="E392" s="197">
        <f>F392</f>
        <v>0</v>
      </c>
      <c r="F392" s="172"/>
      <c r="G392" s="172"/>
      <c r="H392" s="172"/>
      <c r="I392" s="172"/>
      <c r="J392" s="684">
        <f t="shared" ref="J392" si="437">L392+O392</f>
        <v>0</v>
      </c>
      <c r="K392" s="172"/>
      <c r="L392" s="173"/>
      <c r="M392" s="173"/>
      <c r="N392" s="173"/>
      <c r="O392" s="689">
        <f t="shared" ref="O392" si="438">K392</f>
        <v>0</v>
      </c>
      <c r="P392" s="684">
        <f t="shared" ref="P392" si="439">+J392+E392</f>
        <v>0</v>
      </c>
      <c r="Q392" s="50"/>
      <c r="R392" s="53"/>
    </row>
    <row r="393" spans="1:19" s="118" customFormat="1" ht="136.5" hidden="1" thickTop="1" thickBot="1" x14ac:dyDescent="0.25">
      <c r="A393" s="179" t="s">
        <v>1256</v>
      </c>
      <c r="B393" s="179" t="s">
        <v>703</v>
      </c>
      <c r="C393" s="179"/>
      <c r="D393" s="179" t="s">
        <v>701</v>
      </c>
      <c r="E393" s="211">
        <f>E394</f>
        <v>0</v>
      </c>
      <c r="F393" s="211">
        <f t="shared" ref="F393:P394" si="440">F394</f>
        <v>0</v>
      </c>
      <c r="G393" s="211">
        <f t="shared" si="440"/>
        <v>0</v>
      </c>
      <c r="H393" s="211">
        <f t="shared" si="440"/>
        <v>0</v>
      </c>
      <c r="I393" s="211">
        <f t="shared" si="440"/>
        <v>0</v>
      </c>
      <c r="J393" s="211">
        <f t="shared" si="440"/>
        <v>0</v>
      </c>
      <c r="K393" s="211">
        <f t="shared" si="440"/>
        <v>0</v>
      </c>
      <c r="L393" s="211">
        <f t="shared" si="440"/>
        <v>0</v>
      </c>
      <c r="M393" s="211">
        <f t="shared" si="440"/>
        <v>0</v>
      </c>
      <c r="N393" s="211">
        <f t="shared" si="440"/>
        <v>0</v>
      </c>
      <c r="O393" s="211">
        <f t="shared" si="440"/>
        <v>0</v>
      </c>
      <c r="P393" s="211">
        <f t="shared" si="440"/>
        <v>0</v>
      </c>
      <c r="Q393" s="50"/>
      <c r="R393" s="53"/>
    </row>
    <row r="394" spans="1:19" s="118" customFormat="1" ht="48" hidden="1" thickTop="1" thickBot="1" x14ac:dyDescent="0.25">
      <c r="A394" s="183" t="s">
        <v>1257</v>
      </c>
      <c r="B394" s="183" t="s">
        <v>706</v>
      </c>
      <c r="C394" s="183"/>
      <c r="D394" s="183" t="s">
        <v>704</v>
      </c>
      <c r="E394" s="184">
        <f>E395</f>
        <v>0</v>
      </c>
      <c r="F394" s="184">
        <f t="shared" si="440"/>
        <v>0</v>
      </c>
      <c r="G394" s="184">
        <f t="shared" si="440"/>
        <v>0</v>
      </c>
      <c r="H394" s="184">
        <f t="shared" si="440"/>
        <v>0</v>
      </c>
      <c r="I394" s="184">
        <f t="shared" si="440"/>
        <v>0</v>
      </c>
      <c r="J394" s="184">
        <f t="shared" si="440"/>
        <v>0</v>
      </c>
      <c r="K394" s="184">
        <f t="shared" si="440"/>
        <v>0</v>
      </c>
      <c r="L394" s="184">
        <f t="shared" si="440"/>
        <v>0</v>
      </c>
      <c r="M394" s="184">
        <f t="shared" si="440"/>
        <v>0</v>
      </c>
      <c r="N394" s="184">
        <f t="shared" si="440"/>
        <v>0</v>
      </c>
      <c r="O394" s="184">
        <f t="shared" si="440"/>
        <v>0</v>
      </c>
      <c r="P394" s="184">
        <f t="shared" si="440"/>
        <v>0</v>
      </c>
      <c r="Q394" s="50"/>
      <c r="R394" s="53"/>
    </row>
    <row r="395" spans="1:19" s="118" customFormat="1" ht="93" hidden="1" thickTop="1" thickBot="1" x14ac:dyDescent="0.25">
      <c r="A395" s="171" t="s">
        <v>1258</v>
      </c>
      <c r="B395" s="171" t="s">
        <v>262</v>
      </c>
      <c r="C395" s="171" t="s">
        <v>171</v>
      </c>
      <c r="D395" s="688" t="s">
        <v>260</v>
      </c>
      <c r="E395" s="684">
        <f t="shared" ref="E395" si="441">F395</f>
        <v>0</v>
      </c>
      <c r="F395" s="177"/>
      <c r="G395" s="177"/>
      <c r="H395" s="177"/>
      <c r="I395" s="177"/>
      <c r="J395" s="684">
        <f t="shared" ref="J395" si="442">L395+O395</f>
        <v>0</v>
      </c>
      <c r="K395" s="177"/>
      <c r="L395" s="177"/>
      <c r="M395" s="177"/>
      <c r="N395" s="177"/>
      <c r="O395" s="689">
        <f>K395</f>
        <v>0</v>
      </c>
      <c r="P395" s="684">
        <f t="shared" ref="P395" si="443">E395+J395</f>
        <v>0</v>
      </c>
      <c r="Q395" s="50"/>
      <c r="R395" s="53"/>
    </row>
    <row r="396" spans="1:19" ht="47.25" thickTop="1" thickBot="1" x14ac:dyDescent="0.25">
      <c r="A396" s="397" t="s">
        <v>858</v>
      </c>
      <c r="B396" s="397" t="s">
        <v>708</v>
      </c>
      <c r="C396" s="397"/>
      <c r="D396" s="397" t="s">
        <v>709</v>
      </c>
      <c r="E396" s="398">
        <f t="shared" ref="E396:P396" si="444">E397+E398+E400</f>
        <v>70822794.879999995</v>
      </c>
      <c r="F396" s="398">
        <f t="shared" si="444"/>
        <v>70822794.879999995</v>
      </c>
      <c r="G396" s="398">
        <f t="shared" si="444"/>
        <v>0</v>
      </c>
      <c r="H396" s="398">
        <f t="shared" si="444"/>
        <v>0</v>
      </c>
      <c r="I396" s="398">
        <f t="shared" si="444"/>
        <v>0</v>
      </c>
      <c r="J396" s="398">
        <f t="shared" si="444"/>
        <v>0</v>
      </c>
      <c r="K396" s="398">
        <f t="shared" si="444"/>
        <v>0</v>
      </c>
      <c r="L396" s="398">
        <f t="shared" si="444"/>
        <v>0</v>
      </c>
      <c r="M396" s="398">
        <f t="shared" si="444"/>
        <v>0</v>
      </c>
      <c r="N396" s="398">
        <f t="shared" si="444"/>
        <v>0</v>
      </c>
      <c r="O396" s="398">
        <f t="shared" si="444"/>
        <v>0</v>
      </c>
      <c r="P396" s="398">
        <f t="shared" si="444"/>
        <v>70822794.879999995</v>
      </c>
      <c r="Q396" s="50"/>
      <c r="R396" s="53"/>
    </row>
    <row r="397" spans="1:19" ht="91.5" thickTop="1" thickBot="1" x14ac:dyDescent="0.25">
      <c r="A397" s="589">
        <v>3718600</v>
      </c>
      <c r="B397" s="589">
        <v>8600</v>
      </c>
      <c r="C397" s="399" t="s">
        <v>368</v>
      </c>
      <c r="D397" s="589" t="s">
        <v>459</v>
      </c>
      <c r="E397" s="403">
        <f>F397</f>
        <v>1306400</v>
      </c>
      <c r="F397" s="403">
        <f>1306400</f>
        <v>1306400</v>
      </c>
      <c r="G397" s="403"/>
      <c r="H397" s="403"/>
      <c r="I397" s="403"/>
      <c r="J397" s="403">
        <f>L397+O397</f>
        <v>0</v>
      </c>
      <c r="K397" s="403"/>
      <c r="L397" s="403"/>
      <c r="M397" s="403"/>
      <c r="N397" s="403"/>
      <c r="O397" s="601">
        <f>K397</f>
        <v>0</v>
      </c>
      <c r="P397" s="403">
        <f>E397+J397</f>
        <v>1306400</v>
      </c>
      <c r="Q397" s="22"/>
    </row>
    <row r="398" spans="1:19" ht="47.25" thickTop="1" thickBot="1" x14ac:dyDescent="0.25">
      <c r="A398" s="589">
        <v>3718700</v>
      </c>
      <c r="B398" s="589">
        <v>8700</v>
      </c>
      <c r="C398" s="399"/>
      <c r="D398" s="589" t="s">
        <v>859</v>
      </c>
      <c r="E398" s="403">
        <f t="shared" ref="E398:P398" si="445">E399</f>
        <v>69516394.879999995</v>
      </c>
      <c r="F398" s="403">
        <f t="shared" si="445"/>
        <v>69516394.879999995</v>
      </c>
      <c r="G398" s="403">
        <f t="shared" si="445"/>
        <v>0</v>
      </c>
      <c r="H398" s="403">
        <f t="shared" si="445"/>
        <v>0</v>
      </c>
      <c r="I398" s="403">
        <f t="shared" si="445"/>
        <v>0</v>
      </c>
      <c r="J398" s="403">
        <f t="shared" si="445"/>
        <v>0</v>
      </c>
      <c r="K398" s="403">
        <f t="shared" si="445"/>
        <v>0</v>
      </c>
      <c r="L398" s="403">
        <f t="shared" si="445"/>
        <v>0</v>
      </c>
      <c r="M398" s="403">
        <f t="shared" si="445"/>
        <v>0</v>
      </c>
      <c r="N398" s="403">
        <f t="shared" si="445"/>
        <v>0</v>
      </c>
      <c r="O398" s="403">
        <f t="shared" si="445"/>
        <v>0</v>
      </c>
      <c r="P398" s="403">
        <f t="shared" si="445"/>
        <v>69516394.879999995</v>
      </c>
      <c r="Q398" s="22"/>
    </row>
    <row r="399" spans="1:19" ht="93" thickTop="1" thickBot="1" x14ac:dyDescent="0.25">
      <c r="A399" s="469">
        <v>3718710</v>
      </c>
      <c r="B399" s="469">
        <v>8710</v>
      </c>
      <c r="C399" s="558" t="s">
        <v>42</v>
      </c>
      <c r="D399" s="482" t="s">
        <v>652</v>
      </c>
      <c r="E399" s="686">
        <f>F399</f>
        <v>69516394.879999995</v>
      </c>
      <c r="F399" s="401">
        <f>((10570000+18000000-10000000)-10775230)+61721624.88</f>
        <v>69516394.879999995</v>
      </c>
      <c r="G399" s="401"/>
      <c r="H399" s="401"/>
      <c r="I399" s="401"/>
      <c r="J399" s="686">
        <f>L399+O399</f>
        <v>0</v>
      </c>
      <c r="K399" s="401"/>
      <c r="L399" s="401"/>
      <c r="M399" s="401"/>
      <c r="N399" s="401"/>
      <c r="O399" s="402">
        <f>K399</f>
        <v>0</v>
      </c>
      <c r="P399" s="686">
        <f>E399+J399</f>
        <v>69516394.879999995</v>
      </c>
      <c r="Q399" s="22"/>
    </row>
    <row r="400" spans="1:19" ht="47.25" hidden="1" thickTop="1" thickBot="1" x14ac:dyDescent="0.25">
      <c r="A400" s="212">
        <v>3718800</v>
      </c>
      <c r="B400" s="212">
        <v>8800</v>
      </c>
      <c r="C400" s="179"/>
      <c r="D400" s="212" t="s">
        <v>867</v>
      </c>
      <c r="E400" s="180">
        <f>E401</f>
        <v>0</v>
      </c>
      <c r="F400" s="180">
        <f>F401</f>
        <v>0</v>
      </c>
      <c r="G400" s="180">
        <f t="shared" ref="G400:P401" si="446">G401</f>
        <v>0</v>
      </c>
      <c r="H400" s="180">
        <f t="shared" si="446"/>
        <v>0</v>
      </c>
      <c r="I400" s="180">
        <f t="shared" si="446"/>
        <v>0</v>
      </c>
      <c r="J400" s="180">
        <f t="shared" si="446"/>
        <v>0</v>
      </c>
      <c r="K400" s="180">
        <f t="shared" si="446"/>
        <v>0</v>
      </c>
      <c r="L400" s="180">
        <f t="shared" si="446"/>
        <v>0</v>
      </c>
      <c r="M400" s="180">
        <f t="shared" si="446"/>
        <v>0</v>
      </c>
      <c r="N400" s="180">
        <f t="shared" si="446"/>
        <v>0</v>
      </c>
      <c r="O400" s="180">
        <f t="shared" si="446"/>
        <v>0</v>
      </c>
      <c r="P400" s="180">
        <f t="shared" si="446"/>
        <v>0</v>
      </c>
      <c r="Q400" s="22"/>
    </row>
    <row r="401" spans="1:18" ht="230.25" hidden="1" thickTop="1" thickBot="1" x14ac:dyDescent="0.25">
      <c r="A401" s="213">
        <v>3718880</v>
      </c>
      <c r="B401" s="213">
        <v>8880</v>
      </c>
      <c r="C401" s="183"/>
      <c r="D401" s="198" t="s">
        <v>1202</v>
      </c>
      <c r="E401" s="184">
        <f>E402</f>
        <v>0</v>
      </c>
      <c r="F401" s="184">
        <f t="shared" ref="F401" si="447">F402</f>
        <v>0</v>
      </c>
      <c r="G401" s="184">
        <f t="shared" si="446"/>
        <v>0</v>
      </c>
      <c r="H401" s="184">
        <f t="shared" si="446"/>
        <v>0</v>
      </c>
      <c r="I401" s="184">
        <f t="shared" si="446"/>
        <v>0</v>
      </c>
      <c r="J401" s="184">
        <f t="shared" si="446"/>
        <v>0</v>
      </c>
      <c r="K401" s="184">
        <f t="shared" si="446"/>
        <v>0</v>
      </c>
      <c r="L401" s="184">
        <f t="shared" si="446"/>
        <v>0</v>
      </c>
      <c r="M401" s="184">
        <f t="shared" si="446"/>
        <v>0</v>
      </c>
      <c r="N401" s="184">
        <f t="shared" si="446"/>
        <v>0</v>
      </c>
      <c r="O401" s="184">
        <f t="shared" si="446"/>
        <v>0</v>
      </c>
      <c r="P401" s="184">
        <f t="shared" si="446"/>
        <v>0</v>
      </c>
      <c r="Q401" s="22"/>
    </row>
    <row r="402" spans="1:18" ht="276" hidden="1" thickTop="1" thickBot="1" x14ac:dyDescent="0.25">
      <c r="A402" s="171">
        <v>3718881</v>
      </c>
      <c r="B402" s="171">
        <v>8881</v>
      </c>
      <c r="C402" s="171" t="s">
        <v>171</v>
      </c>
      <c r="D402" s="688" t="s">
        <v>1203</v>
      </c>
      <c r="E402" s="197">
        <f>F402</f>
        <v>0</v>
      </c>
      <c r="F402" s="172">
        <f>(2500000)-2500000</f>
        <v>0</v>
      </c>
      <c r="G402" s="172"/>
      <c r="H402" s="172"/>
      <c r="I402" s="172"/>
      <c r="J402" s="684">
        <f t="shared" ref="J402" si="448">L402+O402</f>
        <v>0</v>
      </c>
      <c r="K402" s="172"/>
      <c r="L402" s="173"/>
      <c r="M402" s="173"/>
      <c r="N402" s="173"/>
      <c r="O402" s="689">
        <f t="shared" ref="O402" si="449">K402</f>
        <v>0</v>
      </c>
      <c r="P402" s="684">
        <f t="shared" ref="P402" si="450">+J402+E402</f>
        <v>0</v>
      </c>
      <c r="Q402" s="22"/>
    </row>
    <row r="403" spans="1:18" ht="47.25" thickTop="1" thickBot="1" x14ac:dyDescent="0.25">
      <c r="A403" s="397" t="s">
        <v>860</v>
      </c>
      <c r="B403" s="397" t="s">
        <v>714</v>
      </c>
      <c r="C403" s="397"/>
      <c r="D403" s="397" t="s">
        <v>715</v>
      </c>
      <c r="E403" s="686">
        <f>E404</f>
        <v>328100700</v>
      </c>
      <c r="F403" s="686">
        <f t="shared" ref="F403:P404" si="451">F404</f>
        <v>328100700</v>
      </c>
      <c r="G403" s="686">
        <f t="shared" si="451"/>
        <v>0</v>
      </c>
      <c r="H403" s="686">
        <f t="shared" si="451"/>
        <v>0</v>
      </c>
      <c r="I403" s="686">
        <f t="shared" si="451"/>
        <v>0</v>
      </c>
      <c r="J403" s="686">
        <f t="shared" si="451"/>
        <v>0</v>
      </c>
      <c r="K403" s="686">
        <f t="shared" si="451"/>
        <v>0</v>
      </c>
      <c r="L403" s="686">
        <f t="shared" si="451"/>
        <v>0</v>
      </c>
      <c r="M403" s="686">
        <f t="shared" si="451"/>
        <v>0</v>
      </c>
      <c r="N403" s="686">
        <f t="shared" si="451"/>
        <v>0</v>
      </c>
      <c r="O403" s="686">
        <f t="shared" si="451"/>
        <v>0</v>
      </c>
      <c r="P403" s="686">
        <f t="shared" si="451"/>
        <v>328100700</v>
      </c>
      <c r="Q403" s="22"/>
    </row>
    <row r="404" spans="1:18" ht="136.5" thickTop="1" thickBot="1" x14ac:dyDescent="0.25">
      <c r="A404" s="589">
        <v>3719100</v>
      </c>
      <c r="B404" s="399" t="s">
        <v>862</v>
      </c>
      <c r="C404" s="399"/>
      <c r="D404" s="399" t="s">
        <v>861</v>
      </c>
      <c r="E404" s="403">
        <f>E405</f>
        <v>328100700</v>
      </c>
      <c r="F404" s="403">
        <f t="shared" si="451"/>
        <v>328100700</v>
      </c>
      <c r="G404" s="403">
        <f t="shared" si="451"/>
        <v>0</v>
      </c>
      <c r="H404" s="403">
        <f t="shared" si="451"/>
        <v>0</v>
      </c>
      <c r="I404" s="403">
        <f t="shared" si="451"/>
        <v>0</v>
      </c>
      <c r="J404" s="403">
        <f t="shared" si="451"/>
        <v>0</v>
      </c>
      <c r="K404" s="403">
        <f t="shared" si="451"/>
        <v>0</v>
      </c>
      <c r="L404" s="403">
        <f t="shared" si="451"/>
        <v>0</v>
      </c>
      <c r="M404" s="403">
        <f t="shared" si="451"/>
        <v>0</v>
      </c>
      <c r="N404" s="403">
        <f t="shared" si="451"/>
        <v>0</v>
      </c>
      <c r="O404" s="403">
        <f t="shared" si="451"/>
        <v>0</v>
      </c>
      <c r="P404" s="403">
        <f t="shared" si="451"/>
        <v>328100700</v>
      </c>
      <c r="Q404" s="22"/>
    </row>
    <row r="405" spans="1:18" ht="51" customHeight="1" thickTop="1" thickBot="1" x14ac:dyDescent="0.25">
      <c r="A405" s="469">
        <v>3719110</v>
      </c>
      <c r="B405" s="469">
        <v>9110</v>
      </c>
      <c r="C405" s="558" t="s">
        <v>43</v>
      </c>
      <c r="D405" s="482" t="s">
        <v>458</v>
      </c>
      <c r="E405" s="686">
        <f>F405</f>
        <v>328100700</v>
      </c>
      <c r="F405" s="401">
        <v>328100700</v>
      </c>
      <c r="G405" s="401"/>
      <c r="H405" s="401"/>
      <c r="I405" s="401"/>
      <c r="J405" s="686">
        <f>L405+O405</f>
        <v>0</v>
      </c>
      <c r="K405" s="401"/>
      <c r="L405" s="401"/>
      <c r="M405" s="401"/>
      <c r="N405" s="401"/>
      <c r="O405" s="402">
        <f>K405</f>
        <v>0</v>
      </c>
      <c r="P405" s="686">
        <f>E405+J405</f>
        <v>328100700</v>
      </c>
      <c r="Q405" s="22"/>
    </row>
    <row r="406" spans="1:18" ht="159.75" customHeight="1" thickTop="1" thickBot="1" x14ac:dyDescent="0.25">
      <c r="A406" s="664" t="s">
        <v>387</v>
      </c>
      <c r="B406" s="664" t="s">
        <v>387</v>
      </c>
      <c r="C406" s="664" t="s">
        <v>387</v>
      </c>
      <c r="D406" s="664" t="s">
        <v>397</v>
      </c>
      <c r="E406" s="665">
        <f t="shared" ref="E406:P406" si="452">E16+E44+E207+E96+E126+E185++E298+E323+E389+E351+E370+E380+E332+E267+E241</f>
        <v>4075227651.1200004</v>
      </c>
      <c r="F406" s="665">
        <f t="shared" si="452"/>
        <v>4075227651.1200004</v>
      </c>
      <c r="G406" s="665">
        <f t="shared" si="452"/>
        <v>1609339914</v>
      </c>
      <c r="H406" s="665">
        <f t="shared" si="452"/>
        <v>229340254.57000002</v>
      </c>
      <c r="I406" s="665">
        <f t="shared" si="452"/>
        <v>0</v>
      </c>
      <c r="J406" s="665">
        <f t="shared" si="452"/>
        <v>1142960078.6900001</v>
      </c>
      <c r="K406" s="665">
        <f t="shared" si="452"/>
        <v>939791514.61000001</v>
      </c>
      <c r="L406" s="665">
        <f t="shared" si="452"/>
        <v>196103874.08000001</v>
      </c>
      <c r="M406" s="665">
        <f t="shared" si="452"/>
        <v>49437085</v>
      </c>
      <c r="N406" s="665">
        <f t="shared" si="452"/>
        <v>16983655</v>
      </c>
      <c r="O406" s="665">
        <f t="shared" si="452"/>
        <v>946856204.61000001</v>
      </c>
      <c r="P406" s="665">
        <f t="shared" si="452"/>
        <v>5218187729.8100004</v>
      </c>
      <c r="Q406" s="94" t="b">
        <f>P406=J406+E406</f>
        <v>1</v>
      </c>
    </row>
    <row r="407" spans="1:18" ht="46.5" thickTop="1" x14ac:dyDescent="0.2">
      <c r="A407" s="865" t="s">
        <v>1367</v>
      </c>
      <c r="B407" s="866"/>
      <c r="C407" s="866"/>
      <c r="D407" s="866"/>
      <c r="E407" s="866"/>
      <c r="F407" s="866"/>
      <c r="G407" s="866"/>
      <c r="H407" s="866"/>
      <c r="I407" s="866"/>
      <c r="J407" s="866"/>
      <c r="K407" s="866"/>
      <c r="L407" s="866"/>
      <c r="M407" s="866"/>
      <c r="N407" s="866"/>
      <c r="O407" s="866"/>
      <c r="P407" s="866"/>
      <c r="Q407" s="98"/>
    </row>
    <row r="408" spans="1:18" ht="60.75" hidden="1" x14ac:dyDescent="0.2">
      <c r="A408" s="214"/>
      <c r="B408" s="215"/>
      <c r="C408" s="215"/>
      <c r="D408" s="215"/>
      <c r="E408" s="462">
        <f>F408</f>
        <v>4075227651.1200004</v>
      </c>
      <c r="F408" s="462">
        <f>((3042022336.28+630802893+8260086)-9359911-150000-4895000)+408547246.84</f>
        <v>4075227651.1200004</v>
      </c>
      <c r="G408" s="462">
        <f>((97820900+700442852+88293048+2636610+43398010+109636660+47666561+1669391+510343880+3045420)+13450+3532532)+840600</f>
        <v>1609339914</v>
      </c>
      <c r="H408" s="462">
        <f>(7110100+195613308+216098+5150735+74329+8494910+3165886+4570553+4601586)+142020.09+148400+52329.48</f>
        <v>229340254.56999999</v>
      </c>
      <c r="I408" s="462">
        <v>0</v>
      </c>
      <c r="J408" s="462">
        <f>((411784702.72+'d2'!E37-'d4'!N17)+13686000+150000+4895000)+715534375.97</f>
        <v>1142960078.6900001</v>
      </c>
      <c r="K408" s="462">
        <f>((411784702.72+'d2'!F37-'d4'!N17-2950700-1350000-188624447)+13686000+150000+4895000)+715534375.97-6350319-2606434-1286664.08</f>
        <v>939791514.61000001</v>
      </c>
      <c r="L408" s="462">
        <f>(3326700+171685130+2118642+1000000+640000+211210+9125775)+784434+6275319+506938.21+479725.87-50000</f>
        <v>196103874.08000001</v>
      </c>
      <c r="M408" s="462">
        <f>(39544820+350000+361000+5000+1072780+6635445)+1468040</f>
        <v>49437085</v>
      </c>
      <c r="N408" s="462">
        <f>(15551110+158000+55000+195110+383875+290560)+350000</f>
        <v>16983655</v>
      </c>
      <c r="O408" s="462">
        <f>((411784702.72+'d2'!F37-'d4'!N17-188624447-2950700-1350000+(90000+122380+3445630+185680)+974000)+13686000+150000+4895000)+(715534375.97-6350319-2606434-1286664.08)+1822000+75000+300000+50000</f>
        <v>946856204.61000001</v>
      </c>
      <c r="P408" s="462">
        <f>((3453807039+'d2'!E37-'d4'!Q20+630802893+8260086)+16400+4309689)+1124081622.81</f>
        <v>5218187729.8099995</v>
      </c>
      <c r="Q408" s="94" t="b">
        <f>E408+J408=P408</f>
        <v>1</v>
      </c>
      <c r="R408" s="59"/>
    </row>
    <row r="409" spans="1:18" ht="60.75" x14ac:dyDescent="0.2">
      <c r="A409" s="17"/>
      <c r="B409" s="18"/>
      <c r="C409" s="18"/>
      <c r="D409" s="18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94"/>
      <c r="R409" s="59"/>
    </row>
    <row r="410" spans="1:18" ht="75.75" customHeight="1" x14ac:dyDescent="0.65">
      <c r="A410" s="17"/>
      <c r="B410" s="18"/>
      <c r="C410" s="18"/>
      <c r="D410" s="777" t="s">
        <v>1481</v>
      </c>
      <c r="E410" s="412"/>
      <c r="F410" s="412"/>
      <c r="G410" s="778"/>
      <c r="H410" s="3"/>
      <c r="I410" s="2"/>
      <c r="J410" s="3"/>
      <c r="K410" s="778" t="s">
        <v>1482</v>
      </c>
      <c r="L410" s="85"/>
      <c r="M410" s="85"/>
      <c r="N410" s="85"/>
      <c r="O410" s="85"/>
      <c r="P410" s="85"/>
      <c r="Q410" s="98"/>
    </row>
    <row r="411" spans="1:18" ht="45.75" x14ac:dyDescent="0.65">
      <c r="A411" s="17"/>
      <c r="B411" s="18"/>
      <c r="C411" s="18"/>
      <c r="D411" s="839"/>
      <c r="E411" s="839"/>
      <c r="F411" s="839"/>
      <c r="G411" s="839"/>
      <c r="H411" s="839"/>
      <c r="I411" s="839"/>
      <c r="J411" s="839"/>
      <c r="K411" s="839"/>
      <c r="L411" s="839"/>
      <c r="M411" s="839"/>
      <c r="N411" s="839"/>
      <c r="O411" s="839"/>
      <c r="P411" s="839"/>
      <c r="Q411" s="98"/>
    </row>
    <row r="412" spans="1:18" ht="46.5" thickBot="1" x14ac:dyDescent="0.7">
      <c r="A412" s="17"/>
      <c r="B412" s="18"/>
      <c r="C412" s="18"/>
      <c r="D412" s="811" t="s">
        <v>531</v>
      </c>
      <c r="E412" s="812"/>
      <c r="F412" s="812"/>
      <c r="G412" s="779"/>
      <c r="H412" s="779"/>
      <c r="I412" s="85"/>
      <c r="J412" s="85"/>
      <c r="K412" s="3" t="s">
        <v>1483</v>
      </c>
      <c r="L412" s="85"/>
      <c r="M412" s="85"/>
      <c r="N412" s="85"/>
      <c r="O412" s="85"/>
      <c r="P412" s="85"/>
      <c r="Q412" s="98"/>
    </row>
    <row r="413" spans="1:18" ht="47.25" thickTop="1" thickBot="1" x14ac:dyDescent="0.7">
      <c r="A413" s="21"/>
      <c r="B413" s="21"/>
      <c r="C413" s="21"/>
      <c r="D413" s="867"/>
      <c r="E413" s="867"/>
      <c r="F413" s="867"/>
      <c r="G413" s="867"/>
      <c r="H413" s="867"/>
      <c r="I413" s="867"/>
      <c r="J413" s="867"/>
      <c r="K413" s="867"/>
      <c r="L413" s="867"/>
      <c r="M413" s="867"/>
      <c r="N413" s="867"/>
      <c r="O413" s="867"/>
      <c r="P413" s="867"/>
      <c r="Q413" s="99"/>
    </row>
    <row r="414" spans="1:18" ht="95.25" customHeight="1" thickTop="1" x14ac:dyDescent="0.55000000000000004">
      <c r="G414" s="61"/>
      <c r="H414" s="61"/>
      <c r="I414" s="107"/>
      <c r="J414" s="108"/>
      <c r="K414" s="108"/>
      <c r="L414" s="107"/>
      <c r="M414" s="107"/>
      <c r="N414" s="107"/>
      <c r="O414" s="107"/>
      <c r="P414" s="108"/>
      <c r="Q414" s="97"/>
    </row>
    <row r="415" spans="1:18" hidden="1" x14ac:dyDescent="0.2">
      <c r="E415" s="62"/>
      <c r="F415" s="63"/>
      <c r="G415" s="61"/>
      <c r="H415" s="61"/>
      <c r="I415" s="107"/>
      <c r="J415" s="109"/>
      <c r="K415" s="109"/>
      <c r="L415" s="107"/>
      <c r="M415" s="107"/>
      <c r="N415" s="107"/>
      <c r="O415" s="107"/>
      <c r="P415" s="108"/>
    </row>
    <row r="416" spans="1:18" hidden="1" x14ac:dyDescent="0.2">
      <c r="E416" s="62"/>
      <c r="F416" s="63"/>
      <c r="G416" s="61"/>
      <c r="H416" s="61"/>
      <c r="I416" s="107"/>
      <c r="J416" s="109"/>
      <c r="K416" s="109"/>
      <c r="L416" s="107"/>
      <c r="M416" s="107"/>
      <c r="N416" s="107"/>
      <c r="O416" s="107"/>
      <c r="P416" s="108"/>
    </row>
    <row r="417" spans="1:18" ht="60.75" x14ac:dyDescent="0.2">
      <c r="E417" s="94" t="b">
        <f>E408=E406</f>
        <v>1</v>
      </c>
      <c r="F417" s="94" t="b">
        <f>F408=F406</f>
        <v>1</v>
      </c>
      <c r="G417" s="94" t="b">
        <f>G408=G406</f>
        <v>1</v>
      </c>
      <c r="H417" s="94" t="b">
        <f t="shared" ref="H417:O417" si="453">H408=H406</f>
        <v>1</v>
      </c>
      <c r="I417" s="94" t="b">
        <f>I408=I406</f>
        <v>1</v>
      </c>
      <c r="J417" s="94" t="b">
        <f>J406=J408</f>
        <v>1</v>
      </c>
      <c r="K417" s="94" t="b">
        <f>K408=K406</f>
        <v>1</v>
      </c>
      <c r="L417" s="94" t="b">
        <f t="shared" si="453"/>
        <v>1</v>
      </c>
      <c r="M417" s="94" t="b">
        <f t="shared" si="453"/>
        <v>1</v>
      </c>
      <c r="N417" s="94" t="b">
        <f>N408=N406</f>
        <v>1</v>
      </c>
      <c r="O417" s="94" t="b">
        <f t="shared" si="453"/>
        <v>1</v>
      </c>
      <c r="P417" s="94" t="b">
        <f>P408=P406</f>
        <v>1</v>
      </c>
    </row>
    <row r="418" spans="1:18" ht="61.5" x14ac:dyDescent="0.2">
      <c r="E418" s="94" t="b">
        <f>E406=F406</f>
        <v>1</v>
      </c>
      <c r="F418" s="123">
        <f>F399/E406</f>
        <v>1.705828504105647E-2</v>
      </c>
      <c r="G418" s="101"/>
      <c r="H418" s="102"/>
      <c r="I418" s="103"/>
      <c r="J418" s="94" t="b">
        <f>J408=L408+O408</f>
        <v>1</v>
      </c>
      <c r="K418" s="110"/>
      <c r="L418" s="94"/>
      <c r="M418" s="103"/>
      <c r="N418" s="103"/>
      <c r="O418" s="94"/>
      <c r="P418" s="94" t="b">
        <f>E406+J406=P406</f>
        <v>1</v>
      </c>
    </row>
    <row r="419" spans="1:18" ht="60.75" x14ac:dyDescent="0.2">
      <c r="E419" s="104"/>
      <c r="F419" s="105"/>
      <c r="G419" s="104"/>
      <c r="H419" s="106"/>
      <c r="I419" s="104"/>
      <c r="J419" s="62"/>
      <c r="K419" s="62"/>
    </row>
    <row r="420" spans="1:18" ht="61.5" x14ac:dyDescent="0.2">
      <c r="A420" s="23"/>
      <c r="B420" s="23"/>
      <c r="C420" s="23"/>
      <c r="D420" s="24"/>
      <c r="E420" s="23"/>
      <c r="F420" s="123">
        <f>400000/E406</f>
        <v>9.8154025797814618E-5</v>
      </c>
      <c r="G420" s="101"/>
      <c r="H420" s="64"/>
      <c r="I420" s="24"/>
      <c r="J420" s="40">
        <f>J406-J408</f>
        <v>0</v>
      </c>
      <c r="K420" s="40">
        <f>K406-K408</f>
        <v>0</v>
      </c>
      <c r="L420" s="40"/>
      <c r="M420" s="40"/>
      <c r="N420" s="40"/>
      <c r="O420" s="40">
        <f>O406-O408</f>
        <v>0</v>
      </c>
      <c r="P420" s="40"/>
    </row>
    <row r="421" spans="1:18" ht="61.5" x14ac:dyDescent="0.2">
      <c r="D421" s="24"/>
      <c r="E421" s="40"/>
      <c r="F421" s="66"/>
      <c r="G421" s="58"/>
      <c r="H421" s="64"/>
      <c r="I421" s="24"/>
      <c r="J421" s="40"/>
      <c r="K421" s="40"/>
      <c r="L421" s="67"/>
      <c r="P421" s="58"/>
      <c r="Q421" s="100"/>
      <c r="R421" s="68"/>
    </row>
    <row r="422" spans="1:18" ht="60.75" x14ac:dyDescent="0.2">
      <c r="A422" s="23"/>
      <c r="B422" s="23"/>
      <c r="C422" s="23"/>
      <c r="D422" s="24"/>
      <c r="E422" s="28"/>
      <c r="F422" s="28"/>
      <c r="G422" s="28"/>
      <c r="H422" s="28"/>
      <c r="I422" s="69"/>
      <c r="J422" s="28"/>
      <c r="K422" s="28"/>
      <c r="L422" s="28"/>
      <c r="M422" s="28"/>
      <c r="N422" s="28"/>
      <c r="O422" s="28"/>
      <c r="P422" s="28"/>
      <c r="Q422" s="100"/>
      <c r="R422" s="68"/>
    </row>
    <row r="423" spans="1:18" ht="60.75" x14ac:dyDescent="0.2">
      <c r="D423" s="24"/>
      <c r="E423" s="40"/>
      <c r="F423" s="70"/>
      <c r="G423" s="71"/>
      <c r="O423" s="58"/>
      <c r="P423" s="58"/>
    </row>
    <row r="424" spans="1:18" ht="60.75" x14ac:dyDescent="0.2">
      <c r="A424" s="23"/>
      <c r="B424" s="23"/>
      <c r="C424" s="23"/>
      <c r="D424" s="24"/>
      <c r="E424" s="40"/>
      <c r="F424" s="65"/>
      <c r="G424" s="67"/>
      <c r="I424" s="72"/>
      <c r="J424" s="62"/>
      <c r="K424" s="62"/>
      <c r="L424" s="23"/>
      <c r="M424" s="23"/>
      <c r="N424" s="23"/>
      <c r="O424" s="23"/>
      <c r="P424" s="58"/>
    </row>
    <row r="425" spans="1:18" ht="62.25" x14ac:dyDescent="0.8">
      <c r="A425" s="23"/>
      <c r="B425" s="23"/>
      <c r="C425" s="23"/>
      <c r="D425" s="23"/>
      <c r="E425" s="73"/>
      <c r="F425" s="65"/>
      <c r="J425" s="62"/>
      <c r="K425" s="62"/>
      <c r="L425" s="23"/>
      <c r="M425" s="23"/>
      <c r="N425" s="23"/>
      <c r="O425" s="23"/>
      <c r="P425" s="74"/>
    </row>
    <row r="426" spans="1:18" ht="45.75" x14ac:dyDescent="0.2">
      <c r="E426" s="75"/>
      <c r="F426" s="70"/>
    </row>
    <row r="427" spans="1:18" ht="45.75" x14ac:dyDescent="0.2">
      <c r="A427" s="23"/>
      <c r="B427" s="23"/>
      <c r="C427" s="23"/>
      <c r="D427" s="23"/>
      <c r="E427" s="73"/>
      <c r="F427" s="65"/>
      <c r="L427" s="23"/>
      <c r="M427" s="23"/>
      <c r="N427" s="23"/>
      <c r="O427" s="23"/>
      <c r="P427" s="23"/>
    </row>
    <row r="428" spans="1:18" ht="45.75" x14ac:dyDescent="0.2">
      <c r="E428" s="76"/>
      <c r="F428" s="70"/>
    </row>
    <row r="429" spans="1:18" ht="45.75" x14ac:dyDescent="0.2">
      <c r="E429" s="76"/>
      <c r="F429" s="70"/>
    </row>
    <row r="430" spans="1:18" ht="45.75" x14ac:dyDescent="0.2">
      <c r="E430" s="76"/>
      <c r="F430" s="70"/>
    </row>
    <row r="431" spans="1:18" ht="45.75" x14ac:dyDescent="0.2">
      <c r="A431" s="23"/>
      <c r="B431" s="23"/>
      <c r="C431" s="23"/>
      <c r="D431" s="23"/>
      <c r="E431" s="76"/>
      <c r="F431" s="70"/>
      <c r="G431" s="23"/>
      <c r="H431" s="23"/>
      <c r="I431" s="23"/>
      <c r="J431" s="23"/>
      <c r="K431" s="23"/>
      <c r="L431" s="23"/>
      <c r="M431" s="23"/>
      <c r="N431" s="23"/>
      <c r="O431" s="23"/>
      <c r="P431" s="23"/>
    </row>
    <row r="432" spans="1:18" ht="45.75" x14ac:dyDescent="0.2">
      <c r="A432" s="23"/>
      <c r="B432" s="23"/>
      <c r="C432" s="23"/>
      <c r="D432" s="23"/>
      <c r="E432" s="76"/>
      <c r="F432" s="70"/>
      <c r="G432" s="23"/>
      <c r="H432" s="23"/>
      <c r="I432" s="23"/>
      <c r="J432" s="23"/>
      <c r="K432" s="23"/>
      <c r="L432" s="23"/>
      <c r="M432" s="23"/>
      <c r="N432" s="23"/>
      <c r="O432" s="23"/>
      <c r="P432" s="23"/>
    </row>
    <row r="433" spans="1:16" ht="45.75" x14ac:dyDescent="0.2">
      <c r="A433" s="23"/>
      <c r="B433" s="23"/>
      <c r="C433" s="23"/>
      <c r="D433" s="23"/>
      <c r="E433" s="76"/>
      <c r="F433" s="70"/>
      <c r="G433" s="23"/>
      <c r="H433" s="23"/>
      <c r="I433" s="23"/>
      <c r="J433" s="23"/>
      <c r="K433" s="23"/>
      <c r="L433" s="23"/>
      <c r="M433" s="23"/>
      <c r="N433" s="23"/>
      <c r="O433" s="23"/>
      <c r="P433" s="23"/>
    </row>
    <row r="434" spans="1:16" ht="45.75" x14ac:dyDescent="0.2">
      <c r="A434" s="23"/>
      <c r="B434" s="23"/>
      <c r="C434" s="23"/>
      <c r="D434" s="23"/>
      <c r="E434" s="76"/>
      <c r="F434" s="70"/>
      <c r="G434" s="23"/>
      <c r="H434" s="23"/>
      <c r="I434" s="23"/>
      <c r="J434" s="23"/>
      <c r="K434" s="23"/>
      <c r="L434" s="23"/>
      <c r="M434" s="23"/>
      <c r="N434" s="23"/>
      <c r="O434" s="23"/>
      <c r="P434" s="23"/>
    </row>
  </sheetData>
  <mergeCells count="198">
    <mergeCell ref="A407:P407"/>
    <mergeCell ref="D413:P413"/>
    <mergeCell ref="K29:K30"/>
    <mergeCell ref="L29:L30"/>
    <mergeCell ref="M29:M30"/>
    <mergeCell ref="N29:N30"/>
    <mergeCell ref="O29:O30"/>
    <mergeCell ref="P29:P30"/>
    <mergeCell ref="E261:E262"/>
    <mergeCell ref="F261:F262"/>
    <mergeCell ref="G261:G262"/>
    <mergeCell ref="H261:H262"/>
    <mergeCell ref="I261:I262"/>
    <mergeCell ref="J261:J262"/>
    <mergeCell ref="A29:A30"/>
    <mergeCell ref="E29:E30"/>
    <mergeCell ref="F29:F30"/>
    <mergeCell ref="G29:G30"/>
    <mergeCell ref="H29:H30"/>
    <mergeCell ref="J29:J30"/>
    <mergeCell ref="A289:A290"/>
    <mergeCell ref="A54:A55"/>
    <mergeCell ref="B54:B55"/>
    <mergeCell ref="L54:L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K261:K262"/>
    <mergeCell ref="L261:L262"/>
    <mergeCell ref="M261:M262"/>
    <mergeCell ref="N261:N262"/>
    <mergeCell ref="O261:O262"/>
    <mergeCell ref="M54:M55"/>
    <mergeCell ref="N54:N55"/>
    <mergeCell ref="G182:G183"/>
    <mergeCell ref="C54:C55"/>
    <mergeCell ref="E54:E55"/>
    <mergeCell ref="F54:F55"/>
    <mergeCell ref="H182:H183"/>
    <mergeCell ref="I182:I183"/>
    <mergeCell ref="C182:C183"/>
    <mergeCell ref="E182:E183"/>
    <mergeCell ref="F182:F183"/>
    <mergeCell ref="C73:C74"/>
    <mergeCell ref="D73:D74"/>
    <mergeCell ref="E73:E74"/>
    <mergeCell ref="C154:C156"/>
    <mergeCell ref="E154:E156"/>
    <mergeCell ref="F154:F156"/>
    <mergeCell ref="G154:G156"/>
    <mergeCell ref="H154:H156"/>
    <mergeCell ref="I29:I30"/>
    <mergeCell ref="B29:B30"/>
    <mergeCell ref="C29:C30"/>
    <mergeCell ref="J289:J290"/>
    <mergeCell ref="A261:A262"/>
    <mergeCell ref="B261:B262"/>
    <mergeCell ref="C261:C262"/>
    <mergeCell ref="J182:J183"/>
    <mergeCell ref="A182:A183"/>
    <mergeCell ref="B182:B183"/>
    <mergeCell ref="A73:A74"/>
    <mergeCell ref="B73:B74"/>
    <mergeCell ref="B154:B156"/>
    <mergeCell ref="A164:A166"/>
    <mergeCell ref="B164:B166"/>
    <mergeCell ref="I157:I160"/>
    <mergeCell ref="J157:J160"/>
    <mergeCell ref="I154:I156"/>
    <mergeCell ref="P73:P74"/>
    <mergeCell ref="A154:A156"/>
    <mergeCell ref="D411:P411"/>
    <mergeCell ref="O54:O55"/>
    <mergeCell ref="P54:P55"/>
    <mergeCell ref="G54:G55"/>
    <mergeCell ref="H54:H55"/>
    <mergeCell ref="I54:I55"/>
    <mergeCell ref="J54:J55"/>
    <mergeCell ref="K54:K55"/>
    <mergeCell ref="O289:O290"/>
    <mergeCell ref="P289:P290"/>
    <mergeCell ref="K289:K290"/>
    <mergeCell ref="L289:L290"/>
    <mergeCell ref="M289:M290"/>
    <mergeCell ref="N289:N290"/>
    <mergeCell ref="K319:K320"/>
    <mergeCell ref="L319:L320"/>
    <mergeCell ref="M319:M320"/>
    <mergeCell ref="N319:N320"/>
    <mergeCell ref="O319:O320"/>
    <mergeCell ref="E289:E290"/>
    <mergeCell ref="F289:F290"/>
    <mergeCell ref="G289:G290"/>
    <mergeCell ref="Q154:Q156"/>
    <mergeCell ref="A157:A160"/>
    <mergeCell ref="P319:P320"/>
    <mergeCell ref="I73:I74"/>
    <mergeCell ref="J73:J74"/>
    <mergeCell ref="K73:K74"/>
    <mergeCell ref="L73:L74"/>
    <mergeCell ref="A319:A320"/>
    <mergeCell ref="B319:B320"/>
    <mergeCell ref="C319:C320"/>
    <mergeCell ref="E319:E320"/>
    <mergeCell ref="F319:F320"/>
    <mergeCell ref="G319:G320"/>
    <mergeCell ref="H319:H320"/>
    <mergeCell ref="I319:I320"/>
    <mergeCell ref="J319:J320"/>
    <mergeCell ref="F73:F74"/>
    <mergeCell ref="G73:G74"/>
    <mergeCell ref="H73:H74"/>
    <mergeCell ref="M73:M74"/>
    <mergeCell ref="N73:N74"/>
    <mergeCell ref="B289:B290"/>
    <mergeCell ref="C289:C290"/>
    <mergeCell ref="O73:O74"/>
    <mergeCell ref="O157:O160"/>
    <mergeCell ref="P157:P160"/>
    <mergeCell ref="J154:J156"/>
    <mergeCell ref="K154:K156"/>
    <mergeCell ref="L154:L156"/>
    <mergeCell ref="M154:M156"/>
    <mergeCell ref="N154:N156"/>
    <mergeCell ref="O154:O156"/>
    <mergeCell ref="P154:P156"/>
    <mergeCell ref="K157:K160"/>
    <mergeCell ref="L157:L160"/>
    <mergeCell ref="M157:M160"/>
    <mergeCell ref="N157:N160"/>
    <mergeCell ref="R154:R156"/>
    <mergeCell ref="R161:R163"/>
    <mergeCell ref="A161:A163"/>
    <mergeCell ref="B161:B163"/>
    <mergeCell ref="C161:C163"/>
    <mergeCell ref="E161:E163"/>
    <mergeCell ref="F161:F163"/>
    <mergeCell ref="G161:G163"/>
    <mergeCell ref="H161:H163"/>
    <mergeCell ref="I161:I163"/>
    <mergeCell ref="J161:J163"/>
    <mergeCell ref="K161:K163"/>
    <mergeCell ref="L161:L163"/>
    <mergeCell ref="M161:M163"/>
    <mergeCell ref="N161:N163"/>
    <mergeCell ref="O161:O163"/>
    <mergeCell ref="P161:P163"/>
    <mergeCell ref="R157:R160"/>
    <mergeCell ref="B157:B160"/>
    <mergeCell ref="C157:C160"/>
    <mergeCell ref="E157:E160"/>
    <mergeCell ref="F157:F160"/>
    <mergeCell ref="G157:G160"/>
    <mergeCell ref="H157:H160"/>
    <mergeCell ref="D412:F412"/>
    <mergeCell ref="M164:M166"/>
    <mergeCell ref="N164:N166"/>
    <mergeCell ref="O164:O166"/>
    <mergeCell ref="P164:P166"/>
    <mergeCell ref="R164:R166"/>
    <mergeCell ref="C164:C166"/>
    <mergeCell ref="E164:E166"/>
    <mergeCell ref="F164:F166"/>
    <mergeCell ref="G164:G166"/>
    <mergeCell ref="H164:H166"/>
    <mergeCell ref="I164:I166"/>
    <mergeCell ref="J164:J166"/>
    <mergeCell ref="K164:K166"/>
    <mergeCell ref="L164:L166"/>
    <mergeCell ref="H289:H290"/>
    <mergeCell ref="I289:I290"/>
    <mergeCell ref="P261:P262"/>
    <mergeCell ref="K182:K183"/>
    <mergeCell ref="L182:L183"/>
    <mergeCell ref="M182:M183"/>
    <mergeCell ref="N182:N183"/>
    <mergeCell ref="O182:O183"/>
    <mergeCell ref="P182:P183"/>
  </mergeCells>
  <conditionalFormatting sqref="Q389:Q390 Q392:R396 R391:S391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82:R384 Q380:R381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9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32:Q333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32:R33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23:R324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23:Q330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25:R33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0:R37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58:R368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76:Q37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9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8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8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8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72:R375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70:Q375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34:Q349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34:R349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Q351:R357">
    <cfRule type="iconSet" priority="53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67"/>
  <sheetViews>
    <sheetView showGridLines="0" view="pageBreakPreview" topLeftCell="B10" zoomScale="85" zoomScaleNormal="85" zoomScaleSheetLayoutView="85" workbookViewId="0">
      <selection activeCell="N5" sqref="N5"/>
    </sheetView>
  </sheetViews>
  <sheetFormatPr defaultColWidth="7.85546875" defaultRowHeight="12.75" x14ac:dyDescent="0.2"/>
  <cols>
    <col min="1" max="1" width="0" style="216" hidden="1" customWidth="1"/>
    <col min="2" max="2" width="13" style="7" customWidth="1"/>
    <col min="3" max="3" width="13.5703125" style="7" customWidth="1"/>
    <col min="4" max="4" width="15.28515625" style="7" customWidth="1"/>
    <col min="5" max="5" width="38.85546875" style="7" customWidth="1"/>
    <col min="6" max="6" width="11.85546875" style="7" bestFit="1" customWidth="1"/>
    <col min="7" max="7" width="11.85546875" style="7" customWidth="1"/>
    <col min="8" max="8" width="13.28515625" style="7" customWidth="1"/>
    <col min="9" max="9" width="12.5703125" style="7" customWidth="1"/>
    <col min="10" max="10" width="12.140625" style="7" customWidth="1"/>
    <col min="11" max="11" width="18.140625" style="7" customWidth="1"/>
    <col min="12" max="12" width="13.5703125" style="7" customWidth="1"/>
    <col min="13" max="13" width="13" style="7" customWidth="1"/>
    <col min="14" max="14" width="11.42578125" style="7" customWidth="1"/>
    <col min="15" max="15" width="12.7109375" style="7" customWidth="1"/>
    <col min="16" max="16" width="12.5703125" style="7" customWidth="1"/>
    <col min="17" max="17" width="12.7109375" style="7" customWidth="1"/>
    <col min="18" max="18" width="10" style="7" bestFit="1" customWidth="1"/>
    <col min="19" max="16384" width="7.85546875" style="7"/>
  </cols>
  <sheetData>
    <row r="1" spans="1:18" x14ac:dyDescent="0.2"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</row>
    <row r="2" spans="1:18" ht="64.5" customHeight="1" x14ac:dyDescent="0.2">
      <c r="B2" s="517"/>
      <c r="C2" s="517"/>
      <c r="D2" s="517"/>
      <c r="E2" s="516"/>
      <c r="F2" s="516"/>
      <c r="G2" s="516"/>
      <c r="H2" s="516"/>
      <c r="I2" s="516"/>
      <c r="J2" s="516"/>
      <c r="K2" s="516"/>
      <c r="L2" s="516"/>
      <c r="M2" s="877" t="s">
        <v>1492</v>
      </c>
      <c r="N2" s="877"/>
      <c r="O2" s="877"/>
      <c r="P2" s="877"/>
      <c r="Q2" s="877"/>
    </row>
    <row r="3" spans="1:18" ht="18.75" x14ac:dyDescent="0.2">
      <c r="B3" s="881"/>
      <c r="C3" s="881"/>
      <c r="D3" s="517"/>
      <c r="E3" s="878" t="s">
        <v>580</v>
      </c>
      <c r="F3" s="878"/>
      <c r="G3" s="878"/>
      <c r="H3" s="878"/>
      <c r="I3" s="878"/>
      <c r="J3" s="878"/>
      <c r="K3" s="878"/>
      <c r="L3" s="878"/>
      <c r="M3" s="878"/>
      <c r="N3" s="518"/>
      <c r="O3" s="518"/>
      <c r="P3" s="518"/>
      <c r="Q3" s="518"/>
    </row>
    <row r="4" spans="1:18" ht="21" customHeight="1" x14ac:dyDescent="0.2">
      <c r="B4" s="519"/>
      <c r="C4" s="461"/>
      <c r="D4" s="520"/>
      <c r="E4" s="878" t="s">
        <v>1333</v>
      </c>
      <c r="F4" s="890"/>
      <c r="G4" s="890"/>
      <c r="H4" s="890"/>
      <c r="I4" s="890"/>
      <c r="J4" s="890"/>
      <c r="K4" s="890"/>
      <c r="L4" s="890"/>
      <c r="M4" s="890"/>
      <c r="N4" s="517"/>
      <c r="O4" s="517"/>
      <c r="P4" s="517"/>
      <c r="Q4" s="521"/>
    </row>
    <row r="5" spans="1:18" ht="12" customHeight="1" x14ac:dyDescent="0.2">
      <c r="B5" s="882">
        <v>2256400000</v>
      </c>
      <c r="C5" s="883"/>
      <c r="D5" s="520"/>
      <c r="E5" s="522"/>
      <c r="F5" s="522"/>
      <c r="G5" s="522"/>
      <c r="H5" s="522"/>
      <c r="I5" s="522"/>
      <c r="J5" s="522"/>
      <c r="K5" s="522"/>
      <c r="L5" s="522"/>
      <c r="M5" s="522"/>
      <c r="N5" s="517"/>
      <c r="O5" s="517"/>
      <c r="P5" s="517"/>
      <c r="Q5" s="521"/>
    </row>
    <row r="6" spans="1:18" ht="12" customHeight="1" x14ac:dyDescent="0.2">
      <c r="B6" s="884" t="s">
        <v>497</v>
      </c>
      <c r="C6" s="885"/>
      <c r="D6" s="520"/>
      <c r="E6" s="522"/>
      <c r="F6" s="522"/>
      <c r="G6" s="522"/>
      <c r="H6" s="522"/>
      <c r="I6" s="522"/>
      <c r="J6" s="522"/>
      <c r="K6" s="522"/>
      <c r="L6" s="522"/>
      <c r="M6" s="522"/>
      <c r="N6" s="517"/>
      <c r="O6" s="517"/>
      <c r="P6" s="517"/>
      <c r="Q6" s="521"/>
    </row>
    <row r="7" spans="1:18" ht="21" customHeight="1" thickBot="1" x14ac:dyDescent="0.35">
      <c r="B7" s="523"/>
      <c r="C7" s="523"/>
      <c r="D7" s="520"/>
      <c r="E7" s="522"/>
      <c r="F7" s="522"/>
      <c r="G7" s="522"/>
      <c r="H7" s="522"/>
      <c r="I7" s="522"/>
      <c r="J7" s="522"/>
      <c r="K7" s="522"/>
      <c r="L7" s="522"/>
      <c r="M7" s="522"/>
      <c r="N7" s="517"/>
      <c r="O7" s="517"/>
      <c r="P7" s="517"/>
      <c r="Q7" s="524" t="s">
        <v>410</v>
      </c>
    </row>
    <row r="8" spans="1:18" ht="17.45" customHeight="1" thickTop="1" thickBot="1" x14ac:dyDescent="0.25">
      <c r="A8" s="218"/>
      <c r="B8" s="879" t="s">
        <v>498</v>
      </c>
      <c r="C8" s="888" t="s">
        <v>499</v>
      </c>
      <c r="D8" s="888" t="s">
        <v>396</v>
      </c>
      <c r="E8" s="888" t="s">
        <v>582</v>
      </c>
      <c r="F8" s="879" t="s">
        <v>125</v>
      </c>
      <c r="G8" s="879"/>
      <c r="H8" s="879"/>
      <c r="I8" s="879"/>
      <c r="J8" s="879" t="s">
        <v>126</v>
      </c>
      <c r="K8" s="879"/>
      <c r="L8" s="879"/>
      <c r="M8" s="879"/>
      <c r="N8" s="879" t="s">
        <v>395</v>
      </c>
      <c r="O8" s="879"/>
      <c r="P8" s="879"/>
      <c r="Q8" s="879"/>
    </row>
    <row r="9" spans="1:18" ht="28.5" customHeight="1" thickTop="1" thickBot="1" x14ac:dyDescent="0.25">
      <c r="A9" s="219"/>
      <c r="B9" s="879"/>
      <c r="C9" s="864"/>
      <c r="D9" s="864"/>
      <c r="E9" s="889"/>
      <c r="F9" s="874" t="s">
        <v>392</v>
      </c>
      <c r="G9" s="874" t="s">
        <v>393</v>
      </c>
      <c r="H9" s="875"/>
      <c r="I9" s="874" t="s">
        <v>394</v>
      </c>
      <c r="J9" s="874" t="s">
        <v>392</v>
      </c>
      <c r="K9" s="874" t="s">
        <v>393</v>
      </c>
      <c r="L9" s="875"/>
      <c r="M9" s="874" t="s">
        <v>394</v>
      </c>
      <c r="N9" s="874" t="s">
        <v>392</v>
      </c>
      <c r="O9" s="874" t="s">
        <v>393</v>
      </c>
      <c r="P9" s="875"/>
      <c r="Q9" s="874" t="s">
        <v>394</v>
      </c>
    </row>
    <row r="10" spans="1:18" ht="65.25" customHeight="1" thickTop="1" thickBot="1" x14ac:dyDescent="0.25">
      <c r="A10" s="9"/>
      <c r="B10" s="879"/>
      <c r="C10" s="864"/>
      <c r="D10" s="864"/>
      <c r="E10" s="864"/>
      <c r="F10" s="874"/>
      <c r="G10" s="525" t="s">
        <v>390</v>
      </c>
      <c r="H10" s="525" t="s">
        <v>391</v>
      </c>
      <c r="I10" s="874"/>
      <c r="J10" s="874"/>
      <c r="K10" s="525" t="s">
        <v>390</v>
      </c>
      <c r="L10" s="525" t="s">
        <v>391</v>
      </c>
      <c r="M10" s="874"/>
      <c r="N10" s="874"/>
      <c r="O10" s="525" t="s">
        <v>390</v>
      </c>
      <c r="P10" s="525" t="s">
        <v>391</v>
      </c>
      <c r="Q10" s="874"/>
    </row>
    <row r="11" spans="1:18" ht="15" customHeight="1" thickTop="1" thickBot="1" x14ac:dyDescent="0.25">
      <c r="A11" s="9"/>
      <c r="B11" s="526">
        <v>1</v>
      </c>
      <c r="C11" s="527">
        <v>2</v>
      </c>
      <c r="D11" s="526">
        <v>3</v>
      </c>
      <c r="E11" s="527">
        <v>4</v>
      </c>
      <c r="F11" s="526">
        <v>5</v>
      </c>
      <c r="G11" s="527">
        <v>6</v>
      </c>
      <c r="H11" s="526">
        <v>7</v>
      </c>
      <c r="I11" s="527">
        <v>8</v>
      </c>
      <c r="J11" s="526">
        <v>9</v>
      </c>
      <c r="K11" s="527">
        <v>10</v>
      </c>
      <c r="L11" s="526">
        <v>11</v>
      </c>
      <c r="M11" s="527">
        <v>12</v>
      </c>
      <c r="N11" s="526">
        <v>13</v>
      </c>
      <c r="O11" s="527">
        <v>14</v>
      </c>
      <c r="P11" s="526">
        <v>15</v>
      </c>
      <c r="Q11" s="527">
        <v>16</v>
      </c>
    </row>
    <row r="12" spans="1:18" s="224" customFormat="1" ht="46.5" thickTop="1" thickBot="1" x14ac:dyDescent="0.25">
      <c r="A12" s="220"/>
      <c r="B12" s="506" t="s">
        <v>22</v>
      </c>
      <c r="C12" s="506"/>
      <c r="D12" s="506"/>
      <c r="E12" s="507" t="s">
        <v>23</v>
      </c>
      <c r="F12" s="508">
        <f>F13</f>
        <v>390000</v>
      </c>
      <c r="G12" s="508">
        <f t="shared" ref="G12:Q12" si="0">G13</f>
        <v>260000</v>
      </c>
      <c r="H12" s="508">
        <f t="shared" si="0"/>
        <v>0</v>
      </c>
      <c r="I12" s="528">
        <f>I13</f>
        <v>650000</v>
      </c>
      <c r="J12" s="508">
        <f t="shared" si="0"/>
        <v>0</v>
      </c>
      <c r="K12" s="508">
        <f t="shared" si="0"/>
        <v>-260000</v>
      </c>
      <c r="L12" s="508">
        <f t="shared" si="0"/>
        <v>0</v>
      </c>
      <c r="M12" s="528">
        <f>M13</f>
        <v>-260000</v>
      </c>
      <c r="N12" s="508">
        <f t="shared" si="0"/>
        <v>390000</v>
      </c>
      <c r="O12" s="508">
        <f t="shared" si="0"/>
        <v>0</v>
      </c>
      <c r="P12" s="508">
        <f t="shared" si="0"/>
        <v>0</v>
      </c>
      <c r="Q12" s="528">
        <f t="shared" si="0"/>
        <v>390000</v>
      </c>
      <c r="R12" s="8"/>
    </row>
    <row r="13" spans="1:18" ht="44.25" thickTop="1" thickBot="1" x14ac:dyDescent="0.25">
      <c r="B13" s="510" t="s">
        <v>21</v>
      </c>
      <c r="C13" s="510"/>
      <c r="D13" s="510"/>
      <c r="E13" s="511" t="s">
        <v>35</v>
      </c>
      <c r="F13" s="529">
        <f t="shared" ref="F13:Q13" si="1">F18+F17+F19</f>
        <v>390000</v>
      </c>
      <c r="G13" s="529">
        <f t="shared" si="1"/>
        <v>260000</v>
      </c>
      <c r="H13" s="529">
        <f t="shared" si="1"/>
        <v>0</v>
      </c>
      <c r="I13" s="529">
        <f t="shared" si="1"/>
        <v>650000</v>
      </c>
      <c r="J13" s="529">
        <f t="shared" si="1"/>
        <v>0</v>
      </c>
      <c r="K13" s="529">
        <f t="shared" si="1"/>
        <v>-260000</v>
      </c>
      <c r="L13" s="529">
        <f t="shared" si="1"/>
        <v>0</v>
      </c>
      <c r="M13" s="529">
        <f t="shared" si="1"/>
        <v>-260000</v>
      </c>
      <c r="N13" s="512">
        <f t="shared" si="1"/>
        <v>390000</v>
      </c>
      <c r="O13" s="512">
        <f t="shared" si="1"/>
        <v>0</v>
      </c>
      <c r="P13" s="512">
        <f t="shared" si="1"/>
        <v>0</v>
      </c>
      <c r="Q13" s="529">
        <f t="shared" si="1"/>
        <v>390000</v>
      </c>
    </row>
    <row r="14" spans="1:18" ht="15.75" thickTop="1" thickBot="1" x14ac:dyDescent="0.25">
      <c r="B14" s="530" t="s">
        <v>863</v>
      </c>
      <c r="C14" s="530" t="s">
        <v>708</v>
      </c>
      <c r="D14" s="530"/>
      <c r="E14" s="531" t="s">
        <v>864</v>
      </c>
      <c r="F14" s="532">
        <f>F15</f>
        <v>390000</v>
      </c>
      <c r="G14" s="532">
        <f t="shared" ref="G14:Q15" si="2">G15</f>
        <v>260000</v>
      </c>
      <c r="H14" s="532">
        <f t="shared" si="2"/>
        <v>0</v>
      </c>
      <c r="I14" s="532">
        <f t="shared" si="2"/>
        <v>650000</v>
      </c>
      <c r="J14" s="532">
        <f t="shared" si="2"/>
        <v>0</v>
      </c>
      <c r="K14" s="532">
        <f t="shared" si="2"/>
        <v>-260000</v>
      </c>
      <c r="L14" s="532">
        <f t="shared" si="2"/>
        <v>0</v>
      </c>
      <c r="M14" s="532">
        <f t="shared" si="2"/>
        <v>-260000</v>
      </c>
      <c r="N14" s="532">
        <f t="shared" si="2"/>
        <v>390000</v>
      </c>
      <c r="O14" s="532">
        <f t="shared" si="2"/>
        <v>0</v>
      </c>
      <c r="P14" s="532">
        <f t="shared" si="2"/>
        <v>0</v>
      </c>
      <c r="Q14" s="532">
        <f t="shared" si="2"/>
        <v>390000</v>
      </c>
    </row>
    <row r="15" spans="1:18" ht="16.5" thickTop="1" thickBot="1" x14ac:dyDescent="0.25">
      <c r="B15" s="533" t="s">
        <v>865</v>
      </c>
      <c r="C15" s="533" t="s">
        <v>866</v>
      </c>
      <c r="D15" s="533"/>
      <c r="E15" s="534" t="s">
        <v>867</v>
      </c>
      <c r="F15" s="535">
        <f>F16</f>
        <v>390000</v>
      </c>
      <c r="G15" s="535">
        <f t="shared" si="2"/>
        <v>260000</v>
      </c>
      <c r="H15" s="535">
        <f t="shared" si="2"/>
        <v>0</v>
      </c>
      <c r="I15" s="535">
        <f t="shared" si="2"/>
        <v>650000</v>
      </c>
      <c r="J15" s="535">
        <f t="shared" si="2"/>
        <v>0</v>
      </c>
      <c r="K15" s="535">
        <f t="shared" si="2"/>
        <v>-260000</v>
      </c>
      <c r="L15" s="535">
        <f t="shared" si="2"/>
        <v>0</v>
      </c>
      <c r="M15" s="535">
        <f t="shared" si="2"/>
        <v>-260000</v>
      </c>
      <c r="N15" s="535">
        <f t="shared" si="2"/>
        <v>390000</v>
      </c>
      <c r="O15" s="535">
        <f t="shared" si="2"/>
        <v>0</v>
      </c>
      <c r="P15" s="535">
        <f t="shared" si="2"/>
        <v>0</v>
      </c>
      <c r="Q15" s="535">
        <f t="shared" si="2"/>
        <v>390000</v>
      </c>
    </row>
    <row r="16" spans="1:18" ht="76.5" thickTop="1" thickBot="1" x14ac:dyDescent="0.25">
      <c r="B16" s="536" t="s">
        <v>868</v>
      </c>
      <c r="C16" s="537" t="s">
        <v>869</v>
      </c>
      <c r="D16" s="537"/>
      <c r="E16" s="538" t="s">
        <v>891</v>
      </c>
      <c r="F16" s="539">
        <f>SUM(F17:F18)</f>
        <v>390000</v>
      </c>
      <c r="G16" s="539">
        <f t="shared" ref="G16:Q16" si="3">SUM(G17:G18)</f>
        <v>260000</v>
      </c>
      <c r="H16" s="539">
        <f t="shared" si="3"/>
        <v>0</v>
      </c>
      <c r="I16" s="539">
        <f t="shared" si="3"/>
        <v>650000</v>
      </c>
      <c r="J16" s="539">
        <f t="shared" si="3"/>
        <v>0</v>
      </c>
      <c r="K16" s="539">
        <f t="shared" si="3"/>
        <v>-260000</v>
      </c>
      <c r="L16" s="539">
        <f t="shared" si="3"/>
        <v>0</v>
      </c>
      <c r="M16" s="539">
        <f t="shared" si="3"/>
        <v>-260000</v>
      </c>
      <c r="N16" s="539">
        <f t="shared" si="3"/>
        <v>390000</v>
      </c>
      <c r="O16" s="539">
        <f t="shared" si="3"/>
        <v>0</v>
      </c>
      <c r="P16" s="539">
        <f t="shared" si="3"/>
        <v>0</v>
      </c>
      <c r="Q16" s="539">
        <f t="shared" si="3"/>
        <v>390000</v>
      </c>
    </row>
    <row r="17" spans="1:17" ht="76.5" thickTop="1" thickBot="1" x14ac:dyDescent="0.25">
      <c r="B17" s="536" t="s">
        <v>464</v>
      </c>
      <c r="C17" s="536" t="s">
        <v>466</v>
      </c>
      <c r="D17" s="536" t="s">
        <v>50</v>
      </c>
      <c r="E17" s="488" t="s">
        <v>893</v>
      </c>
      <c r="F17" s="540">
        <v>390000</v>
      </c>
      <c r="G17" s="540">
        <v>260000</v>
      </c>
      <c r="H17" s="540">
        <v>0</v>
      </c>
      <c r="I17" s="540">
        <f>F17+G17</f>
        <v>650000</v>
      </c>
      <c r="J17" s="540">
        <v>0</v>
      </c>
      <c r="K17" s="540">
        <v>0</v>
      </c>
      <c r="L17" s="540"/>
      <c r="M17" s="540">
        <f>J17+K17</f>
        <v>0</v>
      </c>
      <c r="N17" s="540">
        <f>F17+J17</f>
        <v>390000</v>
      </c>
      <c r="O17" s="540">
        <f>G17+K17</f>
        <v>260000</v>
      </c>
      <c r="P17" s="540"/>
      <c r="Q17" s="540">
        <f>I17+M17</f>
        <v>650000</v>
      </c>
    </row>
    <row r="18" spans="1:17" ht="91.5" thickTop="1" thickBot="1" x14ac:dyDescent="0.25">
      <c r="B18" s="536" t="s">
        <v>465</v>
      </c>
      <c r="C18" s="536" t="s">
        <v>467</v>
      </c>
      <c r="D18" s="536" t="s">
        <v>50</v>
      </c>
      <c r="E18" s="488" t="s">
        <v>892</v>
      </c>
      <c r="F18" s="540"/>
      <c r="G18" s="540">
        <f>H18+I18</f>
        <v>0</v>
      </c>
      <c r="H18" s="540"/>
      <c r="I18" s="540"/>
      <c r="J18" s="540"/>
      <c r="K18" s="540">
        <v>-260000</v>
      </c>
      <c r="L18" s="540"/>
      <c r="M18" s="540">
        <f>J18+K18</f>
        <v>-260000</v>
      </c>
      <c r="N18" s="540">
        <f>F18+J18</f>
        <v>0</v>
      </c>
      <c r="O18" s="540">
        <f>G18+K18</f>
        <v>-260000</v>
      </c>
      <c r="P18" s="540"/>
      <c r="Q18" s="540">
        <f>I18+M18</f>
        <v>-260000</v>
      </c>
    </row>
    <row r="19" spans="1:17" ht="61.5" hidden="1" thickTop="1" thickBot="1" x14ac:dyDescent="0.25">
      <c r="B19" s="536" t="s">
        <v>510</v>
      </c>
      <c r="C19" s="536" t="s">
        <v>511</v>
      </c>
      <c r="D19" s="536" t="s">
        <v>50</v>
      </c>
      <c r="E19" s="488" t="s">
        <v>509</v>
      </c>
      <c r="F19" s="540"/>
      <c r="G19" s="540"/>
      <c r="H19" s="540"/>
      <c r="I19" s="540"/>
      <c r="J19" s="540"/>
      <c r="K19" s="540"/>
      <c r="L19" s="540"/>
      <c r="M19" s="540">
        <f>J19+K19</f>
        <v>0</v>
      </c>
      <c r="N19" s="540"/>
      <c r="O19" s="540">
        <f>G19+K19</f>
        <v>0</v>
      </c>
      <c r="P19" s="540"/>
      <c r="Q19" s="540">
        <f>I19+M19</f>
        <v>0</v>
      </c>
    </row>
    <row r="20" spans="1:17" ht="27.75" customHeight="1" thickTop="1" thickBot="1" x14ac:dyDescent="0.25">
      <c r="B20" s="674" t="s">
        <v>387</v>
      </c>
      <c r="C20" s="674" t="s">
        <v>387</v>
      </c>
      <c r="D20" s="674" t="s">
        <v>387</v>
      </c>
      <c r="E20" s="674" t="s">
        <v>397</v>
      </c>
      <c r="F20" s="675">
        <f t="shared" ref="F20:M20" si="4">F12</f>
        <v>390000</v>
      </c>
      <c r="G20" s="675">
        <f t="shared" si="4"/>
        <v>260000</v>
      </c>
      <c r="H20" s="675">
        <f t="shared" si="4"/>
        <v>0</v>
      </c>
      <c r="I20" s="675">
        <f>I12</f>
        <v>650000</v>
      </c>
      <c r="J20" s="675">
        <f t="shared" si="4"/>
        <v>0</v>
      </c>
      <c r="K20" s="675">
        <f t="shared" si="4"/>
        <v>-260000</v>
      </c>
      <c r="L20" s="675">
        <f t="shared" si="4"/>
        <v>0</v>
      </c>
      <c r="M20" s="675">
        <f t="shared" si="4"/>
        <v>-260000</v>
      </c>
      <c r="N20" s="675">
        <f>N17+N18</f>
        <v>390000</v>
      </c>
      <c r="O20" s="675">
        <f>O17+O18</f>
        <v>0</v>
      </c>
      <c r="P20" s="675">
        <f>P17+P18</f>
        <v>0</v>
      </c>
      <c r="Q20" s="675">
        <f>Q17+Q18</f>
        <v>390000</v>
      </c>
    </row>
    <row r="21" spans="1:17" s="9" customFormat="1" ht="27.75" customHeight="1" thickTop="1" x14ac:dyDescent="0.2">
      <c r="A21" s="217"/>
      <c r="B21" s="541"/>
      <c r="C21" s="541"/>
      <c r="D21" s="541"/>
      <c r="E21" s="542"/>
      <c r="F21" s="543"/>
      <c r="G21" s="543"/>
      <c r="H21" s="543"/>
      <c r="I21" s="543"/>
      <c r="J21" s="543"/>
      <c r="K21" s="543"/>
      <c r="L21" s="543"/>
      <c r="M21" s="543"/>
      <c r="N21" s="543"/>
      <c r="O21" s="543"/>
      <c r="P21" s="543"/>
      <c r="Q21" s="543"/>
    </row>
    <row r="22" spans="1:17" s="9" customFormat="1" ht="15" x14ac:dyDescent="0.25">
      <c r="A22" s="217"/>
      <c r="B22" s="541"/>
      <c r="C22" s="541"/>
      <c r="D22" s="891" t="s">
        <v>1481</v>
      </c>
      <c r="E22" s="797"/>
      <c r="F22" s="545"/>
      <c r="G22" s="781"/>
      <c r="H22" s="544"/>
      <c r="I22" s="546"/>
      <c r="J22" s="544"/>
      <c r="K22" s="781" t="s">
        <v>1482</v>
      </c>
      <c r="L22" s="583"/>
      <c r="M22" s="583"/>
      <c r="N22" s="583"/>
      <c r="O22" s="583"/>
      <c r="P22" s="583"/>
      <c r="Q22" s="543"/>
    </row>
    <row r="23" spans="1:17" s="9" customFormat="1" ht="15" x14ac:dyDescent="0.25">
      <c r="A23" s="217"/>
      <c r="B23" s="541"/>
      <c r="C23" s="547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543"/>
    </row>
    <row r="24" spans="1:17" ht="15" customHeight="1" x14ac:dyDescent="0.25">
      <c r="B24" s="228"/>
      <c r="C24" s="228"/>
      <c r="D24" s="891" t="s">
        <v>531</v>
      </c>
      <c r="E24" s="797"/>
      <c r="F24" s="780"/>
      <c r="G24" s="782"/>
      <c r="H24" s="782"/>
      <c r="I24" s="583"/>
      <c r="J24" s="583"/>
      <c r="K24" s="544" t="s">
        <v>1483</v>
      </c>
      <c r="L24" s="583"/>
      <c r="M24" s="583"/>
      <c r="N24" s="583"/>
      <c r="O24" s="583"/>
      <c r="P24" s="583"/>
      <c r="Q24" s="229"/>
    </row>
    <row r="25" spans="1:17" ht="15" x14ac:dyDescent="0.25">
      <c r="B25" s="228"/>
      <c r="C25" s="228"/>
      <c r="D25" s="876"/>
      <c r="E25" s="876"/>
      <c r="F25" s="876"/>
      <c r="G25" s="876"/>
      <c r="H25" s="876"/>
      <c r="I25" s="876"/>
      <c r="J25" s="876"/>
      <c r="K25" s="876"/>
      <c r="L25" s="876"/>
      <c r="M25" s="876"/>
      <c r="N25" s="876"/>
      <c r="O25" s="876"/>
      <c r="P25" s="876"/>
      <c r="Q25" s="229"/>
    </row>
    <row r="26" spans="1:17" ht="15" x14ac:dyDescent="0.25">
      <c r="D26" s="876"/>
      <c r="E26" s="876"/>
      <c r="F26" s="876"/>
      <c r="G26" s="876"/>
      <c r="H26" s="876"/>
      <c r="I26" s="876"/>
      <c r="J26" s="876"/>
      <c r="K26" s="876"/>
      <c r="L26" s="876"/>
      <c r="M26" s="876"/>
      <c r="N26" s="876"/>
      <c r="O26" s="876"/>
      <c r="P26" s="876"/>
    </row>
    <row r="27" spans="1:17" ht="15" x14ac:dyDescent="0.25">
      <c r="D27" s="876"/>
      <c r="E27" s="876"/>
      <c r="F27" s="876"/>
      <c r="G27" s="876"/>
      <c r="H27" s="876"/>
      <c r="I27" s="876"/>
      <c r="J27" s="876"/>
      <c r="K27" s="876"/>
      <c r="L27" s="876"/>
      <c r="M27" s="876"/>
      <c r="N27" s="876"/>
      <c r="O27" s="876"/>
      <c r="P27" s="876"/>
    </row>
    <row r="28" spans="1:17" ht="15" x14ac:dyDescent="0.2">
      <c r="D28" s="230"/>
      <c r="E28" s="231"/>
      <c r="F28" s="232"/>
      <c r="G28" s="230"/>
      <c r="H28" s="230"/>
      <c r="I28" s="233"/>
      <c r="J28" s="231"/>
      <c r="K28" s="233"/>
      <c r="L28" s="230"/>
      <c r="M28" s="230"/>
      <c r="N28" s="233"/>
      <c r="O28" s="234"/>
      <c r="P28" s="235"/>
    </row>
    <row r="29" spans="1:17" ht="15" x14ac:dyDescent="0.25"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</row>
    <row r="54" spans="7:7" x14ac:dyDescent="0.2">
      <c r="G54" s="7">
        <f>H54+I54</f>
        <v>0</v>
      </c>
    </row>
    <row r="56" spans="7:7" x14ac:dyDescent="0.2">
      <c r="G56" s="7">
        <f t="shared" ref="G56:G74" si="5">H56+I56</f>
        <v>0</v>
      </c>
    </row>
    <row r="57" spans="7:7" x14ac:dyDescent="0.2">
      <c r="G57" s="7">
        <f t="shared" si="5"/>
        <v>0</v>
      </c>
    </row>
    <row r="58" spans="7:7" x14ac:dyDescent="0.2">
      <c r="G58" s="7">
        <f t="shared" si="5"/>
        <v>0</v>
      </c>
    </row>
    <row r="59" spans="7:7" x14ac:dyDescent="0.2">
      <c r="G59" s="7">
        <f t="shared" si="5"/>
        <v>0</v>
      </c>
    </row>
    <row r="60" spans="7:7" x14ac:dyDescent="0.2">
      <c r="G60" s="7">
        <f t="shared" si="5"/>
        <v>0</v>
      </c>
    </row>
    <row r="61" spans="7:7" x14ac:dyDescent="0.2">
      <c r="G61" s="7">
        <f t="shared" si="5"/>
        <v>0</v>
      </c>
    </row>
    <row r="62" spans="7:7" x14ac:dyDescent="0.2">
      <c r="G62" s="7">
        <f t="shared" si="5"/>
        <v>0</v>
      </c>
    </row>
    <row r="63" spans="7:7" x14ac:dyDescent="0.2">
      <c r="G63" s="7">
        <f t="shared" si="5"/>
        <v>0</v>
      </c>
    </row>
    <row r="64" spans="7:7" x14ac:dyDescent="0.2">
      <c r="G64" s="7">
        <f t="shared" si="5"/>
        <v>0</v>
      </c>
    </row>
    <row r="65" spans="7:7" x14ac:dyDescent="0.2">
      <c r="G65" s="7">
        <f t="shared" si="5"/>
        <v>0</v>
      </c>
    </row>
    <row r="66" spans="7:7" x14ac:dyDescent="0.2">
      <c r="G66" s="7">
        <f t="shared" si="5"/>
        <v>0</v>
      </c>
    </row>
    <row r="67" spans="7:7" x14ac:dyDescent="0.2">
      <c r="G67" s="7">
        <f t="shared" si="5"/>
        <v>0</v>
      </c>
    </row>
    <row r="68" spans="7:7" x14ac:dyDescent="0.2">
      <c r="G68" s="7">
        <f t="shared" si="5"/>
        <v>0</v>
      </c>
    </row>
    <row r="69" spans="7:7" x14ac:dyDescent="0.2">
      <c r="G69" s="7">
        <f t="shared" si="5"/>
        <v>0</v>
      </c>
    </row>
    <row r="70" spans="7:7" x14ac:dyDescent="0.2">
      <c r="G70" s="7">
        <f t="shared" si="5"/>
        <v>0</v>
      </c>
    </row>
    <row r="71" spans="7:7" x14ac:dyDescent="0.2">
      <c r="G71" s="7">
        <f t="shared" si="5"/>
        <v>0</v>
      </c>
    </row>
    <row r="72" spans="7:7" x14ac:dyDescent="0.2">
      <c r="G72" s="7">
        <f t="shared" si="5"/>
        <v>0</v>
      </c>
    </row>
    <row r="73" spans="7:7" x14ac:dyDescent="0.2">
      <c r="G73" s="7">
        <f t="shared" si="5"/>
        <v>0</v>
      </c>
    </row>
    <row r="74" spans="7:7" x14ac:dyDescent="0.2">
      <c r="G74" s="7">
        <f t="shared" si="5"/>
        <v>0</v>
      </c>
    </row>
    <row r="76" spans="7:7" x14ac:dyDescent="0.2">
      <c r="G76" s="7">
        <f>H76+I76</f>
        <v>0</v>
      </c>
    </row>
    <row r="77" spans="7:7" x14ac:dyDescent="0.2">
      <c r="G77" s="7">
        <f>H77+I77</f>
        <v>0</v>
      </c>
    </row>
    <row r="78" spans="7:7" x14ac:dyDescent="0.2">
      <c r="G78" s="7">
        <f>H78+I78</f>
        <v>0</v>
      </c>
    </row>
    <row r="79" spans="7:7" x14ac:dyDescent="0.2">
      <c r="G79" s="7">
        <f>H79+I79</f>
        <v>0</v>
      </c>
    </row>
    <row r="81" spans="7:7" x14ac:dyDescent="0.2">
      <c r="G81" s="7">
        <f>H81+I81</f>
        <v>0</v>
      </c>
    </row>
    <row r="84" spans="7:7" x14ac:dyDescent="0.2">
      <c r="G84" s="886"/>
    </row>
    <row r="85" spans="7:7" x14ac:dyDescent="0.2">
      <c r="G85" s="887"/>
    </row>
    <row r="121" spans="7:7" x14ac:dyDescent="0.2">
      <c r="G121" s="7">
        <f>H121+I121</f>
        <v>0</v>
      </c>
    </row>
    <row r="123" spans="7:7" x14ac:dyDescent="0.2">
      <c r="G123" s="7">
        <f t="shared" ref="G123:G133" si="6">H123+I123</f>
        <v>0</v>
      </c>
    </row>
    <row r="124" spans="7:7" x14ac:dyDescent="0.2">
      <c r="G124" s="7">
        <f t="shared" si="6"/>
        <v>0</v>
      </c>
    </row>
    <row r="125" spans="7:7" x14ac:dyDescent="0.2">
      <c r="G125" s="7">
        <f t="shared" si="6"/>
        <v>0</v>
      </c>
    </row>
    <row r="126" spans="7:7" x14ac:dyDescent="0.2">
      <c r="G126" s="7">
        <f t="shared" si="6"/>
        <v>0</v>
      </c>
    </row>
    <row r="127" spans="7:7" x14ac:dyDescent="0.2">
      <c r="G127" s="7">
        <f t="shared" si="6"/>
        <v>0</v>
      </c>
    </row>
    <row r="128" spans="7:7" x14ac:dyDescent="0.2">
      <c r="G128" s="7">
        <f t="shared" si="6"/>
        <v>0</v>
      </c>
    </row>
    <row r="129" spans="7:7" x14ac:dyDescent="0.2">
      <c r="G129" s="7">
        <f t="shared" si="6"/>
        <v>0</v>
      </c>
    </row>
    <row r="130" spans="7:7" x14ac:dyDescent="0.2">
      <c r="G130" s="7">
        <f t="shared" si="6"/>
        <v>0</v>
      </c>
    </row>
    <row r="131" spans="7:7" x14ac:dyDescent="0.2">
      <c r="G131" s="7">
        <f t="shared" si="6"/>
        <v>0</v>
      </c>
    </row>
    <row r="132" spans="7:7" x14ac:dyDescent="0.2">
      <c r="G132" s="7">
        <f t="shared" si="6"/>
        <v>0</v>
      </c>
    </row>
    <row r="133" spans="7:7" x14ac:dyDescent="0.2">
      <c r="G133" s="7">
        <f t="shared" si="6"/>
        <v>0</v>
      </c>
    </row>
    <row r="135" spans="7:7" x14ac:dyDescent="0.2">
      <c r="G135" s="7">
        <f>H136+I136</f>
        <v>0</v>
      </c>
    </row>
    <row r="136" spans="7:7" x14ac:dyDescent="0.2">
      <c r="G136" s="7">
        <f t="shared" ref="G136" si="7">H136+I136</f>
        <v>0</v>
      </c>
    </row>
    <row r="137" spans="7:7" x14ac:dyDescent="0.2">
      <c r="G137" s="7">
        <f>H137+I137</f>
        <v>0</v>
      </c>
    </row>
    <row r="138" spans="7:7" x14ac:dyDescent="0.2">
      <c r="G138" s="7">
        <f>H138+I138</f>
        <v>0</v>
      </c>
    </row>
    <row r="139" spans="7:7" x14ac:dyDescent="0.2">
      <c r="G139" s="7">
        <f>H139+I139</f>
        <v>0</v>
      </c>
    </row>
    <row r="140" spans="7:7" x14ac:dyDescent="0.2">
      <c r="G140" s="7">
        <f>H140+I140</f>
        <v>0</v>
      </c>
    </row>
    <row r="145" spans="7:10" ht="46.5" x14ac:dyDescent="0.65">
      <c r="J145" s="237"/>
    </row>
    <row r="148" spans="7:10" ht="46.5" x14ac:dyDescent="0.65">
      <c r="G148" s="237">
        <f>H148+I148</f>
        <v>0</v>
      </c>
      <c r="J148" s="237"/>
    </row>
    <row r="167" spans="11:11" ht="90" x14ac:dyDescent="1.1499999999999999">
      <c r="K167" s="238" t="b">
        <f>G167=H167+I167</f>
        <v>1</v>
      </c>
    </row>
  </sheetData>
  <mergeCells count="29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D22:E22"/>
    <mergeCell ref="D24:E24"/>
    <mergeCell ref="O9:P9"/>
    <mergeCell ref="D27:P27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  <mergeCell ref="D23:P23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view="pageBreakPreview" topLeftCell="A84" zoomScale="40" zoomScaleNormal="25" zoomScaleSheetLayoutView="40" zoomScalePageLayoutView="10" workbookViewId="0">
      <selection activeCell="A6" sqref="A6:D6"/>
    </sheetView>
  </sheetViews>
  <sheetFormatPr defaultColWidth="9.140625" defaultRowHeight="12.75" x14ac:dyDescent="0.2"/>
  <cols>
    <col min="1" max="1" width="62.28515625" style="255" customWidth="1"/>
    <col min="2" max="2" width="49.140625" style="255" customWidth="1"/>
    <col min="3" max="3" width="150.140625" style="255" customWidth="1"/>
    <col min="4" max="4" width="69.7109375" style="255" customWidth="1"/>
    <col min="5" max="5" width="32.42578125" style="241" customWidth="1"/>
    <col min="6" max="6" width="34.85546875" style="241" customWidth="1"/>
    <col min="7" max="16384" width="9.140625" style="241"/>
  </cols>
  <sheetData>
    <row r="1" spans="1:15" ht="48.75" customHeight="1" x14ac:dyDescent="0.35">
      <c r="A1" s="81"/>
      <c r="B1" s="405"/>
      <c r="C1" s="405"/>
      <c r="D1" s="406" t="s">
        <v>601</v>
      </c>
      <c r="E1" s="240"/>
      <c r="F1" s="240"/>
      <c r="G1" s="240"/>
      <c r="H1" s="240"/>
    </row>
    <row r="2" spans="1:15" ht="84.75" customHeight="1" x14ac:dyDescent="0.35">
      <c r="A2" s="134"/>
      <c r="B2" s="405"/>
      <c r="C2" s="405"/>
      <c r="D2" s="406" t="s">
        <v>1488</v>
      </c>
      <c r="E2" s="240"/>
      <c r="F2" s="240"/>
      <c r="G2" s="240"/>
      <c r="H2" s="240"/>
    </row>
    <row r="3" spans="1:15" ht="40.700000000000003" customHeight="1" x14ac:dyDescent="0.2">
      <c r="A3" s="134"/>
      <c r="B3" s="134"/>
      <c r="C3" s="134"/>
      <c r="D3" s="135"/>
      <c r="N3" s="918"/>
      <c r="O3" s="918"/>
    </row>
    <row r="4" spans="1:15" ht="45.75" hidden="1" x14ac:dyDescent="0.2">
      <c r="A4" s="134"/>
      <c r="B4" s="134"/>
      <c r="C4" s="134"/>
      <c r="D4" s="135"/>
      <c r="N4" s="918"/>
      <c r="O4" s="919"/>
    </row>
    <row r="5" spans="1:15" ht="45.75" x14ac:dyDescent="0.2">
      <c r="A5" s="856" t="s">
        <v>1313</v>
      </c>
      <c r="B5" s="856"/>
      <c r="C5" s="856"/>
      <c r="D5" s="856"/>
      <c r="N5" s="918"/>
      <c r="O5" s="919"/>
    </row>
    <row r="6" spans="1:15" ht="45.75" x14ac:dyDescent="0.65">
      <c r="A6" s="857">
        <v>2256400000</v>
      </c>
      <c r="B6" s="804"/>
      <c r="C6" s="804"/>
      <c r="D6" s="804"/>
    </row>
    <row r="7" spans="1:15" ht="45.75" x14ac:dyDescent="0.2">
      <c r="A7" s="862" t="s">
        <v>497</v>
      </c>
      <c r="B7" s="804"/>
      <c r="C7" s="804"/>
      <c r="D7" s="804"/>
    </row>
    <row r="8" spans="1:15" ht="45.75" x14ac:dyDescent="0.2">
      <c r="A8" s="432"/>
      <c r="B8" s="431"/>
      <c r="C8" s="431"/>
      <c r="D8" s="431"/>
    </row>
    <row r="9" spans="1:15" ht="53.45" customHeight="1" x14ac:dyDescent="0.2">
      <c r="A9" s="904" t="s">
        <v>1155</v>
      </c>
      <c r="B9" s="905"/>
      <c r="C9" s="905"/>
      <c r="D9" s="905"/>
    </row>
    <row r="10" spans="1:15" ht="53.45" customHeight="1" thickBot="1" x14ac:dyDescent="0.25">
      <c r="A10" s="430"/>
      <c r="B10" s="430"/>
      <c r="C10" s="430"/>
      <c r="D10" s="407" t="s">
        <v>410</v>
      </c>
    </row>
    <row r="11" spans="1:15" ht="140.25" customHeight="1" thickTop="1" thickBot="1" x14ac:dyDescent="0.25">
      <c r="A11" s="408" t="s">
        <v>606</v>
      </c>
      <c r="B11" s="920" t="s">
        <v>605</v>
      </c>
      <c r="C11" s="921"/>
      <c r="D11" s="408" t="s">
        <v>389</v>
      </c>
    </row>
    <row r="12" spans="1:15" s="243" customFormat="1" ht="47.25" thickTop="1" thickBot="1" x14ac:dyDescent="0.25">
      <c r="A12" s="427" t="s">
        <v>2</v>
      </c>
      <c r="B12" s="922" t="s">
        <v>3</v>
      </c>
      <c r="C12" s="923"/>
      <c r="D12" s="427" t="s">
        <v>14</v>
      </c>
    </row>
    <row r="13" spans="1:15" s="243" customFormat="1" ht="70.5" customHeight="1" thickTop="1" thickBot="1" x14ac:dyDescent="0.25">
      <c r="A13" s="895" t="s">
        <v>607</v>
      </c>
      <c r="B13" s="896"/>
      <c r="C13" s="896"/>
      <c r="D13" s="897"/>
    </row>
    <row r="14" spans="1:15" s="243" customFormat="1" ht="70.5" customHeight="1" thickTop="1" thickBot="1" x14ac:dyDescent="0.25">
      <c r="A14" s="397" t="s">
        <v>1474</v>
      </c>
      <c r="B14" s="912" t="s">
        <v>1473</v>
      </c>
      <c r="C14" s="913"/>
      <c r="D14" s="656">
        <f>SUM(D15)</f>
        <v>16579700</v>
      </c>
    </row>
    <row r="15" spans="1:15" s="243" customFormat="1" ht="254.25" customHeight="1" thickTop="1" thickBot="1" x14ac:dyDescent="0.25">
      <c r="A15" s="768">
        <v>41021400</v>
      </c>
      <c r="B15" s="892" t="s">
        <v>1480</v>
      </c>
      <c r="C15" s="893"/>
      <c r="D15" s="657">
        <v>16579700</v>
      </c>
    </row>
    <row r="16" spans="1:15" s="243" customFormat="1" ht="47.25" thickTop="1" thickBot="1" x14ac:dyDescent="0.25">
      <c r="A16" s="764" t="s">
        <v>1390</v>
      </c>
      <c r="B16" s="892" t="s">
        <v>583</v>
      </c>
      <c r="C16" s="893"/>
      <c r="D16" s="765">
        <f>D15</f>
        <v>16579700</v>
      </c>
    </row>
    <row r="17" spans="1:5" s="243" customFormat="1" ht="46.5" thickTop="1" thickBot="1" x14ac:dyDescent="0.25">
      <c r="A17" s="397" t="s">
        <v>617</v>
      </c>
      <c r="B17" s="912" t="s">
        <v>444</v>
      </c>
      <c r="C17" s="924"/>
      <c r="D17" s="656">
        <f>SUM(D18:D24)</f>
        <v>622434500</v>
      </c>
    </row>
    <row r="18" spans="1:5" s="243" customFormat="1" ht="47.25" hidden="1" thickTop="1" thickBot="1" x14ac:dyDescent="0.25">
      <c r="A18" s="565" t="s">
        <v>1003</v>
      </c>
      <c r="B18" s="892" t="s">
        <v>1002</v>
      </c>
      <c r="C18" s="893"/>
      <c r="D18" s="657">
        <v>0</v>
      </c>
    </row>
    <row r="19" spans="1:5" s="243" customFormat="1" ht="47.25" hidden="1" thickTop="1" thickBot="1" x14ac:dyDescent="0.25">
      <c r="A19" s="565" t="s">
        <v>1120</v>
      </c>
      <c r="B19" s="892" t="s">
        <v>1069</v>
      </c>
      <c r="C19" s="893"/>
      <c r="D19" s="657">
        <v>0</v>
      </c>
    </row>
    <row r="20" spans="1:5" s="243" customFormat="1" ht="47.25" thickTop="1" thickBot="1" x14ac:dyDescent="0.25">
      <c r="A20" s="565" t="s">
        <v>616</v>
      </c>
      <c r="B20" s="892" t="s">
        <v>630</v>
      </c>
      <c r="C20" s="893"/>
      <c r="D20" s="411">
        <f>(622418100)+16400</f>
        <v>622434500</v>
      </c>
    </row>
    <row r="21" spans="1:5" s="243" customFormat="1" ht="47.25" hidden="1" thickTop="1" thickBot="1" x14ac:dyDescent="0.25">
      <c r="A21" s="565" t="s">
        <v>1114</v>
      </c>
      <c r="B21" s="892" t="s">
        <v>1070</v>
      </c>
      <c r="C21" s="925"/>
      <c r="D21" s="411">
        <v>0</v>
      </c>
    </row>
    <row r="22" spans="1:5" s="243" customFormat="1" ht="47.25" hidden="1" thickTop="1" thickBot="1" x14ac:dyDescent="0.25">
      <c r="A22" s="565" t="s">
        <v>1005</v>
      </c>
      <c r="B22" s="892" t="s">
        <v>1004</v>
      </c>
      <c r="C22" s="893"/>
      <c r="D22" s="411">
        <v>0</v>
      </c>
    </row>
    <row r="23" spans="1:5" s="243" customFormat="1" ht="47.25" hidden="1" thickTop="1" thickBot="1" x14ac:dyDescent="0.25">
      <c r="A23" s="565" t="s">
        <v>1014</v>
      </c>
      <c r="B23" s="892" t="s">
        <v>1015</v>
      </c>
      <c r="C23" s="893"/>
      <c r="D23" s="411">
        <v>0</v>
      </c>
    </row>
    <row r="24" spans="1:5" s="243" customFormat="1" ht="47.25" hidden="1" thickTop="1" thickBot="1" x14ac:dyDescent="0.25">
      <c r="A24" s="565" t="s">
        <v>995</v>
      </c>
      <c r="B24" s="892" t="s">
        <v>994</v>
      </c>
      <c r="C24" s="893"/>
      <c r="D24" s="411">
        <v>0</v>
      </c>
    </row>
    <row r="25" spans="1:5" s="243" customFormat="1" ht="47.25" thickTop="1" thickBot="1" x14ac:dyDescent="0.25">
      <c r="A25" s="565" t="s">
        <v>1390</v>
      </c>
      <c r="B25" s="892" t="s">
        <v>583</v>
      </c>
      <c r="C25" s="893"/>
      <c r="D25" s="411">
        <f>D17</f>
        <v>622434500</v>
      </c>
    </row>
    <row r="26" spans="1:5" s="243" customFormat="1" ht="46.5" thickTop="1" thickBot="1" x14ac:dyDescent="0.25">
      <c r="A26" s="397" t="s">
        <v>622</v>
      </c>
      <c r="B26" s="912" t="s">
        <v>350</v>
      </c>
      <c r="C26" s="913"/>
      <c r="D26" s="656">
        <f>SUM(D27:D28)</f>
        <v>7423154</v>
      </c>
    </row>
    <row r="27" spans="1:5" s="243" customFormat="1" ht="194.25" customHeight="1" thickTop="1" thickBot="1" x14ac:dyDescent="0.25">
      <c r="A27" s="565" t="s">
        <v>623</v>
      </c>
      <c r="B27" s="892" t="s">
        <v>631</v>
      </c>
      <c r="C27" s="893"/>
      <c r="D27" s="657">
        <v>7423154</v>
      </c>
    </row>
    <row r="28" spans="1:5" s="243" customFormat="1" ht="47.25" hidden="1" thickTop="1" thickBot="1" x14ac:dyDescent="0.25">
      <c r="A28" s="565" t="s">
        <v>1270</v>
      </c>
      <c r="B28" s="892" t="s">
        <v>1269</v>
      </c>
      <c r="C28" s="893"/>
      <c r="D28" s="657">
        <v>0</v>
      </c>
    </row>
    <row r="29" spans="1:5" s="243" customFormat="1" ht="47.25" thickTop="1" thickBot="1" x14ac:dyDescent="0.25">
      <c r="A29" s="565" t="s">
        <v>1394</v>
      </c>
      <c r="B29" s="892" t="s">
        <v>621</v>
      </c>
      <c r="C29" s="893"/>
      <c r="D29" s="411">
        <f>SUM(D27:D28)</f>
        <v>7423154</v>
      </c>
    </row>
    <row r="30" spans="1:5" s="243" customFormat="1" ht="46.5" thickTop="1" thickBot="1" x14ac:dyDescent="0.25">
      <c r="A30" s="397" t="s">
        <v>624</v>
      </c>
      <c r="B30" s="912" t="s">
        <v>625</v>
      </c>
      <c r="C30" s="913"/>
      <c r="D30" s="656">
        <f>D47+D49</f>
        <v>13531414</v>
      </c>
      <c r="E30" s="599" t="b">
        <f>D30=D47+D49</f>
        <v>1</v>
      </c>
    </row>
    <row r="31" spans="1:5" s="243" customFormat="1" ht="20.25" hidden="1" thickTop="1" x14ac:dyDescent="0.65">
      <c r="A31" s="926" t="s">
        <v>1123</v>
      </c>
      <c r="B31" s="914" t="s">
        <v>1121</v>
      </c>
      <c r="C31" s="915"/>
      <c r="D31" s="843">
        <v>0</v>
      </c>
    </row>
    <row r="32" spans="1:5" s="243" customFormat="1" ht="13.5" hidden="1" thickBot="1" x14ac:dyDescent="0.25">
      <c r="A32" s="822"/>
      <c r="B32" s="916" t="s">
        <v>1122</v>
      </c>
      <c r="C32" s="917"/>
      <c r="D32" s="822"/>
    </row>
    <row r="33" spans="1:5" s="243" customFormat="1" ht="20.25" hidden="1" thickTop="1" x14ac:dyDescent="0.65">
      <c r="A33" s="926" t="s">
        <v>1115</v>
      </c>
      <c r="B33" s="914" t="s">
        <v>1116</v>
      </c>
      <c r="C33" s="915"/>
      <c r="D33" s="843">
        <v>0</v>
      </c>
    </row>
    <row r="34" spans="1:5" s="243" customFormat="1" ht="13.5" hidden="1" thickBot="1" x14ac:dyDescent="0.25">
      <c r="A34" s="822"/>
      <c r="B34" s="916" t="s">
        <v>1117</v>
      </c>
      <c r="C34" s="917"/>
      <c r="D34" s="822"/>
    </row>
    <row r="35" spans="1:5" s="243" customFormat="1" ht="20.25" hidden="1" thickTop="1" x14ac:dyDescent="0.65">
      <c r="A35" s="926">
        <v>41050600</v>
      </c>
      <c r="B35" s="914" t="s">
        <v>1118</v>
      </c>
      <c r="C35" s="915"/>
      <c r="D35" s="843">
        <v>0</v>
      </c>
    </row>
    <row r="36" spans="1:5" s="243" customFormat="1" ht="13.5" hidden="1" thickBot="1" x14ac:dyDescent="0.25">
      <c r="A36" s="822"/>
      <c r="B36" s="916" t="s">
        <v>1119</v>
      </c>
      <c r="C36" s="917"/>
      <c r="D36" s="822"/>
    </row>
    <row r="37" spans="1:5" s="243" customFormat="1" ht="47.25" hidden="1" thickTop="1" thickBot="1" x14ac:dyDescent="0.25">
      <c r="A37" s="565">
        <v>41050900</v>
      </c>
      <c r="B37" s="892" t="s">
        <v>1124</v>
      </c>
      <c r="C37" s="893"/>
      <c r="D37" s="411">
        <v>0</v>
      </c>
    </row>
    <row r="38" spans="1:5" s="243" customFormat="1" ht="114.75" customHeight="1" thickTop="1" thickBot="1" x14ac:dyDescent="0.25">
      <c r="A38" s="565" t="s">
        <v>626</v>
      </c>
      <c r="B38" s="892" t="s">
        <v>627</v>
      </c>
      <c r="C38" s="893"/>
      <c r="D38" s="411">
        <v>8260086</v>
      </c>
    </row>
    <row r="39" spans="1:5" s="243" customFormat="1" ht="160.5" customHeight="1" thickTop="1" thickBot="1" x14ac:dyDescent="0.25">
      <c r="A39" s="565" t="s">
        <v>628</v>
      </c>
      <c r="B39" s="892" t="s">
        <v>1389</v>
      </c>
      <c r="C39" s="893"/>
      <c r="D39" s="657">
        <v>4309689</v>
      </c>
    </row>
    <row r="40" spans="1:5" s="243" customFormat="1" ht="47.25" hidden="1" thickTop="1" thickBot="1" x14ac:dyDescent="0.25">
      <c r="A40" s="565" t="s">
        <v>1006</v>
      </c>
      <c r="B40" s="892" t="s">
        <v>1007</v>
      </c>
      <c r="C40" s="893"/>
      <c r="D40" s="657">
        <v>0</v>
      </c>
    </row>
    <row r="41" spans="1:5" s="243" customFormat="1" ht="47.25" hidden="1" thickTop="1" thickBot="1" x14ac:dyDescent="0.25">
      <c r="A41" s="565" t="s">
        <v>965</v>
      </c>
      <c r="B41" s="892" t="s">
        <v>966</v>
      </c>
      <c r="C41" s="893"/>
      <c r="D41" s="657">
        <v>0</v>
      </c>
    </row>
    <row r="42" spans="1:5" s="243" customFormat="1" ht="47.25" thickTop="1" thickBot="1" x14ac:dyDescent="0.25">
      <c r="A42" s="698">
        <v>41053900</v>
      </c>
      <c r="B42" s="892" t="s">
        <v>370</v>
      </c>
      <c r="C42" s="893"/>
      <c r="D42" s="657">
        <v>961639</v>
      </c>
    </row>
    <row r="43" spans="1:5" s="243" customFormat="1" ht="20.25" hidden="1" thickTop="1" x14ac:dyDescent="0.65">
      <c r="A43" s="926" t="s">
        <v>1125</v>
      </c>
      <c r="B43" s="914" t="s">
        <v>1126</v>
      </c>
      <c r="C43" s="915"/>
      <c r="D43" s="843">
        <v>0</v>
      </c>
    </row>
    <row r="44" spans="1:5" s="243" customFormat="1" ht="13.5" hidden="1" thickBot="1" x14ac:dyDescent="0.25">
      <c r="A44" s="822"/>
      <c r="B44" s="916" t="s">
        <v>1127</v>
      </c>
      <c r="C44" s="917"/>
      <c r="D44" s="822"/>
    </row>
    <row r="45" spans="1:5" s="243" customFormat="1" ht="47.25" hidden="1" thickTop="1" thickBot="1" x14ac:dyDescent="0.25">
      <c r="A45" s="698" t="s">
        <v>629</v>
      </c>
      <c r="B45" s="892" t="s">
        <v>632</v>
      </c>
      <c r="C45" s="893"/>
      <c r="D45" s="657">
        <v>0</v>
      </c>
    </row>
    <row r="46" spans="1:5" s="243" customFormat="1" ht="47.25" hidden="1" thickTop="1" thickBot="1" x14ac:dyDescent="0.25">
      <c r="A46" s="698" t="s">
        <v>1046</v>
      </c>
      <c r="B46" s="892" t="s">
        <v>1047</v>
      </c>
      <c r="C46" s="893"/>
      <c r="D46" s="411">
        <f>10623233.82-10623233.82</f>
        <v>0</v>
      </c>
    </row>
    <row r="47" spans="1:5" s="243" customFormat="1" ht="47.25" thickTop="1" thickBot="1" x14ac:dyDescent="0.55000000000000004">
      <c r="A47" s="698" t="s">
        <v>1394</v>
      </c>
      <c r="B47" s="892" t="s">
        <v>621</v>
      </c>
      <c r="C47" s="893"/>
      <c r="D47" s="411">
        <f>SUM(D31:D45)</f>
        <v>13531414</v>
      </c>
      <c r="E47" s="245"/>
    </row>
    <row r="48" spans="1:5" s="243" customFormat="1" ht="47.25" hidden="1" thickTop="1" thickBot="1" x14ac:dyDescent="0.25">
      <c r="A48" s="590" t="s">
        <v>1147</v>
      </c>
      <c r="B48" s="909" t="s">
        <v>1148</v>
      </c>
      <c r="C48" s="910"/>
      <c r="D48" s="658">
        <v>0</v>
      </c>
    </row>
    <row r="49" spans="1:5" s="243" customFormat="1" ht="47.25" hidden="1" thickTop="1" thickBot="1" x14ac:dyDescent="0.25">
      <c r="A49" s="590" t="s">
        <v>585</v>
      </c>
      <c r="B49" s="909" t="s">
        <v>586</v>
      </c>
      <c r="C49" s="910"/>
      <c r="D49" s="592">
        <f>D48</f>
        <v>0</v>
      </c>
    </row>
    <row r="50" spans="1:5" ht="55.5" customHeight="1" thickTop="1" thickBot="1" x14ac:dyDescent="0.25">
      <c r="A50" s="895" t="s">
        <v>608</v>
      </c>
      <c r="B50" s="896"/>
      <c r="C50" s="896"/>
      <c r="D50" s="897"/>
    </row>
    <row r="51" spans="1:5" ht="46.5" hidden="1" thickTop="1" thickBot="1" x14ac:dyDescent="0.25">
      <c r="A51" s="659" t="s">
        <v>617</v>
      </c>
      <c r="B51" s="898" t="s">
        <v>444</v>
      </c>
      <c r="C51" s="911"/>
      <c r="D51" s="660">
        <f>D52</f>
        <v>0</v>
      </c>
    </row>
    <row r="52" spans="1:5" ht="47.25" hidden="1" thickTop="1" thickBot="1" x14ac:dyDescent="0.25">
      <c r="A52" s="661" t="s">
        <v>1114</v>
      </c>
      <c r="B52" s="902" t="s">
        <v>1070</v>
      </c>
      <c r="C52" s="903"/>
      <c r="D52" s="662">
        <v>0</v>
      </c>
    </row>
    <row r="53" spans="1:5" ht="47.25" hidden="1" thickTop="1" thickBot="1" x14ac:dyDescent="0.25">
      <c r="A53" s="661" t="s">
        <v>894</v>
      </c>
      <c r="B53" s="902" t="s">
        <v>583</v>
      </c>
      <c r="C53" s="903"/>
      <c r="D53" s="663">
        <f>D51</f>
        <v>0</v>
      </c>
    </row>
    <row r="54" spans="1:5" ht="46.5" hidden="1" thickTop="1" thickBot="1" x14ac:dyDescent="0.25">
      <c r="A54" s="659" t="s">
        <v>624</v>
      </c>
      <c r="B54" s="898" t="s">
        <v>625</v>
      </c>
      <c r="C54" s="899"/>
      <c r="D54" s="660">
        <f>D57+D59</f>
        <v>0</v>
      </c>
      <c r="E54" s="248" t="b">
        <f>D54=D55+D56+D58</f>
        <v>1</v>
      </c>
    </row>
    <row r="55" spans="1:5" ht="47.25" hidden="1" thickTop="1" thickBot="1" x14ac:dyDescent="0.25">
      <c r="A55" s="661" t="s">
        <v>967</v>
      </c>
      <c r="B55" s="902" t="s">
        <v>970</v>
      </c>
      <c r="C55" s="903"/>
      <c r="D55" s="662">
        <v>0</v>
      </c>
    </row>
    <row r="56" spans="1:5" ht="47.25" hidden="1" thickTop="1" thickBot="1" x14ac:dyDescent="0.25">
      <c r="A56" s="661">
        <v>41053900</v>
      </c>
      <c r="B56" s="902" t="s">
        <v>971</v>
      </c>
      <c r="C56" s="903"/>
      <c r="D56" s="662">
        <v>0</v>
      </c>
    </row>
    <row r="57" spans="1:5" ht="47.25" hidden="1" thickTop="1" thickBot="1" x14ac:dyDescent="0.25">
      <c r="A57" s="661" t="s">
        <v>620</v>
      </c>
      <c r="B57" s="902" t="s">
        <v>621</v>
      </c>
      <c r="C57" s="903"/>
      <c r="D57" s="663">
        <f>D56+D55</f>
        <v>0</v>
      </c>
    </row>
    <row r="58" spans="1:5" ht="47.25" hidden="1" thickTop="1" thickBot="1" x14ac:dyDescent="0.25">
      <c r="A58" s="661">
        <v>41053900</v>
      </c>
      <c r="B58" s="902" t="s">
        <v>1146</v>
      </c>
      <c r="C58" s="903"/>
      <c r="D58" s="662">
        <v>0</v>
      </c>
    </row>
    <row r="59" spans="1:5" ht="47.25" hidden="1" thickTop="1" thickBot="1" x14ac:dyDescent="0.25">
      <c r="A59" s="661" t="s">
        <v>585</v>
      </c>
      <c r="B59" s="902" t="s">
        <v>586</v>
      </c>
      <c r="C59" s="903"/>
      <c r="D59" s="663">
        <f>D58</f>
        <v>0</v>
      </c>
    </row>
    <row r="60" spans="1:5" ht="47.25" thickTop="1" thickBot="1" x14ac:dyDescent="0.25">
      <c r="A60" s="595" t="s">
        <v>387</v>
      </c>
      <c r="B60" s="900" t="s">
        <v>609</v>
      </c>
      <c r="C60" s="901"/>
      <c r="D60" s="597">
        <f>D61+D62</f>
        <v>659968768</v>
      </c>
      <c r="E60" s="470" t="b">
        <f>D60='d1'!C105</f>
        <v>1</v>
      </c>
    </row>
    <row r="61" spans="1:5" ht="47.25" thickTop="1" thickBot="1" x14ac:dyDescent="0.25">
      <c r="A61" s="565" t="s">
        <v>387</v>
      </c>
      <c r="B61" s="892" t="s">
        <v>392</v>
      </c>
      <c r="C61" s="893"/>
      <c r="D61" s="411">
        <f>D47+D25+D29+D49+D16</f>
        <v>659968768</v>
      </c>
      <c r="E61" s="470" t="b">
        <f>D61='d1'!D105</f>
        <v>1</v>
      </c>
    </row>
    <row r="62" spans="1:5" ht="47.25" thickTop="1" thickBot="1" x14ac:dyDescent="0.25">
      <c r="A62" s="565" t="s">
        <v>387</v>
      </c>
      <c r="B62" s="892" t="s">
        <v>393</v>
      </c>
      <c r="C62" s="893"/>
      <c r="D62" s="411">
        <f>D57+D53+D59</f>
        <v>0</v>
      </c>
      <c r="E62" s="470" t="b">
        <f>D62='d1'!E105</f>
        <v>1</v>
      </c>
    </row>
    <row r="63" spans="1:5" ht="31.7" customHeight="1" thickTop="1" x14ac:dyDescent="0.2">
      <c r="A63" s="214"/>
      <c r="B63" s="215"/>
      <c r="C63" s="215"/>
      <c r="D63" s="215"/>
    </row>
    <row r="64" spans="1:5" ht="31.7" customHeight="1" x14ac:dyDescent="0.2">
      <c r="A64" s="214"/>
      <c r="B64" s="215"/>
      <c r="C64" s="215"/>
      <c r="D64" s="215"/>
    </row>
    <row r="65" spans="1:6" ht="60" customHeight="1" x14ac:dyDescent="0.2">
      <c r="A65" s="904" t="s">
        <v>1156</v>
      </c>
      <c r="B65" s="905"/>
      <c r="C65" s="905"/>
      <c r="D65" s="905"/>
    </row>
    <row r="66" spans="1:6" ht="54" customHeight="1" thickBot="1" x14ac:dyDescent="0.25">
      <c r="A66" s="17"/>
      <c r="B66" s="18"/>
      <c r="C66" s="18"/>
      <c r="D66" s="407" t="s">
        <v>410</v>
      </c>
    </row>
    <row r="67" spans="1:6" ht="325.5" customHeight="1" thickTop="1" thickBot="1" x14ac:dyDescent="0.25">
      <c r="A67" s="408" t="s">
        <v>610</v>
      </c>
      <c r="B67" s="409" t="s">
        <v>499</v>
      </c>
      <c r="C67" s="408" t="s">
        <v>611</v>
      </c>
      <c r="D67" s="408" t="s">
        <v>389</v>
      </c>
    </row>
    <row r="68" spans="1:6" ht="50.25" customHeight="1" thickTop="1" thickBot="1" x14ac:dyDescent="0.25">
      <c r="A68" s="132" t="s">
        <v>2</v>
      </c>
      <c r="B68" s="132" t="s">
        <v>3</v>
      </c>
      <c r="C68" s="132" t="s">
        <v>14</v>
      </c>
      <c r="D68" s="132" t="s">
        <v>5</v>
      </c>
    </row>
    <row r="69" spans="1:6" ht="65.25" customHeight="1" thickTop="1" thickBot="1" x14ac:dyDescent="0.25">
      <c r="A69" s="895" t="s">
        <v>612</v>
      </c>
      <c r="B69" s="896"/>
      <c r="C69" s="896"/>
      <c r="D69" s="897"/>
    </row>
    <row r="70" spans="1:6" ht="184.5" thickTop="1" thickBot="1" x14ac:dyDescent="0.25">
      <c r="A70" s="457" t="s">
        <v>250</v>
      </c>
      <c r="B70" s="457" t="s">
        <v>251</v>
      </c>
      <c r="C70" s="410" t="s">
        <v>449</v>
      </c>
      <c r="D70" s="411">
        <f>SUM(D71:D72)</f>
        <v>1163700</v>
      </c>
      <c r="E70" s="470" t="b">
        <f>D70='d3'!E40</f>
        <v>1</v>
      </c>
      <c r="F70" s="243"/>
    </row>
    <row r="71" spans="1:6" ht="93" thickTop="1" thickBot="1" x14ac:dyDescent="0.25">
      <c r="A71" s="457" t="s">
        <v>1393</v>
      </c>
      <c r="B71" s="457"/>
      <c r="C71" s="410" t="s">
        <v>587</v>
      </c>
      <c r="D71" s="411">
        <v>500000</v>
      </c>
      <c r="E71" s="243"/>
      <c r="F71" s="243"/>
    </row>
    <row r="72" spans="1:6" ht="93" thickTop="1" thickBot="1" x14ac:dyDescent="0.25">
      <c r="A72" s="457" t="s">
        <v>1392</v>
      </c>
      <c r="B72" s="457"/>
      <c r="C72" s="410" t="s">
        <v>588</v>
      </c>
      <c r="D72" s="411">
        <v>663700</v>
      </c>
      <c r="E72" s="243"/>
      <c r="F72" s="243"/>
    </row>
    <row r="73" spans="1:6" ht="47.25" thickTop="1" thickBot="1" x14ac:dyDescent="0.25">
      <c r="A73" s="457" t="s">
        <v>584</v>
      </c>
      <c r="B73" s="457" t="s">
        <v>369</v>
      </c>
      <c r="C73" s="410" t="s">
        <v>370</v>
      </c>
      <c r="D73" s="411">
        <f>SUM(D74)</f>
        <v>148700</v>
      </c>
      <c r="E73" s="470" t="b">
        <f>D73='d3'!E41</f>
        <v>1</v>
      </c>
      <c r="F73" s="243"/>
    </row>
    <row r="74" spans="1:6" ht="47.25" thickTop="1" thickBot="1" x14ac:dyDescent="0.25">
      <c r="A74" s="457" t="s">
        <v>1391</v>
      </c>
      <c r="B74" s="457"/>
      <c r="C74" s="410" t="s">
        <v>586</v>
      </c>
      <c r="D74" s="411">
        <v>148700</v>
      </c>
      <c r="E74" s="243"/>
      <c r="F74" s="243"/>
    </row>
    <row r="75" spans="1:6" ht="138.75" thickTop="1" thickBot="1" x14ac:dyDescent="0.25">
      <c r="A75" s="457" t="s">
        <v>520</v>
      </c>
      <c r="B75" s="457" t="s">
        <v>521</v>
      </c>
      <c r="C75" s="410" t="s">
        <v>522</v>
      </c>
      <c r="D75" s="411">
        <f>(10831000+415230+969000)+150000+935000+1000000+4342180+997000+1066000+600000+1000000-180000+306800+373000+496702-275000+300000+1000000-86000+505900+115000</f>
        <v>24861812</v>
      </c>
      <c r="E75" s="470" t="b">
        <f>D75='d3'!E42</f>
        <v>1</v>
      </c>
      <c r="F75" s="243"/>
    </row>
    <row r="76" spans="1:6" ht="138.75" thickTop="1" thickBot="1" x14ac:dyDescent="0.25">
      <c r="A76" s="757" t="s">
        <v>1468</v>
      </c>
      <c r="B76" s="757" t="s">
        <v>521</v>
      </c>
      <c r="C76" s="410" t="s">
        <v>522</v>
      </c>
      <c r="D76" s="758">
        <v>120000</v>
      </c>
      <c r="E76" s="470" t="b">
        <f>D76='d3'!E349</f>
        <v>1</v>
      </c>
      <c r="F76" s="243"/>
    </row>
    <row r="77" spans="1:6" ht="138.75" thickTop="1" thickBot="1" x14ac:dyDescent="0.25">
      <c r="A77" s="738" t="s">
        <v>1311</v>
      </c>
      <c r="B77" s="738" t="s">
        <v>521</v>
      </c>
      <c r="C77" s="410" t="s">
        <v>522</v>
      </c>
      <c r="D77" s="411">
        <f>19000+13000</f>
        <v>32000</v>
      </c>
      <c r="E77" s="741"/>
      <c r="F77" s="243"/>
    </row>
    <row r="78" spans="1:6" ht="47.25" thickTop="1" thickBot="1" x14ac:dyDescent="0.25">
      <c r="A78" s="457" t="s">
        <v>1390</v>
      </c>
      <c r="B78" s="457"/>
      <c r="C78" s="410" t="s">
        <v>583</v>
      </c>
      <c r="D78" s="411">
        <f>SUM(D75:D77)</f>
        <v>25013812</v>
      </c>
      <c r="E78" s="243"/>
      <c r="F78" s="243"/>
    </row>
    <row r="79" spans="1:6" ht="47.25" hidden="1" thickTop="1" thickBot="1" x14ac:dyDescent="0.25">
      <c r="A79" s="246" t="s">
        <v>595</v>
      </c>
      <c r="B79" s="246" t="s">
        <v>369</v>
      </c>
      <c r="C79" s="249" t="s">
        <v>370</v>
      </c>
      <c r="D79" s="247">
        <f>SUM(D80)</f>
        <v>0</v>
      </c>
      <c r="E79" s="248" t="b">
        <f>D79='d3'!E205</f>
        <v>1</v>
      </c>
      <c r="F79" s="243"/>
    </row>
    <row r="80" spans="1:6" ht="93" hidden="1" thickTop="1" thickBot="1" x14ac:dyDescent="0.25">
      <c r="A80" s="246" t="s">
        <v>589</v>
      </c>
      <c r="B80" s="246"/>
      <c r="C80" s="249" t="s">
        <v>590</v>
      </c>
      <c r="D80" s="247">
        <v>0</v>
      </c>
      <c r="E80" s="243"/>
      <c r="F80" s="243"/>
    </row>
    <row r="81" spans="1:6" ht="47.25" hidden="1" thickTop="1" thickBot="1" x14ac:dyDescent="0.25">
      <c r="A81" s="246" t="s">
        <v>1153</v>
      </c>
      <c r="B81" s="246" t="s">
        <v>369</v>
      </c>
      <c r="C81" s="249" t="s">
        <v>370</v>
      </c>
      <c r="D81" s="247">
        <v>0</v>
      </c>
      <c r="E81" s="248" t="b">
        <f>D81='d3'!E239</f>
        <v>1</v>
      </c>
      <c r="F81" s="243"/>
    </row>
    <row r="82" spans="1:6" ht="47.25" hidden="1" thickTop="1" thickBot="1" x14ac:dyDescent="0.25">
      <c r="A82" s="246" t="s">
        <v>924</v>
      </c>
      <c r="B82" s="246" t="s">
        <v>369</v>
      </c>
      <c r="C82" s="249" t="s">
        <v>370</v>
      </c>
      <c r="D82" s="247">
        <v>0</v>
      </c>
      <c r="E82" s="248" t="b">
        <f>D82='d3'!E368</f>
        <v>1</v>
      </c>
      <c r="F82" s="243"/>
    </row>
    <row r="83" spans="1:6" ht="47.25" hidden="1" thickTop="1" thickBot="1" x14ac:dyDescent="0.25">
      <c r="A83" s="246" t="s">
        <v>620</v>
      </c>
      <c r="B83" s="246"/>
      <c r="C83" s="249" t="s">
        <v>621</v>
      </c>
      <c r="D83" s="247">
        <f>SUM(D81:D82)</f>
        <v>0</v>
      </c>
      <c r="E83" s="243"/>
      <c r="F83" s="243"/>
    </row>
    <row r="84" spans="1:6" ht="47.25" thickTop="1" thickBot="1" x14ac:dyDescent="0.25">
      <c r="A84" s="558" t="s">
        <v>614</v>
      </c>
      <c r="B84" s="558" t="s">
        <v>615</v>
      </c>
      <c r="C84" s="410" t="s">
        <v>458</v>
      </c>
      <c r="D84" s="411">
        <f>SUM(D85)</f>
        <v>328100700</v>
      </c>
      <c r="E84" s="470" t="b">
        <f>D84='d3'!E405</f>
        <v>1</v>
      </c>
      <c r="F84" s="243"/>
    </row>
    <row r="85" spans="1:6" ht="47.25" thickTop="1" thickBot="1" x14ac:dyDescent="0.25">
      <c r="A85" s="558" t="s">
        <v>1390</v>
      </c>
      <c r="B85" s="558"/>
      <c r="C85" s="410" t="s">
        <v>583</v>
      </c>
      <c r="D85" s="411">
        <v>328100700</v>
      </c>
      <c r="E85" s="243"/>
      <c r="F85" s="243"/>
    </row>
    <row r="86" spans="1:6" ht="77.25" customHeight="1" thickTop="1" thickBot="1" x14ac:dyDescent="0.25">
      <c r="A86" s="895" t="s">
        <v>613</v>
      </c>
      <c r="B86" s="896"/>
      <c r="C86" s="896"/>
      <c r="D86" s="897"/>
      <c r="E86" s="243"/>
      <c r="F86" s="243"/>
    </row>
    <row r="87" spans="1:6" ht="138.75" thickTop="1" thickBot="1" x14ac:dyDescent="0.25">
      <c r="A87" s="558" t="s">
        <v>520</v>
      </c>
      <c r="B87" s="558" t="s">
        <v>521</v>
      </c>
      <c r="C87" s="410" t="s">
        <v>522</v>
      </c>
      <c r="D87" s="411">
        <f>(12286000+1300000+150000+4895000)+700000+1000000+65000+400000+2000000+3653000+3934000+12071320+180000+693200+627000+275000+1400000+86000+75000</f>
        <v>45790520</v>
      </c>
      <c r="E87" s="470" t="b">
        <f>D87='d3'!J42</f>
        <v>1</v>
      </c>
      <c r="F87" s="598"/>
    </row>
    <row r="88" spans="1:6" ht="138.75" hidden="1" thickTop="1" thickBot="1" x14ac:dyDescent="0.25">
      <c r="A88" s="558" t="s">
        <v>1311</v>
      </c>
      <c r="B88" s="558" t="s">
        <v>521</v>
      </c>
      <c r="C88" s="410" t="s">
        <v>522</v>
      </c>
      <c r="D88" s="411">
        <v>0</v>
      </c>
      <c r="E88" s="470" t="b">
        <f>D88='d3'!P378</f>
        <v>0</v>
      </c>
      <c r="F88" s="598"/>
    </row>
    <row r="89" spans="1:6" ht="138.75" thickTop="1" thickBot="1" x14ac:dyDescent="0.25">
      <c r="A89" s="722" t="s">
        <v>1311</v>
      </c>
      <c r="B89" s="722" t="s">
        <v>521</v>
      </c>
      <c r="C89" s="410" t="s">
        <v>522</v>
      </c>
      <c r="D89" s="411">
        <f>77000+80000</f>
        <v>157000</v>
      </c>
      <c r="E89" s="470" t="b">
        <f>D89='d3'!J378</f>
        <v>1</v>
      </c>
      <c r="F89" s="598"/>
    </row>
    <row r="90" spans="1:6" ht="47.25" thickTop="1" thickBot="1" x14ac:dyDescent="0.25">
      <c r="A90" s="558" t="s">
        <v>1390</v>
      </c>
      <c r="B90" s="558"/>
      <c r="C90" s="410" t="s">
        <v>583</v>
      </c>
      <c r="D90" s="411">
        <f>D87+D89</f>
        <v>45947520</v>
      </c>
      <c r="E90" s="598"/>
      <c r="F90" s="598"/>
    </row>
    <row r="91" spans="1:6" ht="47.25" hidden="1" thickTop="1" thickBot="1" x14ac:dyDescent="0.25">
      <c r="A91" s="590" t="s">
        <v>1053</v>
      </c>
      <c r="B91" s="590" t="s">
        <v>369</v>
      </c>
      <c r="C91" s="591" t="s">
        <v>370</v>
      </c>
      <c r="D91" s="592">
        <v>0</v>
      </c>
      <c r="E91" s="470" t="b">
        <f>D91='d3'!J94</f>
        <v>1</v>
      </c>
      <c r="F91" s="598"/>
    </row>
    <row r="92" spans="1:6" ht="47.25" hidden="1" thickTop="1" thickBot="1" x14ac:dyDescent="0.25">
      <c r="A92" s="590" t="s">
        <v>1153</v>
      </c>
      <c r="B92" s="590" t="s">
        <v>369</v>
      </c>
      <c r="C92" s="591" t="s">
        <v>370</v>
      </c>
      <c r="D92" s="592">
        <v>0</v>
      </c>
      <c r="E92" s="470" t="b">
        <f>D92='d3'!J239</f>
        <v>1</v>
      </c>
      <c r="F92" s="598"/>
    </row>
    <row r="93" spans="1:6" ht="47.25" hidden="1" thickTop="1" thickBot="1" x14ac:dyDescent="0.25">
      <c r="A93" s="590" t="s">
        <v>924</v>
      </c>
      <c r="B93" s="590" t="s">
        <v>369</v>
      </c>
      <c r="C93" s="591" t="s">
        <v>370</v>
      </c>
      <c r="D93" s="592">
        <v>0</v>
      </c>
      <c r="E93" s="470" t="b">
        <f>D93='d3'!J368</f>
        <v>1</v>
      </c>
      <c r="F93" s="598"/>
    </row>
    <row r="94" spans="1:6" ht="47.25" hidden="1" thickTop="1" thickBot="1" x14ac:dyDescent="0.25">
      <c r="A94" s="590" t="s">
        <v>620</v>
      </c>
      <c r="B94" s="590"/>
      <c r="C94" s="591" t="s">
        <v>621</v>
      </c>
      <c r="D94" s="592">
        <f>SUM(D91:D93)</f>
        <v>0</v>
      </c>
      <c r="E94" s="598"/>
      <c r="F94" s="598"/>
    </row>
    <row r="95" spans="1:6" ht="47.25" hidden="1" thickTop="1" thickBot="1" x14ac:dyDescent="0.25">
      <c r="A95" s="562"/>
      <c r="B95" s="562"/>
      <c r="C95" s="593"/>
      <c r="D95" s="594"/>
      <c r="E95" s="598"/>
      <c r="F95" s="598"/>
    </row>
    <row r="96" spans="1:6" ht="84.75" customHeight="1" thickTop="1" thickBot="1" x14ac:dyDescent="0.25">
      <c r="A96" s="595" t="s">
        <v>387</v>
      </c>
      <c r="B96" s="595" t="s">
        <v>387</v>
      </c>
      <c r="C96" s="596" t="s">
        <v>609</v>
      </c>
      <c r="D96" s="597">
        <f>D71+D72+D74+D78+D80+D83+D85+D90+D94</f>
        <v>400374432</v>
      </c>
      <c r="E96" s="599" t="b">
        <f>D96=D97+D98</f>
        <v>1</v>
      </c>
      <c r="F96" s="599" t="b">
        <f>D96=D84+'d7'!G39+'d7'!G40+'d7'!G41+'d7'!G42+'d7'!G43+'d7'!G44+'d7'!G46+'d7'!G38+'d7'!G37+'d7'!G48+'d7'!G299+'d7'!G47+'d3'!P349</f>
        <v>1</v>
      </c>
    </row>
    <row r="97" spans="1:12" ht="47.25" thickTop="1" thickBot="1" x14ac:dyDescent="0.25">
      <c r="A97" s="558" t="s">
        <v>387</v>
      </c>
      <c r="B97" s="558" t="s">
        <v>387</v>
      </c>
      <c r="C97" s="410" t="s">
        <v>392</v>
      </c>
      <c r="D97" s="411">
        <f>'d3'!E403+'d3'!E366+'d3'!E203+'d3'!E38+'d3'!E94+'d3'!E239+'d3'!E378+'d3'!E349</f>
        <v>354426912</v>
      </c>
      <c r="E97" s="599" t="b">
        <f>D97=D70+D73+D79+D82+D84+D75+D81+D77+D76</f>
        <v>1</v>
      </c>
      <c r="F97" s="600"/>
    </row>
    <row r="98" spans="1:12" ht="47.25" thickTop="1" thickBot="1" x14ac:dyDescent="0.25">
      <c r="A98" s="558" t="s">
        <v>387</v>
      </c>
      <c r="B98" s="558" t="s">
        <v>387</v>
      </c>
      <c r="C98" s="410" t="s">
        <v>393</v>
      </c>
      <c r="D98" s="411">
        <f>'d3'!J38+'d3'!J203+'d3'!J366+'d3'!J403+'d3'!J94+'d3'!J239+'d3'!J378</f>
        <v>45947520</v>
      </c>
      <c r="E98" s="599" t="b">
        <f>D98=D89+D87</f>
        <v>1</v>
      </c>
      <c r="F98" s="600"/>
    </row>
    <row r="99" spans="1:12" ht="91.5" customHeight="1" thickTop="1" x14ac:dyDescent="0.2">
      <c r="A99" s="214"/>
      <c r="B99" s="215"/>
      <c r="C99" s="215"/>
      <c r="D99" s="215"/>
      <c r="E99" s="95"/>
      <c r="F99" s="95"/>
    </row>
    <row r="100" spans="1:12" ht="45" customHeight="1" x14ac:dyDescent="0.65">
      <c r="A100" s="214"/>
      <c r="B100" s="906" t="s">
        <v>1481</v>
      </c>
      <c r="C100" s="797"/>
      <c r="D100" s="778" t="s">
        <v>1482</v>
      </c>
      <c r="E100" s="16"/>
      <c r="F100" s="252"/>
      <c r="G100" s="253"/>
      <c r="H100" s="252"/>
      <c r="I100" s="252"/>
      <c r="J100" s="254"/>
      <c r="K100" s="254"/>
      <c r="L100" s="254"/>
    </row>
    <row r="101" spans="1:12" ht="27.75" customHeight="1" x14ac:dyDescent="0.65">
      <c r="A101" s="242"/>
      <c r="B101" s="3"/>
      <c r="C101" s="3"/>
      <c r="D101" s="3"/>
      <c r="E101" s="1"/>
      <c r="F101" s="15"/>
    </row>
    <row r="102" spans="1:12" ht="42" customHeight="1" x14ac:dyDescent="0.65">
      <c r="A102" s="239"/>
      <c r="B102" s="906" t="s">
        <v>531</v>
      </c>
      <c r="C102" s="797"/>
      <c r="D102" s="3" t="s">
        <v>1483</v>
      </c>
      <c r="E102" s="1"/>
      <c r="F102" s="544"/>
      <c r="G102" s="546"/>
      <c r="H102" s="544"/>
      <c r="I102" s="544"/>
    </row>
    <row r="103" spans="1:12" ht="45.75" x14ac:dyDescent="0.65">
      <c r="A103" s="239"/>
      <c r="B103" s="907"/>
      <c r="C103" s="908"/>
      <c r="D103" s="252"/>
      <c r="E103" s="15"/>
      <c r="F103" s="15"/>
    </row>
    <row r="104" spans="1:12" ht="45.75" x14ac:dyDescent="0.65">
      <c r="A104" s="239"/>
      <c r="B104" s="894"/>
      <c r="C104" s="894"/>
      <c r="D104" s="894"/>
      <c r="E104" s="15"/>
      <c r="F104" s="15"/>
    </row>
    <row r="107" spans="1:12" x14ac:dyDescent="0.2">
      <c r="A107" s="241"/>
      <c r="B107" s="241"/>
      <c r="C107" s="241"/>
    </row>
    <row r="109" spans="1:12" x14ac:dyDescent="0.2">
      <c r="A109" s="241"/>
      <c r="B109" s="241"/>
      <c r="C109" s="241"/>
    </row>
    <row r="113" spans="1:4" x14ac:dyDescent="0.2">
      <c r="A113" s="241"/>
      <c r="B113" s="241"/>
      <c r="C113" s="241"/>
      <c r="D113" s="241"/>
    </row>
    <row r="114" spans="1:4" x14ac:dyDescent="0.2">
      <c r="A114" s="241"/>
      <c r="B114" s="241"/>
      <c r="C114" s="241"/>
      <c r="D114" s="241"/>
    </row>
    <row r="115" spans="1:4" x14ac:dyDescent="0.2">
      <c r="A115" s="241"/>
      <c r="B115" s="241"/>
      <c r="C115" s="241"/>
      <c r="D115" s="241"/>
    </row>
    <row r="116" spans="1:4" x14ac:dyDescent="0.2">
      <c r="A116" s="241"/>
      <c r="B116" s="241"/>
      <c r="C116" s="241"/>
      <c r="D116" s="241"/>
    </row>
  </sheetData>
  <mergeCells count="74">
    <mergeCell ref="A31:A32"/>
    <mergeCell ref="D31:D32"/>
    <mergeCell ref="B37:C37"/>
    <mergeCell ref="B43:C43"/>
    <mergeCell ref="A43:A44"/>
    <mergeCell ref="D43:D44"/>
    <mergeCell ref="B44:C44"/>
    <mergeCell ref="A33:A34"/>
    <mergeCell ref="D33:D34"/>
    <mergeCell ref="A35:A36"/>
    <mergeCell ref="D35:D36"/>
    <mergeCell ref="B39:C39"/>
    <mergeCell ref="B41:C41"/>
    <mergeCell ref="B33:C33"/>
    <mergeCell ref="B34:C34"/>
    <mergeCell ref="B36:C36"/>
    <mergeCell ref="A9:D9"/>
    <mergeCell ref="A13:D13"/>
    <mergeCell ref="B11:C11"/>
    <mergeCell ref="B12:C12"/>
    <mergeCell ref="B38:C38"/>
    <mergeCell ref="B19:C19"/>
    <mergeCell ref="B17:C17"/>
    <mergeCell ref="B26:C26"/>
    <mergeCell ref="B27:C27"/>
    <mergeCell ref="B20:C20"/>
    <mergeCell ref="B24:C24"/>
    <mergeCell ref="B18:C18"/>
    <mergeCell ref="B22:C22"/>
    <mergeCell ref="B23:C23"/>
    <mergeCell ref="B21:C21"/>
    <mergeCell ref="B25:C25"/>
    <mergeCell ref="N3:O3"/>
    <mergeCell ref="N4:O4"/>
    <mergeCell ref="N5:O5"/>
    <mergeCell ref="A6:D6"/>
    <mergeCell ref="A7:D7"/>
    <mergeCell ref="A5:D5"/>
    <mergeCell ref="B14:C14"/>
    <mergeCell ref="B15:C15"/>
    <mergeCell ref="B16:C16"/>
    <mergeCell ref="B46:C46"/>
    <mergeCell ref="B28:C28"/>
    <mergeCell ref="B30:C30"/>
    <mergeCell ref="B29:C29"/>
    <mergeCell ref="B40:C40"/>
    <mergeCell ref="B42:C42"/>
    <mergeCell ref="B31:C31"/>
    <mergeCell ref="B32:C32"/>
    <mergeCell ref="B35:C35"/>
    <mergeCell ref="B45:C45"/>
    <mergeCell ref="B103:C103"/>
    <mergeCell ref="B48:C48"/>
    <mergeCell ref="B49:C49"/>
    <mergeCell ref="B51:C51"/>
    <mergeCell ref="B52:C52"/>
    <mergeCell ref="B53:C53"/>
    <mergeCell ref="A50:D50"/>
    <mergeCell ref="B47:C47"/>
    <mergeCell ref="B104:D104"/>
    <mergeCell ref="A69:D69"/>
    <mergeCell ref="A86:D86"/>
    <mergeCell ref="B54:C54"/>
    <mergeCell ref="B61:C61"/>
    <mergeCell ref="B62:C62"/>
    <mergeCell ref="B60:C60"/>
    <mergeCell ref="B55:C55"/>
    <mergeCell ref="B57:C57"/>
    <mergeCell ref="A65:D65"/>
    <mergeCell ref="B58:C58"/>
    <mergeCell ref="B59:C59"/>
    <mergeCell ref="B56:C56"/>
    <mergeCell ref="B100:C100"/>
    <mergeCell ref="B102:C102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103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4"/>
  <sheetViews>
    <sheetView view="pageBreakPreview" topLeftCell="B1" zoomScale="75" zoomScaleNormal="40" zoomScaleSheetLayoutView="75" workbookViewId="0">
      <pane ySplit="10" topLeftCell="A102" activePane="bottomLeft" state="frozen"/>
      <selection activeCell="F175" sqref="F175"/>
      <selection pane="bottomLeft" activeCell="I24" sqref="I24"/>
    </sheetView>
  </sheetViews>
  <sheetFormatPr defaultColWidth="7.85546875" defaultRowHeight="12.75" x14ac:dyDescent="0.2"/>
  <cols>
    <col min="1" max="1" width="3.28515625" style="216" hidden="1" customWidth="1"/>
    <col min="2" max="3" width="15.42578125" style="308" customWidth="1"/>
    <col min="4" max="4" width="16.85546875" style="308" customWidth="1"/>
    <col min="5" max="5" width="41.5703125" style="308" customWidth="1"/>
    <col min="6" max="6" width="38.5703125" style="308" customWidth="1"/>
    <col min="7" max="8" width="18.140625" style="312" customWidth="1"/>
    <col min="9" max="9" width="20.28515625" style="312" customWidth="1"/>
    <col min="10" max="10" width="23" style="312" customWidth="1"/>
    <col min="11" max="11" width="18.140625" style="312" customWidth="1"/>
    <col min="12" max="14" width="15.42578125" style="216" bestFit="1" customWidth="1"/>
    <col min="15" max="15" width="12.7109375" style="216" customWidth="1"/>
    <col min="16" max="16384" width="7.85546875" style="216"/>
  </cols>
  <sheetData>
    <row r="1" spans="1:18" s="307" customFormat="1" ht="22.7" customHeight="1" x14ac:dyDescent="0.25">
      <c r="B1" s="933"/>
      <c r="C1" s="933"/>
      <c r="D1" s="933"/>
      <c r="E1" s="933"/>
      <c r="F1" s="933"/>
      <c r="G1" s="933"/>
      <c r="H1" s="933"/>
      <c r="I1" s="933"/>
      <c r="J1" s="933"/>
      <c r="K1" s="933"/>
    </row>
    <row r="2" spans="1:18" ht="41.25" customHeight="1" x14ac:dyDescent="0.2">
      <c r="B2" s="484"/>
      <c r="C2" s="484"/>
      <c r="D2" s="484"/>
      <c r="E2" s="484"/>
      <c r="F2" s="484"/>
      <c r="G2" s="934" t="s">
        <v>1493</v>
      </c>
      <c r="H2" s="934"/>
      <c r="I2" s="934"/>
      <c r="J2" s="934"/>
      <c r="K2" s="934"/>
    </row>
    <row r="3" spans="1:18" ht="29.25" customHeight="1" x14ac:dyDescent="0.2">
      <c r="B3" s="484"/>
      <c r="C3" s="484"/>
      <c r="D3" s="484"/>
      <c r="E3" s="484"/>
      <c r="F3" s="484"/>
      <c r="G3" s="485"/>
      <c r="H3" s="485"/>
      <c r="I3" s="485"/>
      <c r="J3" s="485"/>
      <c r="K3" s="485"/>
    </row>
    <row r="4" spans="1:18" ht="31.7" customHeight="1" x14ac:dyDescent="0.2">
      <c r="B4" s="935" t="s">
        <v>1157</v>
      </c>
      <c r="C4" s="936"/>
      <c r="D4" s="936"/>
      <c r="E4" s="936"/>
      <c r="F4" s="936"/>
      <c r="G4" s="936"/>
      <c r="H4" s="936"/>
      <c r="I4" s="936"/>
      <c r="J4" s="936"/>
      <c r="K4" s="936"/>
    </row>
    <row r="5" spans="1:18" ht="31.7" customHeight="1" x14ac:dyDescent="0.2">
      <c r="B5" s="935" t="s">
        <v>1158</v>
      </c>
      <c r="C5" s="936"/>
      <c r="D5" s="936"/>
      <c r="E5" s="936"/>
      <c r="F5" s="936"/>
      <c r="G5" s="936"/>
      <c r="H5" s="936"/>
      <c r="I5" s="936"/>
      <c r="J5" s="936"/>
      <c r="K5" s="936"/>
    </row>
    <row r="6" spans="1:18" ht="24.75" customHeight="1" x14ac:dyDescent="0.2">
      <c r="B6" s="935" t="s">
        <v>1329</v>
      </c>
      <c r="C6" s="936"/>
      <c r="D6" s="936"/>
      <c r="E6" s="936"/>
      <c r="F6" s="936"/>
      <c r="G6" s="936"/>
      <c r="H6" s="936"/>
      <c r="I6" s="936"/>
      <c r="J6" s="936"/>
      <c r="K6" s="936"/>
    </row>
    <row r="7" spans="1:18" ht="18.75" x14ac:dyDescent="0.2">
      <c r="B7" s="937">
        <v>2256400000</v>
      </c>
      <c r="C7" s="938"/>
      <c r="D7" s="486"/>
      <c r="E7" s="486"/>
      <c r="F7" s="486"/>
      <c r="G7" s="486"/>
      <c r="H7" s="486"/>
      <c r="I7" s="486"/>
      <c r="J7" s="486"/>
      <c r="K7" s="486"/>
    </row>
    <row r="8" spans="1:18" ht="19.5" thickBot="1" x14ac:dyDescent="0.25">
      <c r="B8" s="931" t="s">
        <v>497</v>
      </c>
      <c r="C8" s="932"/>
      <c r="D8" s="486"/>
      <c r="E8" s="486"/>
      <c r="F8" s="486"/>
      <c r="G8" s="486"/>
      <c r="H8" s="486"/>
      <c r="I8" s="486"/>
      <c r="J8" s="486"/>
      <c r="K8" s="486"/>
    </row>
    <row r="9" spans="1:18" ht="120" customHeight="1" thickTop="1" thickBot="1" x14ac:dyDescent="0.25">
      <c r="A9" s="217"/>
      <c r="B9" s="487" t="s">
        <v>498</v>
      </c>
      <c r="C9" s="487" t="s">
        <v>499</v>
      </c>
      <c r="D9" s="487" t="s">
        <v>396</v>
      </c>
      <c r="E9" s="487" t="s">
        <v>582</v>
      </c>
      <c r="F9" s="488" t="s">
        <v>1159</v>
      </c>
      <c r="G9" s="488" t="s">
        <v>1160</v>
      </c>
      <c r="H9" s="488" t="s">
        <v>1161</v>
      </c>
      <c r="I9" s="488" t="s">
        <v>1162</v>
      </c>
      <c r="J9" s="488" t="s">
        <v>1330</v>
      </c>
      <c r="K9" s="488" t="s">
        <v>1331</v>
      </c>
      <c r="L9" s="256"/>
      <c r="M9" s="256"/>
      <c r="N9" s="256"/>
      <c r="O9" s="256"/>
      <c r="P9" s="256"/>
      <c r="Q9" s="256"/>
      <c r="R9" s="256"/>
    </row>
    <row r="10" spans="1:18" ht="16.5" thickTop="1" thickBot="1" x14ac:dyDescent="0.25">
      <c r="A10" s="217"/>
      <c r="B10" s="487">
        <v>1</v>
      </c>
      <c r="C10" s="487">
        <v>2</v>
      </c>
      <c r="D10" s="487">
        <v>3</v>
      </c>
      <c r="E10" s="487">
        <v>4</v>
      </c>
      <c r="F10" s="487">
        <v>5</v>
      </c>
      <c r="G10" s="487">
        <v>6</v>
      </c>
      <c r="H10" s="487">
        <v>7</v>
      </c>
      <c r="I10" s="487">
        <v>8</v>
      </c>
      <c r="J10" s="487">
        <v>9</v>
      </c>
      <c r="K10" s="487">
        <v>10</v>
      </c>
      <c r="L10" s="256"/>
      <c r="M10" s="256"/>
      <c r="N10" s="256"/>
      <c r="O10" s="256"/>
      <c r="P10" s="256"/>
      <c r="Q10" s="256"/>
      <c r="R10" s="256"/>
    </row>
    <row r="11" spans="1:18" ht="31.5" hidden="1" thickTop="1" thickBot="1" x14ac:dyDescent="0.25">
      <c r="B11" s="257" t="s">
        <v>149</v>
      </c>
      <c r="C11" s="257"/>
      <c r="D11" s="257"/>
      <c r="E11" s="258" t="s">
        <v>151</v>
      </c>
      <c r="F11" s="257"/>
      <c r="G11" s="257"/>
      <c r="H11" s="257"/>
      <c r="I11" s="258"/>
      <c r="J11" s="259">
        <f>J12</f>
        <v>0</v>
      </c>
      <c r="K11" s="257"/>
      <c r="L11" s="256"/>
      <c r="M11" s="256"/>
      <c r="N11" s="256"/>
      <c r="O11" s="256"/>
      <c r="P11" s="256"/>
      <c r="Q11" s="256"/>
      <c r="R11" s="256"/>
    </row>
    <row r="12" spans="1:18" ht="44.25" hidden="1" thickTop="1" thickBot="1" x14ac:dyDescent="0.25">
      <c r="B12" s="260" t="s">
        <v>150</v>
      </c>
      <c r="C12" s="260"/>
      <c r="D12" s="260"/>
      <c r="E12" s="261" t="s">
        <v>152</v>
      </c>
      <c r="F12" s="260"/>
      <c r="G12" s="260"/>
      <c r="H12" s="260"/>
      <c r="I12" s="261"/>
      <c r="J12" s="262">
        <f>SUM(J13:J18)</f>
        <v>0</v>
      </c>
      <c r="K12" s="260"/>
      <c r="L12" s="256"/>
      <c r="M12" s="256"/>
      <c r="N12" s="256"/>
      <c r="O12" s="256"/>
      <c r="P12" s="256"/>
      <c r="Q12" s="256"/>
      <c r="R12" s="256"/>
    </row>
    <row r="13" spans="1:18" ht="76.5" hidden="1" thickTop="1" thickBot="1" x14ac:dyDescent="0.25">
      <c r="B13" s="263" t="s">
        <v>237</v>
      </c>
      <c r="C13" s="263" t="s">
        <v>238</v>
      </c>
      <c r="D13" s="263" t="s">
        <v>239</v>
      </c>
      <c r="E13" s="263" t="s">
        <v>236</v>
      </c>
      <c r="F13" s="264" t="s">
        <v>527</v>
      </c>
      <c r="G13" s="265"/>
      <c r="H13" s="266"/>
      <c r="I13" s="265"/>
      <c r="J13" s="267"/>
      <c r="K13" s="267"/>
      <c r="L13" s="256"/>
      <c r="M13" s="256"/>
      <c r="N13" s="256"/>
      <c r="O13" s="256"/>
      <c r="P13" s="256"/>
      <c r="Q13" s="256"/>
      <c r="R13" s="256"/>
    </row>
    <row r="14" spans="1:18" ht="91.5" hidden="1" thickTop="1" thickBot="1" x14ac:dyDescent="0.25">
      <c r="B14" s="263" t="s">
        <v>237</v>
      </c>
      <c r="C14" s="263" t="s">
        <v>238</v>
      </c>
      <c r="D14" s="263" t="s">
        <v>239</v>
      </c>
      <c r="E14" s="263" t="s">
        <v>236</v>
      </c>
      <c r="F14" s="264" t="s">
        <v>1136</v>
      </c>
      <c r="G14" s="268" t="s">
        <v>566</v>
      </c>
      <c r="H14" s="269"/>
      <c r="I14" s="270"/>
      <c r="J14" s="267"/>
      <c r="K14" s="270"/>
      <c r="L14" s="256"/>
      <c r="M14" s="256"/>
      <c r="N14" s="256"/>
      <c r="O14" s="256"/>
      <c r="P14" s="256"/>
      <c r="Q14" s="256"/>
      <c r="R14" s="256"/>
    </row>
    <row r="15" spans="1:18" ht="31.5" hidden="1" thickTop="1" thickBot="1" x14ac:dyDescent="0.25">
      <c r="B15" s="263" t="s">
        <v>243</v>
      </c>
      <c r="C15" s="263" t="s">
        <v>244</v>
      </c>
      <c r="D15" s="263" t="s">
        <v>245</v>
      </c>
      <c r="E15" s="263" t="s">
        <v>242</v>
      </c>
      <c r="F15" s="264" t="s">
        <v>527</v>
      </c>
      <c r="G15" s="265"/>
      <c r="H15" s="266"/>
      <c r="I15" s="265"/>
      <c r="J15" s="267"/>
      <c r="K15" s="267"/>
      <c r="L15" s="256"/>
      <c r="M15" s="256"/>
      <c r="N15" s="256"/>
      <c r="O15" s="256"/>
      <c r="P15" s="256"/>
      <c r="Q15" s="256"/>
      <c r="R15" s="256"/>
    </row>
    <row r="16" spans="1:18" ht="61.5" hidden="1" thickTop="1" thickBot="1" x14ac:dyDescent="0.25">
      <c r="B16" s="263" t="s">
        <v>520</v>
      </c>
      <c r="C16" s="263" t="s">
        <v>521</v>
      </c>
      <c r="D16" s="263" t="s">
        <v>43</v>
      </c>
      <c r="E16" s="263" t="s">
        <v>522</v>
      </c>
      <c r="F16" s="264" t="s">
        <v>527</v>
      </c>
      <c r="G16" s="265"/>
      <c r="H16" s="266"/>
      <c r="I16" s="265"/>
      <c r="J16" s="267"/>
      <c r="K16" s="267"/>
      <c r="L16" s="256"/>
      <c r="M16" s="256"/>
      <c r="N16" s="256"/>
      <c r="O16" s="256"/>
      <c r="P16" s="256"/>
      <c r="Q16" s="256"/>
      <c r="R16" s="256"/>
    </row>
    <row r="17" spans="1:18" ht="181.5" hidden="1" thickTop="1" thickBot="1" x14ac:dyDescent="0.25">
      <c r="B17" s="263" t="s">
        <v>520</v>
      </c>
      <c r="C17" s="263" t="s">
        <v>521</v>
      </c>
      <c r="D17" s="263" t="s">
        <v>43</v>
      </c>
      <c r="E17" s="263" t="s">
        <v>522</v>
      </c>
      <c r="F17" s="264" t="s">
        <v>1150</v>
      </c>
      <c r="G17" s="265"/>
      <c r="H17" s="266"/>
      <c r="I17" s="265"/>
      <c r="J17" s="267"/>
      <c r="K17" s="267"/>
      <c r="L17" s="256"/>
      <c r="M17" s="256"/>
      <c r="N17" s="256"/>
      <c r="O17" s="256"/>
      <c r="P17" s="256"/>
      <c r="Q17" s="256"/>
      <c r="R17" s="256"/>
    </row>
    <row r="18" spans="1:18" ht="61.5" hidden="1" thickTop="1" thickBot="1" x14ac:dyDescent="0.25">
      <c r="B18" s="263" t="s">
        <v>520</v>
      </c>
      <c r="C18" s="263" t="s">
        <v>521</v>
      </c>
      <c r="D18" s="263" t="s">
        <v>43</v>
      </c>
      <c r="E18" s="263" t="s">
        <v>522</v>
      </c>
      <c r="F18" s="264" t="s">
        <v>952</v>
      </c>
      <c r="G18" s="265"/>
      <c r="H18" s="266"/>
      <c r="I18" s="265"/>
      <c r="J18" s="267"/>
      <c r="K18" s="267"/>
      <c r="L18" s="256"/>
      <c r="M18" s="256"/>
      <c r="N18" s="256"/>
      <c r="O18" s="256"/>
      <c r="P18" s="256"/>
      <c r="Q18" s="256"/>
      <c r="R18" s="256"/>
    </row>
    <row r="19" spans="1:18" ht="46.5" thickTop="1" thickBot="1" x14ac:dyDescent="0.25">
      <c r="A19" s="309"/>
      <c r="B19" s="506" t="s">
        <v>153</v>
      </c>
      <c r="C19" s="506"/>
      <c r="D19" s="506"/>
      <c r="E19" s="507" t="s">
        <v>0</v>
      </c>
      <c r="F19" s="506"/>
      <c r="G19" s="506"/>
      <c r="H19" s="508">
        <f>H20</f>
        <v>16635613.759999998</v>
      </c>
      <c r="I19" s="508">
        <f>I20</f>
        <v>16202916.009999998</v>
      </c>
      <c r="J19" s="508">
        <f>J20</f>
        <v>9719042.8699999992</v>
      </c>
      <c r="K19" s="509"/>
      <c r="L19" s="256"/>
      <c r="M19" s="256"/>
      <c r="N19" s="256"/>
      <c r="O19" s="256"/>
      <c r="P19" s="256"/>
      <c r="Q19" s="256"/>
      <c r="R19" s="256"/>
    </row>
    <row r="20" spans="1:18" ht="44.25" thickTop="1" thickBot="1" x14ac:dyDescent="0.25">
      <c r="A20" s="309"/>
      <c r="B20" s="510" t="s">
        <v>154</v>
      </c>
      <c r="C20" s="510"/>
      <c r="D20" s="510"/>
      <c r="E20" s="511" t="s">
        <v>1</v>
      </c>
      <c r="F20" s="510"/>
      <c r="G20" s="510"/>
      <c r="H20" s="512">
        <f>H21+H26+H27+H22+H23+H24+H25+H28</f>
        <v>16635613.759999998</v>
      </c>
      <c r="I20" s="512">
        <f>I21+I26+I27+I22+I23+I24+I25+I28</f>
        <v>16202916.009999998</v>
      </c>
      <c r="J20" s="512">
        <f>J21+J26+J27+J22+J23+J24+J25+J28</f>
        <v>9719042.8699999992</v>
      </c>
      <c r="K20" s="513"/>
      <c r="L20" s="256"/>
      <c r="M20" s="256"/>
      <c r="N20" s="256"/>
      <c r="O20" s="256"/>
      <c r="P20" s="256"/>
      <c r="Q20" s="256"/>
      <c r="R20" s="256"/>
    </row>
    <row r="21" spans="1:18" ht="76.5" thickTop="1" thickBot="1" x14ac:dyDescent="0.25">
      <c r="B21" s="483" t="s">
        <v>653</v>
      </c>
      <c r="C21" s="483" t="s">
        <v>654</v>
      </c>
      <c r="D21" s="483" t="s">
        <v>209</v>
      </c>
      <c r="E21" s="483" t="s">
        <v>1371</v>
      </c>
      <c r="F21" s="495" t="s">
        <v>1149</v>
      </c>
      <c r="G21" s="496" t="s">
        <v>619</v>
      </c>
      <c r="H21" s="491">
        <v>3488348</v>
      </c>
      <c r="I21" s="491">
        <f>1950923.21+21331.58+160443.18+J21</f>
        <v>3462766.24</v>
      </c>
      <c r="J21" s="493">
        <v>1330068.27</v>
      </c>
      <c r="K21" s="494">
        <v>1</v>
      </c>
      <c r="L21" s="279"/>
      <c r="M21" s="280"/>
      <c r="N21" s="256"/>
      <c r="O21" s="256"/>
      <c r="P21" s="256"/>
      <c r="Q21" s="256"/>
      <c r="R21" s="256"/>
    </row>
    <row r="22" spans="1:18" ht="76.5" thickTop="1" thickBot="1" x14ac:dyDescent="0.25">
      <c r="B22" s="483" t="s">
        <v>653</v>
      </c>
      <c r="C22" s="483" t="s">
        <v>654</v>
      </c>
      <c r="D22" s="483" t="s">
        <v>209</v>
      </c>
      <c r="E22" s="483" t="s">
        <v>1371</v>
      </c>
      <c r="F22" s="495" t="s">
        <v>1420</v>
      </c>
      <c r="G22" s="496" t="s">
        <v>1336</v>
      </c>
      <c r="H22" s="552">
        <v>198765.2</v>
      </c>
      <c r="I22" s="552">
        <f>12860.2+J22</f>
        <v>198765.2</v>
      </c>
      <c r="J22" s="493">
        <v>185905</v>
      </c>
      <c r="K22" s="494">
        <f t="shared" ref="K22:K25" si="0">I22/H22</f>
        <v>1</v>
      </c>
      <c r="L22" s="279"/>
      <c r="M22" s="280"/>
      <c r="N22" s="256"/>
      <c r="O22" s="256"/>
      <c r="P22" s="256"/>
      <c r="Q22" s="256"/>
      <c r="R22" s="256"/>
    </row>
    <row r="23" spans="1:18" ht="76.5" thickTop="1" thickBot="1" x14ac:dyDescent="0.25">
      <c r="B23" s="483" t="s">
        <v>653</v>
      </c>
      <c r="C23" s="483" t="s">
        <v>654</v>
      </c>
      <c r="D23" s="483" t="s">
        <v>209</v>
      </c>
      <c r="E23" s="483" t="s">
        <v>1371</v>
      </c>
      <c r="F23" s="495" t="s">
        <v>1423</v>
      </c>
      <c r="G23" s="496" t="s">
        <v>1336</v>
      </c>
      <c r="H23" s="552">
        <v>61430.58</v>
      </c>
      <c r="I23" s="552">
        <f>4279.58+J23</f>
        <v>61430.58</v>
      </c>
      <c r="J23" s="493">
        <v>57151</v>
      </c>
      <c r="K23" s="494">
        <f t="shared" si="0"/>
        <v>1</v>
      </c>
      <c r="L23" s="279"/>
      <c r="M23" s="280"/>
      <c r="N23" s="256"/>
      <c r="O23" s="256"/>
      <c r="P23" s="256"/>
      <c r="Q23" s="256"/>
      <c r="R23" s="256"/>
    </row>
    <row r="24" spans="1:18" ht="91.5" thickTop="1" thickBot="1" x14ac:dyDescent="0.25">
      <c r="B24" s="483" t="s">
        <v>653</v>
      </c>
      <c r="C24" s="483" t="s">
        <v>654</v>
      </c>
      <c r="D24" s="483" t="s">
        <v>209</v>
      </c>
      <c r="E24" s="483" t="s">
        <v>1371</v>
      </c>
      <c r="F24" s="495" t="s">
        <v>1422</v>
      </c>
      <c r="G24" s="496" t="s">
        <v>1336</v>
      </c>
      <c r="H24" s="552">
        <v>65907.199999999997</v>
      </c>
      <c r="I24" s="552">
        <f>12860.2+J24</f>
        <v>65907.199999999997</v>
      </c>
      <c r="J24" s="493">
        <v>53047</v>
      </c>
      <c r="K24" s="494">
        <f t="shared" si="0"/>
        <v>1</v>
      </c>
      <c r="L24" s="279"/>
      <c r="M24" s="280"/>
      <c r="N24" s="256"/>
      <c r="O24" s="256"/>
      <c r="P24" s="256"/>
      <c r="Q24" s="256"/>
      <c r="R24" s="256"/>
    </row>
    <row r="25" spans="1:18" ht="91.5" thickTop="1" thickBot="1" x14ac:dyDescent="0.25">
      <c r="B25" s="483" t="s">
        <v>653</v>
      </c>
      <c r="C25" s="483" t="s">
        <v>654</v>
      </c>
      <c r="D25" s="483" t="s">
        <v>209</v>
      </c>
      <c r="E25" s="483" t="s">
        <v>1371</v>
      </c>
      <c r="F25" s="495" t="s">
        <v>1421</v>
      </c>
      <c r="G25" s="496" t="s">
        <v>1336</v>
      </c>
      <c r="H25" s="552">
        <v>65836.78</v>
      </c>
      <c r="I25" s="552">
        <f>18759.78+J25</f>
        <v>65836.78</v>
      </c>
      <c r="J25" s="493">
        <v>47077</v>
      </c>
      <c r="K25" s="494">
        <f t="shared" si="0"/>
        <v>1</v>
      </c>
      <c r="L25" s="279"/>
      <c r="M25" s="280"/>
      <c r="N25" s="256"/>
      <c r="O25" s="256"/>
      <c r="P25" s="256"/>
      <c r="Q25" s="256"/>
      <c r="R25" s="256"/>
    </row>
    <row r="26" spans="1:18" ht="76.5" thickTop="1" thickBot="1" x14ac:dyDescent="0.25">
      <c r="A26" s="492"/>
      <c r="B26" s="483" t="s">
        <v>1025</v>
      </c>
      <c r="C26" s="483" t="s">
        <v>1027</v>
      </c>
      <c r="D26" s="483" t="s">
        <v>215</v>
      </c>
      <c r="E26" s="483" t="s">
        <v>1328</v>
      </c>
      <c r="F26" s="489" t="s">
        <v>1332</v>
      </c>
      <c r="G26" s="490" t="s">
        <v>619</v>
      </c>
      <c r="H26" s="491">
        <v>2505281</v>
      </c>
      <c r="I26" s="491">
        <f>893578+J26</f>
        <v>2505281</v>
      </c>
      <c r="J26" s="493">
        <v>1611703</v>
      </c>
      <c r="K26" s="494">
        <f>I26/H26</f>
        <v>1</v>
      </c>
      <c r="L26" s="279"/>
      <c r="M26" s="280"/>
      <c r="N26" s="256"/>
      <c r="O26" s="256"/>
      <c r="P26" s="256"/>
      <c r="Q26" s="256"/>
      <c r="R26" s="256"/>
    </row>
    <row r="27" spans="1:18" ht="76.5" thickTop="1" thickBot="1" x14ac:dyDescent="0.25">
      <c r="A27" s="492"/>
      <c r="B27" s="483" t="s">
        <v>1145</v>
      </c>
      <c r="C27" s="483" t="s">
        <v>317</v>
      </c>
      <c r="D27" s="483" t="s">
        <v>310</v>
      </c>
      <c r="E27" s="483" t="s">
        <v>1400</v>
      </c>
      <c r="F27" s="489" t="s">
        <v>1401</v>
      </c>
      <c r="G27" s="496" t="s">
        <v>1352</v>
      </c>
      <c r="H27" s="491">
        <v>4761740</v>
      </c>
      <c r="I27" s="552">
        <f>0+J27</f>
        <v>4761740</v>
      </c>
      <c r="J27" s="493">
        <f>(200000)+4561740</f>
        <v>4761740</v>
      </c>
      <c r="K27" s="494">
        <f>I27/H27</f>
        <v>1</v>
      </c>
      <c r="L27" s="279"/>
      <c r="M27" s="280"/>
      <c r="N27" s="256"/>
      <c r="O27" s="256"/>
      <c r="P27" s="256"/>
      <c r="Q27" s="256"/>
      <c r="R27" s="256"/>
    </row>
    <row r="28" spans="1:18" ht="89.25" customHeight="1" thickTop="1" thickBot="1" x14ac:dyDescent="0.25">
      <c r="B28" s="483" t="s">
        <v>1145</v>
      </c>
      <c r="C28" s="483" t="s">
        <v>317</v>
      </c>
      <c r="D28" s="483" t="s">
        <v>310</v>
      </c>
      <c r="E28" s="483" t="s">
        <v>1400</v>
      </c>
      <c r="F28" s="495" t="s">
        <v>1424</v>
      </c>
      <c r="G28" s="496" t="s">
        <v>1352</v>
      </c>
      <c r="H28" s="491">
        <v>5488305</v>
      </c>
      <c r="I28" s="552">
        <f>3408837.41+J28</f>
        <v>5081189.01</v>
      </c>
      <c r="J28" s="493">
        <f>1666801+5550.6</f>
        <v>1672351.6</v>
      </c>
      <c r="K28" s="494">
        <v>1</v>
      </c>
      <c r="L28" s="279"/>
      <c r="M28" s="280"/>
      <c r="N28" s="256"/>
      <c r="O28" s="256"/>
      <c r="P28" s="256"/>
      <c r="Q28" s="256"/>
      <c r="R28" s="256"/>
    </row>
    <row r="29" spans="1:18" ht="61.5" hidden="1" thickTop="1" thickBot="1" x14ac:dyDescent="0.25">
      <c r="B29" s="273" t="s">
        <v>1145</v>
      </c>
      <c r="C29" s="273" t="s">
        <v>317</v>
      </c>
      <c r="D29" s="273" t="s">
        <v>310</v>
      </c>
      <c r="E29" s="273" t="s">
        <v>1294</v>
      </c>
      <c r="F29" s="274" t="s">
        <v>1180</v>
      </c>
      <c r="G29" s="275" t="s">
        <v>1013</v>
      </c>
      <c r="H29" s="281">
        <v>4179432</v>
      </c>
      <c r="I29" s="277">
        <f>(49000)+13800</f>
        <v>62800</v>
      </c>
      <c r="J29" s="277">
        <f>(700000)-700000</f>
        <v>0</v>
      </c>
      <c r="K29" s="278">
        <f>(J29+I29)/H29</f>
        <v>1.5025965250780489E-2</v>
      </c>
      <c r="L29" s="282"/>
      <c r="M29" s="280"/>
      <c r="N29" s="256"/>
      <c r="O29" s="256"/>
      <c r="P29" s="256"/>
      <c r="Q29" s="256"/>
      <c r="R29" s="256"/>
    </row>
    <row r="30" spans="1:18" ht="46.5" thickTop="1" thickBot="1" x14ac:dyDescent="0.25">
      <c r="B30" s="506" t="s">
        <v>155</v>
      </c>
      <c r="C30" s="506"/>
      <c r="D30" s="506"/>
      <c r="E30" s="507" t="s">
        <v>18</v>
      </c>
      <c r="F30" s="506"/>
      <c r="G30" s="506"/>
      <c r="H30" s="508">
        <f>H31</f>
        <v>20032733</v>
      </c>
      <c r="I30" s="508">
        <f>I31</f>
        <v>11239495</v>
      </c>
      <c r="J30" s="508">
        <f>J31</f>
        <v>11239495</v>
      </c>
      <c r="K30" s="509"/>
      <c r="L30" s="256"/>
      <c r="M30" s="256"/>
      <c r="N30" s="256"/>
      <c r="O30" s="256"/>
      <c r="P30" s="256"/>
      <c r="Q30" s="256"/>
      <c r="R30" s="256"/>
    </row>
    <row r="31" spans="1:18" ht="44.25" thickTop="1" thickBot="1" x14ac:dyDescent="0.25">
      <c r="B31" s="510" t="s">
        <v>156</v>
      </c>
      <c r="C31" s="510"/>
      <c r="D31" s="510"/>
      <c r="E31" s="511" t="s">
        <v>36</v>
      </c>
      <c r="F31" s="510"/>
      <c r="G31" s="510"/>
      <c r="H31" s="512">
        <f>H34</f>
        <v>20032733</v>
      </c>
      <c r="I31" s="512">
        <f>I34</f>
        <v>11239495</v>
      </c>
      <c r="J31" s="512">
        <f>J34</f>
        <v>11239495</v>
      </c>
      <c r="K31" s="513"/>
      <c r="L31" s="256"/>
      <c r="M31" s="256"/>
      <c r="N31" s="256"/>
      <c r="O31" s="256"/>
      <c r="P31" s="256"/>
      <c r="Q31" s="256"/>
      <c r="R31" s="256"/>
    </row>
    <row r="32" spans="1:18" ht="91.5" hidden="1" thickTop="1" thickBot="1" x14ac:dyDescent="0.25">
      <c r="B32" s="263" t="s">
        <v>422</v>
      </c>
      <c r="C32" s="263" t="s">
        <v>241</v>
      </c>
      <c r="D32" s="263" t="s">
        <v>239</v>
      </c>
      <c r="E32" s="263" t="s">
        <v>240</v>
      </c>
      <c r="F32" s="264" t="s">
        <v>1137</v>
      </c>
      <c r="G32" s="268" t="s">
        <v>1138</v>
      </c>
      <c r="H32" s="269"/>
      <c r="I32" s="270"/>
      <c r="J32" s="267"/>
      <c r="K32" s="270"/>
      <c r="L32" s="256"/>
      <c r="M32" s="256"/>
      <c r="N32" s="256"/>
      <c r="O32" s="256"/>
      <c r="P32" s="256"/>
      <c r="Q32" s="256"/>
      <c r="R32" s="256"/>
    </row>
    <row r="33" spans="1:18" ht="91.5" hidden="1" thickTop="1" thickBot="1" x14ac:dyDescent="0.25">
      <c r="B33" s="273" t="s">
        <v>219</v>
      </c>
      <c r="C33" s="273" t="s">
        <v>216</v>
      </c>
      <c r="D33" s="273" t="s">
        <v>220</v>
      </c>
      <c r="E33" s="273" t="s">
        <v>19</v>
      </c>
      <c r="F33" s="283" t="s">
        <v>1165</v>
      </c>
      <c r="G33" s="284" t="s">
        <v>619</v>
      </c>
      <c r="H33" s="276">
        <v>24579593</v>
      </c>
      <c r="I33" s="276">
        <f>600000+5500000</f>
        <v>6100000</v>
      </c>
      <c r="J33" s="285"/>
      <c r="K33" s="286">
        <f>(J33+I33)/H33</f>
        <v>0.24817335258561848</v>
      </c>
      <c r="L33" s="256"/>
      <c r="M33" s="256"/>
      <c r="N33" s="256"/>
      <c r="O33" s="256"/>
      <c r="P33" s="256"/>
      <c r="Q33" s="256"/>
      <c r="R33" s="256"/>
    </row>
    <row r="34" spans="1:18" ht="91.5" thickTop="1" thickBot="1" x14ac:dyDescent="0.25">
      <c r="B34" s="483" t="s">
        <v>1230</v>
      </c>
      <c r="C34" s="483" t="s">
        <v>1232</v>
      </c>
      <c r="D34" s="483" t="s">
        <v>310</v>
      </c>
      <c r="E34" s="483" t="s">
        <v>1341</v>
      </c>
      <c r="F34" s="555" t="s">
        <v>1339</v>
      </c>
      <c r="G34" s="496" t="s">
        <v>1352</v>
      </c>
      <c r="H34" s="552">
        <v>20032733</v>
      </c>
      <c r="I34" s="552">
        <f>0+J34</f>
        <v>11239495</v>
      </c>
      <c r="J34" s="493">
        <v>11239495</v>
      </c>
      <c r="K34" s="494">
        <f>I34/H34</f>
        <v>0.5610564968843742</v>
      </c>
      <c r="L34" s="580" t="s">
        <v>1363</v>
      </c>
      <c r="M34" s="256"/>
      <c r="N34" s="256"/>
      <c r="O34" s="256"/>
      <c r="P34" s="256"/>
      <c r="Q34" s="256"/>
      <c r="R34" s="256"/>
    </row>
    <row r="35" spans="1:18" ht="91.5" hidden="1" thickTop="1" thickBot="1" x14ac:dyDescent="0.25">
      <c r="B35" s="273" t="s">
        <v>1230</v>
      </c>
      <c r="C35" s="273" t="s">
        <v>1232</v>
      </c>
      <c r="D35" s="273" t="s">
        <v>310</v>
      </c>
      <c r="E35" s="273" t="s">
        <v>1295</v>
      </c>
      <c r="F35" s="283" t="s">
        <v>1233</v>
      </c>
      <c r="G35" s="284" t="s">
        <v>1183</v>
      </c>
      <c r="H35" s="276">
        <v>300000</v>
      </c>
      <c r="I35" s="276">
        <v>0</v>
      </c>
      <c r="J35" s="285"/>
      <c r="K35" s="286">
        <f>(J35+I35)/H35</f>
        <v>0</v>
      </c>
      <c r="L35" s="256"/>
      <c r="M35" s="256"/>
      <c r="N35" s="256"/>
      <c r="O35" s="256"/>
      <c r="P35" s="256"/>
      <c r="Q35" s="256"/>
      <c r="R35" s="256"/>
    </row>
    <row r="36" spans="1:18" ht="46.5" hidden="1" thickTop="1" thickBot="1" x14ac:dyDescent="0.25">
      <c r="B36" s="257" t="s">
        <v>157</v>
      </c>
      <c r="C36" s="257"/>
      <c r="D36" s="257"/>
      <c r="E36" s="258" t="s">
        <v>37</v>
      </c>
      <c r="F36" s="257"/>
      <c r="G36" s="257"/>
      <c r="H36" s="259">
        <f>H37</f>
        <v>0</v>
      </c>
      <c r="I36" s="259">
        <f>I37</f>
        <v>0</v>
      </c>
      <c r="J36" s="259">
        <f>J37</f>
        <v>0</v>
      </c>
      <c r="K36" s="287"/>
      <c r="L36" s="256"/>
      <c r="M36" s="256"/>
      <c r="N36" s="256"/>
      <c r="O36" s="256"/>
      <c r="P36" s="256"/>
      <c r="Q36" s="256"/>
      <c r="R36" s="256"/>
    </row>
    <row r="37" spans="1:18" ht="58.5" hidden="1" thickTop="1" thickBot="1" x14ac:dyDescent="0.25">
      <c r="B37" s="260" t="s">
        <v>158</v>
      </c>
      <c r="C37" s="260"/>
      <c r="D37" s="260"/>
      <c r="E37" s="261" t="s">
        <v>38</v>
      </c>
      <c r="F37" s="260"/>
      <c r="G37" s="260"/>
      <c r="H37" s="262">
        <f>SUM(H38:H38)</f>
        <v>0</v>
      </c>
      <c r="I37" s="262">
        <f>SUM(I38:I38)</f>
        <v>0</v>
      </c>
      <c r="J37" s="262">
        <f>SUM(J38:J38)</f>
        <v>0</v>
      </c>
      <c r="K37" s="288"/>
      <c r="L37" s="256"/>
      <c r="M37" s="256"/>
      <c r="N37" s="256"/>
      <c r="O37" s="256"/>
      <c r="P37" s="256"/>
      <c r="Q37" s="256"/>
      <c r="R37" s="256"/>
    </row>
    <row r="38" spans="1:18" ht="46.5" hidden="1" thickTop="1" thickBot="1" x14ac:dyDescent="0.25">
      <c r="B38" s="263" t="s">
        <v>421</v>
      </c>
      <c r="C38" s="263" t="s">
        <v>241</v>
      </c>
      <c r="D38" s="263" t="s">
        <v>239</v>
      </c>
      <c r="E38" s="263" t="s">
        <v>240</v>
      </c>
      <c r="F38" s="289"/>
      <c r="G38" s="268"/>
      <c r="H38" s="269"/>
      <c r="I38" s="268"/>
      <c r="J38" s="269"/>
      <c r="K38" s="269"/>
      <c r="L38" s="256"/>
      <c r="M38" s="256"/>
      <c r="N38" s="256"/>
      <c r="O38" s="256"/>
      <c r="P38" s="256"/>
      <c r="Q38" s="256"/>
      <c r="R38" s="256"/>
    </row>
    <row r="39" spans="1:18" ht="46.5" hidden="1" thickTop="1" thickBot="1" x14ac:dyDescent="0.25">
      <c r="A39" s="310"/>
      <c r="B39" s="290">
        <v>1000000</v>
      </c>
      <c r="C39" s="290"/>
      <c r="D39" s="290"/>
      <c r="E39" s="291" t="s">
        <v>24</v>
      </c>
      <c r="F39" s="290"/>
      <c r="G39" s="290"/>
      <c r="H39" s="292">
        <f>H40</f>
        <v>27064985</v>
      </c>
      <c r="I39" s="292">
        <f>I40</f>
        <v>19955037.289999999</v>
      </c>
      <c r="J39" s="292">
        <f>J40</f>
        <v>0</v>
      </c>
      <c r="K39" s="293"/>
      <c r="L39" s="256"/>
      <c r="M39" s="256"/>
      <c r="N39" s="256"/>
      <c r="O39" s="256"/>
      <c r="P39" s="256"/>
      <c r="Q39" s="256"/>
      <c r="R39" s="256"/>
    </row>
    <row r="40" spans="1:18" ht="44.25" hidden="1" thickTop="1" thickBot="1" x14ac:dyDescent="0.25">
      <c r="A40" s="310"/>
      <c r="B40" s="294">
        <v>1010000</v>
      </c>
      <c r="C40" s="294"/>
      <c r="D40" s="294"/>
      <c r="E40" s="295" t="s">
        <v>39</v>
      </c>
      <c r="F40" s="294"/>
      <c r="G40" s="294"/>
      <c r="H40" s="296">
        <f>SUM(H41:H42)</f>
        <v>27064985</v>
      </c>
      <c r="I40" s="296">
        <f>SUM(I41:I42)</f>
        <v>19955037.289999999</v>
      </c>
      <c r="J40" s="296">
        <f>SUM(J41:J42)</f>
        <v>0</v>
      </c>
      <c r="K40" s="297"/>
      <c r="L40" s="256"/>
      <c r="M40" s="256"/>
      <c r="N40" s="256"/>
      <c r="O40" s="256"/>
      <c r="P40" s="256"/>
      <c r="Q40" s="256"/>
      <c r="R40" s="256"/>
    </row>
    <row r="41" spans="1:18" ht="61.5" hidden="1" thickTop="1" thickBot="1" x14ac:dyDescent="0.25">
      <c r="A41" s="217"/>
      <c r="B41" s="273" t="s">
        <v>181</v>
      </c>
      <c r="C41" s="273" t="s">
        <v>182</v>
      </c>
      <c r="D41" s="273" t="s">
        <v>179</v>
      </c>
      <c r="E41" s="273" t="s">
        <v>470</v>
      </c>
      <c r="F41" s="274" t="s">
        <v>956</v>
      </c>
      <c r="G41" s="281" t="s">
        <v>528</v>
      </c>
      <c r="H41" s="281">
        <v>27064985</v>
      </c>
      <c r="I41" s="281">
        <f>1430336+2994769.5+4929931.79+5600000+(3000000)+2000000</f>
        <v>19955037.289999999</v>
      </c>
      <c r="J41" s="281">
        <f>(4652920)-4652920</f>
        <v>0</v>
      </c>
      <c r="K41" s="298">
        <f>(J41+I41)/H41</f>
        <v>0.73730088119391157</v>
      </c>
      <c r="L41" s="256"/>
      <c r="M41" s="256"/>
      <c r="N41" s="256"/>
      <c r="O41" s="256"/>
      <c r="P41" s="256"/>
      <c r="Q41" s="256"/>
      <c r="R41" s="256"/>
    </row>
    <row r="42" spans="1:18" ht="121.5" hidden="1" thickTop="1" thickBot="1" x14ac:dyDescent="0.25">
      <c r="A42" s="310"/>
      <c r="B42" s="263" t="s">
        <v>933</v>
      </c>
      <c r="C42" s="263" t="s">
        <v>202</v>
      </c>
      <c r="D42" s="263" t="s">
        <v>171</v>
      </c>
      <c r="E42" s="263" t="s">
        <v>34</v>
      </c>
      <c r="F42" s="289" t="s">
        <v>964</v>
      </c>
      <c r="G42" s="268" t="s">
        <v>566</v>
      </c>
      <c r="H42" s="269"/>
      <c r="I42" s="270"/>
      <c r="J42" s="269"/>
      <c r="K42" s="270"/>
      <c r="L42" s="256"/>
      <c r="M42" s="256"/>
      <c r="N42" s="256"/>
      <c r="O42" s="256"/>
      <c r="P42" s="256"/>
      <c r="Q42" s="256"/>
      <c r="R42" s="256"/>
    </row>
    <row r="43" spans="1:18" ht="46.5" thickTop="1" thickBot="1" x14ac:dyDescent="0.25">
      <c r="B43" s="506" t="s">
        <v>22</v>
      </c>
      <c r="C43" s="506"/>
      <c r="D43" s="506"/>
      <c r="E43" s="507" t="s">
        <v>23</v>
      </c>
      <c r="F43" s="506"/>
      <c r="G43" s="506"/>
      <c r="H43" s="508">
        <f t="shared" ref="H43:J43" si="1">H44</f>
        <v>24289723</v>
      </c>
      <c r="I43" s="508">
        <f t="shared" si="1"/>
        <v>22268502.559999999</v>
      </c>
      <c r="J43" s="508">
        <f t="shared" si="1"/>
        <v>10618475.08</v>
      </c>
      <c r="K43" s="509"/>
      <c r="L43" s="256"/>
      <c r="M43" s="256"/>
      <c r="N43" s="256"/>
      <c r="O43" s="256"/>
      <c r="P43" s="256"/>
      <c r="Q43" s="256"/>
      <c r="R43" s="256"/>
    </row>
    <row r="44" spans="1:18" ht="44.25" thickTop="1" thickBot="1" x14ac:dyDescent="0.25">
      <c r="B44" s="510" t="s">
        <v>21</v>
      </c>
      <c r="C44" s="510"/>
      <c r="D44" s="510"/>
      <c r="E44" s="511" t="s">
        <v>35</v>
      </c>
      <c r="F44" s="510"/>
      <c r="G44" s="510"/>
      <c r="H44" s="512">
        <f>H45+H46</f>
        <v>24289723</v>
      </c>
      <c r="I44" s="512">
        <f>I45+I46</f>
        <v>22268502.559999999</v>
      </c>
      <c r="J44" s="512">
        <f>J45+J46</f>
        <v>10618475.08</v>
      </c>
      <c r="K44" s="513"/>
      <c r="L44" s="256"/>
      <c r="M44" s="256"/>
      <c r="N44" s="256"/>
      <c r="O44" s="256"/>
      <c r="P44" s="256"/>
      <c r="Q44" s="256"/>
      <c r="R44" s="256"/>
    </row>
    <row r="45" spans="1:18" ht="46.5" thickTop="1" thickBot="1" x14ac:dyDescent="0.25">
      <c r="B45" s="483" t="s">
        <v>194</v>
      </c>
      <c r="C45" s="483" t="s">
        <v>195</v>
      </c>
      <c r="D45" s="483" t="s">
        <v>190</v>
      </c>
      <c r="E45" s="483" t="s">
        <v>10</v>
      </c>
      <c r="F45" s="551" t="s">
        <v>1345</v>
      </c>
      <c r="G45" s="496" t="s">
        <v>619</v>
      </c>
      <c r="H45" s="552">
        <v>2102059</v>
      </c>
      <c r="I45" s="493">
        <f>66820+3338.56+J45</f>
        <v>80838.559999999998</v>
      </c>
      <c r="J45" s="493">
        <v>10680</v>
      </c>
      <c r="K45" s="494">
        <f t="shared" ref="K45" si="2">I45/H45</f>
        <v>3.8456846358736835E-2</v>
      </c>
      <c r="L45" s="256"/>
      <c r="M45" s="256"/>
      <c r="N45" s="256"/>
      <c r="O45" s="256"/>
      <c r="P45" s="256"/>
      <c r="Q45" s="256"/>
      <c r="R45" s="256"/>
    </row>
    <row r="46" spans="1:18" s="311" customFormat="1" ht="76.5" thickTop="1" thickBot="1" x14ac:dyDescent="0.25">
      <c r="B46" s="483" t="s">
        <v>28</v>
      </c>
      <c r="C46" s="483" t="s">
        <v>197</v>
      </c>
      <c r="D46" s="483" t="s">
        <v>200</v>
      </c>
      <c r="E46" s="483" t="s">
        <v>48</v>
      </c>
      <c r="F46" s="551" t="s">
        <v>1337</v>
      </c>
      <c r="G46" s="496" t="s">
        <v>1336</v>
      </c>
      <c r="H46" s="552">
        <v>22187664</v>
      </c>
      <c r="I46" s="493">
        <f>6649999+4929869.92+J46</f>
        <v>22187664</v>
      </c>
      <c r="J46" s="493">
        <f>(179860)+10427935.08</f>
        <v>10607795.08</v>
      </c>
      <c r="K46" s="494">
        <f>I46/H46</f>
        <v>1</v>
      </c>
      <c r="L46" s="581">
        <f>H46-I46-4929869.92</f>
        <v>-4929869.92</v>
      </c>
      <c r="M46" s="300"/>
      <c r="N46" s="300"/>
      <c r="O46" s="300"/>
      <c r="P46" s="300"/>
      <c r="Q46" s="300"/>
      <c r="R46" s="300"/>
    </row>
    <row r="47" spans="1:18" s="311" customFormat="1" ht="16.5" hidden="1" thickTop="1" thickBot="1" x14ac:dyDescent="0.25">
      <c r="B47" s="483"/>
      <c r="C47" s="483"/>
      <c r="D47" s="483"/>
      <c r="E47" s="483"/>
      <c r="F47" s="551"/>
      <c r="G47" s="496"/>
      <c r="H47" s="552"/>
      <c r="I47" s="493"/>
      <c r="J47" s="493"/>
      <c r="K47" s="494"/>
      <c r="L47" s="581"/>
      <c r="M47" s="300"/>
      <c r="N47" s="300"/>
      <c r="O47" s="300"/>
      <c r="P47" s="300"/>
      <c r="Q47" s="300"/>
      <c r="R47" s="300"/>
    </row>
    <row r="48" spans="1:18" s="311" customFormat="1" ht="16.5" hidden="1" thickTop="1" thickBot="1" x14ac:dyDescent="0.25">
      <c r="B48" s="483"/>
      <c r="C48" s="483"/>
      <c r="D48" s="483"/>
      <c r="E48" s="483"/>
      <c r="F48" s="551"/>
      <c r="G48" s="496"/>
      <c r="H48" s="552"/>
      <c r="I48" s="493"/>
      <c r="J48" s="493"/>
      <c r="K48" s="494"/>
      <c r="L48" s="581"/>
      <c r="M48" s="300"/>
      <c r="N48" s="300"/>
      <c r="O48" s="300"/>
      <c r="P48" s="300"/>
      <c r="Q48" s="300"/>
      <c r="R48" s="300"/>
    </row>
    <row r="49" spans="1:18" s="311" customFormat="1" ht="46.5" hidden="1" thickTop="1" thickBot="1" x14ac:dyDescent="0.25">
      <c r="B49" s="221" t="s">
        <v>159</v>
      </c>
      <c r="C49" s="221"/>
      <c r="D49" s="221"/>
      <c r="E49" s="222" t="s">
        <v>569</v>
      </c>
      <c r="F49" s="221"/>
      <c r="G49" s="221"/>
      <c r="H49" s="223">
        <f t="shared" ref="H49:J49" si="3">H50</f>
        <v>4177606</v>
      </c>
      <c r="I49" s="223">
        <f t="shared" si="3"/>
        <v>0</v>
      </c>
      <c r="J49" s="223">
        <f t="shared" si="3"/>
        <v>0</v>
      </c>
      <c r="K49" s="271"/>
      <c r="L49" s="301"/>
      <c r="M49" s="300"/>
      <c r="N49" s="300"/>
      <c r="O49" s="300"/>
      <c r="P49" s="300"/>
      <c r="Q49" s="300"/>
      <c r="R49" s="300"/>
    </row>
    <row r="50" spans="1:18" s="311" customFormat="1" ht="44.25" hidden="1" thickTop="1" thickBot="1" x14ac:dyDescent="0.25">
      <c r="B50" s="225" t="s">
        <v>160</v>
      </c>
      <c r="C50" s="225"/>
      <c r="D50" s="225"/>
      <c r="E50" s="226" t="s">
        <v>570</v>
      </c>
      <c r="F50" s="225"/>
      <c r="G50" s="225"/>
      <c r="H50" s="227">
        <f>H51</f>
        <v>4177606</v>
      </c>
      <c r="I50" s="227">
        <f>I51</f>
        <v>0</v>
      </c>
      <c r="J50" s="227">
        <f>J51</f>
        <v>0</v>
      </c>
      <c r="K50" s="272"/>
      <c r="L50" s="301"/>
      <c r="M50" s="300"/>
      <c r="N50" s="300"/>
      <c r="O50" s="300"/>
      <c r="P50" s="300"/>
      <c r="Q50" s="300"/>
      <c r="R50" s="300"/>
    </row>
    <row r="51" spans="1:18" s="311" customFormat="1" ht="46.5" hidden="1" thickTop="1" thickBot="1" x14ac:dyDescent="0.25">
      <c r="B51" s="273" t="s">
        <v>1193</v>
      </c>
      <c r="C51" s="273" t="s">
        <v>311</v>
      </c>
      <c r="D51" s="273" t="s">
        <v>310</v>
      </c>
      <c r="E51" s="273" t="s">
        <v>1296</v>
      </c>
      <c r="F51" s="299" t="s">
        <v>1200</v>
      </c>
      <c r="G51" s="281" t="s">
        <v>1183</v>
      </c>
      <c r="H51" s="281">
        <v>4177606</v>
      </c>
      <c r="I51" s="281">
        <v>0</v>
      </c>
      <c r="J51" s="277"/>
      <c r="K51" s="302">
        <f>(I51+J51)/H51</f>
        <v>0</v>
      </c>
      <c r="L51" s="301"/>
      <c r="M51" s="300"/>
      <c r="N51" s="300"/>
      <c r="O51" s="300"/>
      <c r="P51" s="300"/>
      <c r="Q51" s="300"/>
      <c r="R51" s="300"/>
    </row>
    <row r="52" spans="1:18" s="311" customFormat="1" ht="46.5" thickTop="1" thickBot="1" x14ac:dyDescent="0.25">
      <c r="B52" s="506" t="s">
        <v>548</v>
      </c>
      <c r="C52" s="506"/>
      <c r="D52" s="506"/>
      <c r="E52" s="507" t="s">
        <v>567</v>
      </c>
      <c r="F52" s="506"/>
      <c r="G52" s="506"/>
      <c r="H52" s="508">
        <f>H53</f>
        <v>131148553.08</v>
      </c>
      <c r="I52" s="508">
        <f>I53</f>
        <v>105429825.18000001</v>
      </c>
      <c r="J52" s="508">
        <f>J53</f>
        <v>80576783.560000002</v>
      </c>
      <c r="K52" s="509"/>
      <c r="L52" s="301"/>
      <c r="M52" s="300"/>
      <c r="N52" s="300"/>
      <c r="O52" s="300"/>
      <c r="P52" s="300"/>
      <c r="Q52" s="300"/>
      <c r="R52" s="300"/>
    </row>
    <row r="53" spans="1:18" s="311" customFormat="1" ht="44.25" thickTop="1" thickBot="1" x14ac:dyDescent="0.25">
      <c r="B53" s="510" t="s">
        <v>549</v>
      </c>
      <c r="C53" s="510"/>
      <c r="D53" s="510"/>
      <c r="E53" s="511" t="s">
        <v>568</v>
      </c>
      <c r="F53" s="510"/>
      <c r="G53" s="510"/>
      <c r="H53" s="512">
        <f>H68+H69+H70+H71+H72+H77+H80+H73+H74+H75+H76+H78+H61+H66+H79+H81+H82+H83+H87+H86</f>
        <v>131148553.08</v>
      </c>
      <c r="I53" s="512">
        <f>I68+I69+I70+I71+I72+I77+I80+I73+I74+I75+I76+I78+I61+I66+I79+I81+I82+I83+I87+I86</f>
        <v>105429825.18000001</v>
      </c>
      <c r="J53" s="512">
        <f>J68+J69+J70+J71+J72+J77+J80+J73+J74+J75+J76+J78+J61+J66+J79+J81+J82+J83+J87+J86</f>
        <v>80576783.560000002</v>
      </c>
      <c r="K53" s="513"/>
      <c r="L53" s="301"/>
      <c r="M53" s="300"/>
      <c r="N53" s="300"/>
      <c r="O53" s="300"/>
      <c r="P53" s="300"/>
      <c r="Q53" s="300"/>
      <c r="R53" s="300"/>
    </row>
    <row r="54" spans="1:18" s="311" customFormat="1" ht="61.5" hidden="1" thickTop="1" thickBot="1" x14ac:dyDescent="0.25">
      <c r="A54" s="216"/>
      <c r="B54" s="303" t="s">
        <v>556</v>
      </c>
      <c r="C54" s="303" t="s">
        <v>311</v>
      </c>
      <c r="D54" s="303" t="s">
        <v>310</v>
      </c>
      <c r="E54" s="303" t="s">
        <v>476</v>
      </c>
      <c r="F54" s="304" t="s">
        <v>1181</v>
      </c>
      <c r="G54" s="276" t="s">
        <v>1013</v>
      </c>
      <c r="H54" s="276">
        <v>10423167</v>
      </c>
      <c r="I54" s="276">
        <v>2000000</v>
      </c>
      <c r="J54" s="276">
        <f>(2000000)-2000000</f>
        <v>0</v>
      </c>
      <c r="K54" s="302">
        <f t="shared" ref="K54:K88" si="4">(I54+J54)/H54</f>
        <v>0.19188026057723148</v>
      </c>
      <c r="L54" s="301"/>
      <c r="M54" s="300"/>
      <c r="N54" s="300"/>
      <c r="O54" s="300"/>
      <c r="P54" s="300"/>
      <c r="Q54" s="300"/>
      <c r="R54" s="300"/>
    </row>
    <row r="55" spans="1:18" s="311" customFormat="1" ht="46.5" hidden="1" thickTop="1" thickBot="1" x14ac:dyDescent="0.25">
      <c r="A55" s="216"/>
      <c r="B55" s="303" t="s">
        <v>556</v>
      </c>
      <c r="C55" s="303" t="s">
        <v>311</v>
      </c>
      <c r="D55" s="303" t="s">
        <v>310</v>
      </c>
      <c r="E55" s="303" t="s">
        <v>476</v>
      </c>
      <c r="F55" s="304" t="s">
        <v>1182</v>
      </c>
      <c r="G55" s="276" t="s">
        <v>529</v>
      </c>
      <c r="H55" s="276">
        <v>19973126</v>
      </c>
      <c r="I55" s="276">
        <v>3000000</v>
      </c>
      <c r="J55" s="276">
        <f>(2000000)-2000000</f>
        <v>0</v>
      </c>
      <c r="K55" s="302">
        <f t="shared" si="4"/>
        <v>0.15020182619385669</v>
      </c>
      <c r="L55" s="301"/>
      <c r="M55" s="300"/>
      <c r="N55" s="300"/>
      <c r="O55" s="300"/>
      <c r="P55" s="300"/>
      <c r="Q55" s="300"/>
      <c r="R55" s="300"/>
    </row>
    <row r="56" spans="1:18" s="311" customFormat="1" ht="61.5" hidden="1" thickTop="1" thickBot="1" x14ac:dyDescent="0.25">
      <c r="A56" s="216"/>
      <c r="B56" s="303" t="s">
        <v>556</v>
      </c>
      <c r="C56" s="303" t="s">
        <v>311</v>
      </c>
      <c r="D56" s="303" t="s">
        <v>310</v>
      </c>
      <c r="E56" s="303" t="s">
        <v>476</v>
      </c>
      <c r="F56" s="304" t="s">
        <v>1223</v>
      </c>
      <c r="G56" s="276" t="s">
        <v>1183</v>
      </c>
      <c r="H56" s="276">
        <v>7326277</v>
      </c>
      <c r="I56" s="276">
        <v>0</v>
      </c>
      <c r="J56" s="276"/>
      <c r="K56" s="302">
        <f t="shared" si="4"/>
        <v>0</v>
      </c>
      <c r="L56" s="301"/>
      <c r="M56" s="300"/>
      <c r="N56" s="300"/>
      <c r="O56" s="300"/>
      <c r="P56" s="300"/>
      <c r="Q56" s="300"/>
      <c r="R56" s="300"/>
    </row>
    <row r="57" spans="1:18" s="311" customFormat="1" ht="46.5" hidden="1" thickTop="1" thickBot="1" x14ac:dyDescent="0.25">
      <c r="A57" s="216"/>
      <c r="B57" s="303" t="s">
        <v>556</v>
      </c>
      <c r="C57" s="303" t="s">
        <v>311</v>
      </c>
      <c r="D57" s="303" t="s">
        <v>310</v>
      </c>
      <c r="E57" s="303" t="s">
        <v>476</v>
      </c>
      <c r="F57" s="304" t="s">
        <v>1187</v>
      </c>
      <c r="G57" s="276" t="s">
        <v>1183</v>
      </c>
      <c r="H57" s="276">
        <v>8650378</v>
      </c>
      <c r="I57" s="276">
        <v>0</v>
      </c>
      <c r="J57" s="276"/>
      <c r="K57" s="302">
        <f t="shared" si="4"/>
        <v>0</v>
      </c>
      <c r="L57" s="301"/>
      <c r="M57" s="300"/>
      <c r="N57" s="300"/>
      <c r="O57" s="300"/>
      <c r="P57" s="300"/>
      <c r="Q57" s="300"/>
      <c r="R57" s="300"/>
    </row>
    <row r="58" spans="1:18" s="311" customFormat="1" ht="46.5" hidden="1" thickTop="1" thickBot="1" x14ac:dyDescent="0.25">
      <c r="A58" s="216"/>
      <c r="B58" s="303" t="s">
        <v>556</v>
      </c>
      <c r="C58" s="303" t="s">
        <v>311</v>
      </c>
      <c r="D58" s="303" t="s">
        <v>310</v>
      </c>
      <c r="E58" s="303" t="s">
        <v>476</v>
      </c>
      <c r="F58" s="304" t="s">
        <v>1188</v>
      </c>
      <c r="G58" s="276" t="s">
        <v>528</v>
      </c>
      <c r="H58" s="276">
        <v>68621716</v>
      </c>
      <c r="I58" s="276">
        <v>65923472</v>
      </c>
      <c r="J58" s="276"/>
      <c r="K58" s="302">
        <f t="shared" si="4"/>
        <v>0.96067944439046093</v>
      </c>
      <c r="L58" s="301"/>
      <c r="M58" s="300"/>
      <c r="N58" s="300"/>
      <c r="O58" s="300"/>
      <c r="P58" s="300"/>
      <c r="Q58" s="300"/>
      <c r="R58" s="300"/>
    </row>
    <row r="59" spans="1:18" s="311" customFormat="1" ht="46.5" hidden="1" thickTop="1" thickBot="1" x14ac:dyDescent="0.25">
      <c r="A59" s="216"/>
      <c r="B59" s="303" t="s">
        <v>556</v>
      </c>
      <c r="C59" s="303" t="s">
        <v>311</v>
      </c>
      <c r="D59" s="303" t="s">
        <v>310</v>
      </c>
      <c r="E59" s="303" t="s">
        <v>476</v>
      </c>
      <c r="F59" s="304" t="s">
        <v>1210</v>
      </c>
      <c r="G59" s="276" t="s">
        <v>528</v>
      </c>
      <c r="H59" s="276">
        <v>18370999</v>
      </c>
      <c r="I59" s="276">
        <f>(300000+171778.77+2000000+2000000)</f>
        <v>4471778.7699999996</v>
      </c>
      <c r="J59" s="276"/>
      <c r="K59" s="302">
        <f>(I59+J59)/H59</f>
        <v>0.24341511150264608</v>
      </c>
      <c r="L59" s="301"/>
      <c r="M59" s="300"/>
      <c r="N59" s="300"/>
      <c r="O59" s="300"/>
      <c r="P59" s="300"/>
      <c r="Q59" s="300"/>
      <c r="R59" s="300"/>
    </row>
    <row r="60" spans="1:18" s="311" customFormat="1" ht="46.5" hidden="1" thickTop="1" thickBot="1" x14ac:dyDescent="0.25">
      <c r="A60" s="216"/>
      <c r="B60" s="483" t="s">
        <v>557</v>
      </c>
      <c r="C60" s="483" t="s">
        <v>299</v>
      </c>
      <c r="D60" s="483" t="s">
        <v>301</v>
      </c>
      <c r="E60" s="483" t="s">
        <v>300</v>
      </c>
      <c r="F60" s="304"/>
      <c r="G60" s="276"/>
      <c r="H60" s="748"/>
      <c r="I60" s="276"/>
      <c r="J60" s="276"/>
      <c r="K60" s="302"/>
      <c r="L60" s="301"/>
      <c r="M60" s="300"/>
      <c r="N60" s="300"/>
      <c r="O60" s="300"/>
      <c r="P60" s="300"/>
      <c r="Q60" s="300"/>
      <c r="R60" s="300"/>
    </row>
    <row r="61" spans="1:18" s="311" customFormat="1" ht="76.5" thickTop="1" thickBot="1" x14ac:dyDescent="0.25">
      <c r="A61" s="216"/>
      <c r="B61" s="574" t="s">
        <v>558</v>
      </c>
      <c r="C61" s="574" t="s">
        <v>217</v>
      </c>
      <c r="D61" s="574" t="s">
        <v>218</v>
      </c>
      <c r="E61" s="574" t="s">
        <v>41</v>
      </c>
      <c r="F61" s="750" t="s">
        <v>1184</v>
      </c>
      <c r="G61" s="490" t="s">
        <v>1447</v>
      </c>
      <c r="H61" s="755">
        <v>41231871</v>
      </c>
      <c r="I61" s="552">
        <f>17580407.65+J61</f>
        <v>34014775.649999999</v>
      </c>
      <c r="J61" s="491">
        <v>16434368</v>
      </c>
      <c r="K61" s="494">
        <f>I61/H61</f>
        <v>0.8249631856386046</v>
      </c>
      <c r="L61" s="301"/>
      <c r="M61" s="300"/>
      <c r="N61" s="300"/>
      <c r="O61" s="300"/>
      <c r="P61" s="300"/>
      <c r="Q61" s="300"/>
      <c r="R61" s="300"/>
    </row>
    <row r="62" spans="1:18" s="311" customFormat="1" ht="46.5" hidden="1" thickTop="1" thickBot="1" x14ac:dyDescent="0.25">
      <c r="A62" s="216"/>
      <c r="B62" s="751" t="s">
        <v>559</v>
      </c>
      <c r="C62" s="751" t="s">
        <v>202</v>
      </c>
      <c r="D62" s="751" t="s">
        <v>171</v>
      </c>
      <c r="E62" s="751" t="s">
        <v>34</v>
      </c>
      <c r="F62" s="752" t="s">
        <v>1453</v>
      </c>
      <c r="G62" s="490"/>
      <c r="H62" s="756"/>
      <c r="I62" s="552"/>
      <c r="J62" s="491"/>
      <c r="K62" s="494"/>
      <c r="L62" s="301"/>
      <c r="M62" s="300"/>
      <c r="N62" s="300"/>
      <c r="O62" s="300"/>
      <c r="P62" s="300"/>
      <c r="Q62" s="300"/>
      <c r="R62" s="300"/>
    </row>
    <row r="63" spans="1:18" s="311" customFormat="1" ht="76.5" hidden="1" thickTop="1" thickBot="1" x14ac:dyDescent="0.25">
      <c r="A63" s="216"/>
      <c r="B63" s="303" t="s">
        <v>559</v>
      </c>
      <c r="C63" s="303" t="s">
        <v>202</v>
      </c>
      <c r="D63" s="303" t="s">
        <v>171</v>
      </c>
      <c r="E63" s="303" t="s">
        <v>34</v>
      </c>
      <c r="F63" s="305" t="s">
        <v>1185</v>
      </c>
      <c r="G63" s="284" t="s">
        <v>1179</v>
      </c>
      <c r="H63" s="276">
        <v>4730960</v>
      </c>
      <c r="I63" s="276">
        <f>5000</f>
        <v>5000</v>
      </c>
      <c r="J63" s="276"/>
      <c r="K63" s="302">
        <f t="shared" si="4"/>
        <v>1.0568679506907689E-3</v>
      </c>
      <c r="L63" s="301"/>
      <c r="M63" s="300"/>
      <c r="N63" s="300"/>
      <c r="O63" s="300"/>
      <c r="P63" s="300"/>
      <c r="Q63" s="300"/>
      <c r="R63" s="300"/>
    </row>
    <row r="64" spans="1:18" s="311" customFormat="1" ht="46.5" hidden="1" thickTop="1" thickBot="1" x14ac:dyDescent="0.25">
      <c r="A64" s="216"/>
      <c r="B64" s="574" t="s">
        <v>559</v>
      </c>
      <c r="C64" s="574" t="s">
        <v>202</v>
      </c>
      <c r="D64" s="574" t="s">
        <v>171</v>
      </c>
      <c r="E64" s="574" t="s">
        <v>34</v>
      </c>
      <c r="F64" s="555" t="s">
        <v>1454</v>
      </c>
      <c r="G64" s="490" t="s">
        <v>1336</v>
      </c>
      <c r="H64" s="491">
        <v>3936902</v>
      </c>
      <c r="I64" s="552">
        <f>J64</f>
        <v>100000</v>
      </c>
      <c r="J64" s="491">
        <v>100000</v>
      </c>
      <c r="K64" s="494">
        <f>I64/H64</f>
        <v>2.5400683075169257E-2</v>
      </c>
      <c r="L64" s="301"/>
      <c r="M64" s="300"/>
      <c r="N64" s="300"/>
      <c r="O64" s="300"/>
      <c r="P64" s="300"/>
      <c r="Q64" s="300"/>
      <c r="R64" s="300"/>
    </row>
    <row r="65" spans="1:18" s="311" customFormat="1" ht="31.5" thickTop="1" thickBot="1" x14ac:dyDescent="0.25">
      <c r="A65" s="216"/>
      <c r="B65" s="751" t="s">
        <v>559</v>
      </c>
      <c r="C65" s="751" t="s">
        <v>202</v>
      </c>
      <c r="D65" s="751" t="s">
        <v>171</v>
      </c>
      <c r="E65" s="751" t="s">
        <v>34</v>
      </c>
      <c r="F65" s="752" t="s">
        <v>1452</v>
      </c>
      <c r="G65" s="284"/>
      <c r="H65" s="276"/>
      <c r="I65" s="276"/>
      <c r="J65" s="276"/>
      <c r="K65" s="302"/>
      <c r="L65" s="301"/>
      <c r="M65" s="300"/>
      <c r="N65" s="300"/>
      <c r="O65" s="300"/>
      <c r="P65" s="300"/>
      <c r="Q65" s="300"/>
      <c r="R65" s="300"/>
    </row>
    <row r="66" spans="1:18" s="311" customFormat="1" ht="76.5" thickTop="1" thickBot="1" x14ac:dyDescent="0.25">
      <c r="A66" s="216"/>
      <c r="B66" s="574" t="s">
        <v>559</v>
      </c>
      <c r="C66" s="574" t="s">
        <v>202</v>
      </c>
      <c r="D66" s="574" t="s">
        <v>171</v>
      </c>
      <c r="E66" s="574" t="s">
        <v>34</v>
      </c>
      <c r="F66" s="555" t="s">
        <v>1450</v>
      </c>
      <c r="G66" s="491" t="s">
        <v>1353</v>
      </c>
      <c r="H66" s="491">
        <v>1814685</v>
      </c>
      <c r="I66" s="552">
        <f>0+J66</f>
        <v>1814685</v>
      </c>
      <c r="J66" s="491">
        <v>1814685</v>
      </c>
      <c r="K66" s="494">
        <f>I66/H66</f>
        <v>1</v>
      </c>
      <c r="L66" s="301"/>
      <c r="M66" s="300"/>
      <c r="N66" s="300"/>
      <c r="O66" s="300"/>
      <c r="P66" s="300"/>
      <c r="Q66" s="300"/>
      <c r="R66" s="300"/>
    </row>
    <row r="67" spans="1:18" s="311" customFormat="1" ht="46.5" thickTop="1" thickBot="1" x14ac:dyDescent="0.25">
      <c r="A67" s="216"/>
      <c r="B67" s="751" t="s">
        <v>559</v>
      </c>
      <c r="C67" s="751" t="s">
        <v>202</v>
      </c>
      <c r="D67" s="751" t="s">
        <v>171</v>
      </c>
      <c r="E67" s="751" t="s">
        <v>34</v>
      </c>
      <c r="F67" s="752" t="s">
        <v>1451</v>
      </c>
      <c r="G67" s="753"/>
      <c r="H67" s="753"/>
      <c r="I67" s="753"/>
      <c r="J67" s="753"/>
      <c r="K67" s="754"/>
      <c r="L67" s="301"/>
      <c r="M67" s="300"/>
      <c r="N67" s="300"/>
      <c r="O67" s="300"/>
      <c r="P67" s="300"/>
      <c r="Q67" s="300"/>
      <c r="R67" s="300"/>
    </row>
    <row r="68" spans="1:18" s="311" customFormat="1" ht="61.5" thickTop="1" thickBot="1" x14ac:dyDescent="0.25">
      <c r="A68" s="216"/>
      <c r="B68" s="574" t="s">
        <v>559</v>
      </c>
      <c r="C68" s="574" t="s">
        <v>202</v>
      </c>
      <c r="D68" s="574" t="s">
        <v>171</v>
      </c>
      <c r="E68" s="574" t="s">
        <v>34</v>
      </c>
      <c r="F68" s="555" t="s">
        <v>1431</v>
      </c>
      <c r="G68" s="491" t="s">
        <v>1352</v>
      </c>
      <c r="H68" s="552">
        <v>5372119</v>
      </c>
      <c r="I68" s="552">
        <f>98758+J68</f>
        <v>5372119</v>
      </c>
      <c r="J68" s="491">
        <f>(800000)+4473361</f>
        <v>5273361</v>
      </c>
      <c r="K68" s="494">
        <f>I68/H68</f>
        <v>1</v>
      </c>
      <c r="L68" s="301"/>
      <c r="M68" s="300"/>
      <c r="N68" s="300"/>
      <c r="O68" s="300"/>
      <c r="P68" s="300"/>
      <c r="Q68" s="300"/>
      <c r="R68" s="300"/>
    </row>
    <row r="69" spans="1:18" s="311" customFormat="1" ht="46.5" thickTop="1" thickBot="1" x14ac:dyDescent="0.25">
      <c r="A69" s="216"/>
      <c r="B69" s="574" t="s">
        <v>559</v>
      </c>
      <c r="C69" s="574" t="s">
        <v>202</v>
      </c>
      <c r="D69" s="574" t="s">
        <v>171</v>
      </c>
      <c r="E69" s="574" t="s">
        <v>34</v>
      </c>
      <c r="F69" s="555" t="s">
        <v>1432</v>
      </c>
      <c r="G69" s="491" t="s">
        <v>1353</v>
      </c>
      <c r="H69" s="491">
        <v>7772411</v>
      </c>
      <c r="I69" s="491">
        <f t="shared" ref="I69:I76" si="5">0+J69</f>
        <v>6972411</v>
      </c>
      <c r="J69" s="491">
        <f>(800000)+6172411</f>
        <v>6972411</v>
      </c>
      <c r="K69" s="494">
        <f t="shared" ref="K69:K76" si="6">I69/H69</f>
        <v>0.89707183523876954</v>
      </c>
      <c r="L69" s="301"/>
      <c r="M69" s="300"/>
      <c r="N69" s="300"/>
      <c r="O69" s="300"/>
      <c r="P69" s="300"/>
      <c r="Q69" s="300"/>
      <c r="R69" s="300"/>
    </row>
    <row r="70" spans="1:18" s="311" customFormat="1" ht="61.5" thickTop="1" thickBot="1" x14ac:dyDescent="0.25">
      <c r="A70" s="216"/>
      <c r="B70" s="574" t="s">
        <v>559</v>
      </c>
      <c r="C70" s="574" t="s">
        <v>202</v>
      </c>
      <c r="D70" s="574" t="s">
        <v>171</v>
      </c>
      <c r="E70" s="574" t="s">
        <v>34</v>
      </c>
      <c r="F70" s="555" t="s">
        <v>1433</v>
      </c>
      <c r="G70" s="491" t="s">
        <v>1353</v>
      </c>
      <c r="H70" s="491">
        <v>9279628</v>
      </c>
      <c r="I70" s="491">
        <f t="shared" si="5"/>
        <v>9279628</v>
      </c>
      <c r="J70" s="491">
        <f>(800000)+8479628</f>
        <v>9279628</v>
      </c>
      <c r="K70" s="494">
        <f t="shared" si="6"/>
        <v>1</v>
      </c>
      <c r="L70" s="301"/>
      <c r="M70" s="300"/>
      <c r="N70" s="300"/>
      <c r="O70" s="300"/>
      <c r="P70" s="300"/>
      <c r="Q70" s="300"/>
      <c r="R70" s="300"/>
    </row>
    <row r="71" spans="1:18" s="311" customFormat="1" ht="46.5" thickTop="1" thickBot="1" x14ac:dyDescent="0.25">
      <c r="A71" s="216"/>
      <c r="B71" s="574" t="s">
        <v>559</v>
      </c>
      <c r="C71" s="574" t="s">
        <v>202</v>
      </c>
      <c r="D71" s="574" t="s">
        <v>171</v>
      </c>
      <c r="E71" s="574" t="s">
        <v>34</v>
      </c>
      <c r="F71" s="555" t="s">
        <v>1434</v>
      </c>
      <c r="G71" s="491" t="s">
        <v>1353</v>
      </c>
      <c r="H71" s="491">
        <v>1414397</v>
      </c>
      <c r="I71" s="491">
        <f t="shared" si="5"/>
        <v>1414397</v>
      </c>
      <c r="J71" s="491">
        <f>(216700)+1197697</f>
        <v>1414397</v>
      </c>
      <c r="K71" s="494">
        <f t="shared" si="6"/>
        <v>1</v>
      </c>
      <c r="L71" s="301"/>
      <c r="M71" s="300"/>
      <c r="N71" s="300"/>
      <c r="O71" s="300"/>
      <c r="P71" s="300"/>
      <c r="Q71" s="300"/>
      <c r="R71" s="300"/>
    </row>
    <row r="72" spans="1:18" s="311" customFormat="1" ht="46.5" thickTop="1" thickBot="1" x14ac:dyDescent="0.25">
      <c r="A72" s="216"/>
      <c r="B72" s="574" t="s">
        <v>559</v>
      </c>
      <c r="C72" s="574" t="s">
        <v>202</v>
      </c>
      <c r="D72" s="574" t="s">
        <v>171</v>
      </c>
      <c r="E72" s="574" t="s">
        <v>34</v>
      </c>
      <c r="F72" s="555" t="s">
        <v>1442</v>
      </c>
      <c r="G72" s="491" t="s">
        <v>1353</v>
      </c>
      <c r="H72" s="491">
        <v>1102662</v>
      </c>
      <c r="I72" s="491">
        <f t="shared" si="5"/>
        <v>1102662</v>
      </c>
      <c r="J72" s="491">
        <f>(500000)+602662</f>
        <v>1102662</v>
      </c>
      <c r="K72" s="494">
        <f t="shared" si="6"/>
        <v>1</v>
      </c>
      <c r="L72" s="301"/>
      <c r="M72" s="300"/>
      <c r="N72" s="300"/>
      <c r="O72" s="300"/>
      <c r="P72" s="300"/>
      <c r="Q72" s="300"/>
      <c r="R72" s="300"/>
    </row>
    <row r="73" spans="1:18" s="311" customFormat="1" ht="61.5" thickTop="1" thickBot="1" x14ac:dyDescent="0.25">
      <c r="A73" s="216"/>
      <c r="B73" s="574" t="s">
        <v>559</v>
      </c>
      <c r="C73" s="574" t="s">
        <v>202</v>
      </c>
      <c r="D73" s="574" t="s">
        <v>171</v>
      </c>
      <c r="E73" s="574" t="s">
        <v>34</v>
      </c>
      <c r="F73" s="555" t="s">
        <v>1435</v>
      </c>
      <c r="G73" s="491" t="s">
        <v>1353</v>
      </c>
      <c r="H73" s="491">
        <v>2295880</v>
      </c>
      <c r="I73" s="491">
        <f t="shared" si="5"/>
        <v>2295880</v>
      </c>
      <c r="J73" s="491">
        <f>(800000)+1495880</f>
        <v>2295880</v>
      </c>
      <c r="K73" s="494">
        <f t="shared" si="6"/>
        <v>1</v>
      </c>
      <c r="L73" s="301"/>
      <c r="M73" s="300"/>
      <c r="N73" s="300"/>
      <c r="O73" s="300"/>
      <c r="P73" s="300"/>
      <c r="Q73" s="300"/>
      <c r="R73" s="300"/>
    </row>
    <row r="74" spans="1:18" s="311" customFormat="1" ht="46.5" thickTop="1" thickBot="1" x14ac:dyDescent="0.25">
      <c r="A74" s="216"/>
      <c r="B74" s="574" t="s">
        <v>559</v>
      </c>
      <c r="C74" s="574" t="s">
        <v>202</v>
      </c>
      <c r="D74" s="574" t="s">
        <v>171</v>
      </c>
      <c r="E74" s="574" t="s">
        <v>34</v>
      </c>
      <c r="F74" s="555" t="s">
        <v>1436</v>
      </c>
      <c r="G74" s="491" t="s">
        <v>1353</v>
      </c>
      <c r="H74" s="491">
        <v>130655</v>
      </c>
      <c r="I74" s="491">
        <f t="shared" si="5"/>
        <v>130655</v>
      </c>
      <c r="J74" s="491">
        <f>(119860)+10795</f>
        <v>130655</v>
      </c>
      <c r="K74" s="494">
        <f t="shared" si="6"/>
        <v>1</v>
      </c>
      <c r="L74" s="301"/>
      <c r="M74" s="300"/>
      <c r="N74" s="300"/>
      <c r="O74" s="300"/>
      <c r="P74" s="300"/>
      <c r="Q74" s="300"/>
      <c r="R74" s="300"/>
    </row>
    <row r="75" spans="1:18" s="311" customFormat="1" ht="46.5" thickTop="1" thickBot="1" x14ac:dyDescent="0.25">
      <c r="A75" s="216"/>
      <c r="B75" s="574" t="s">
        <v>559</v>
      </c>
      <c r="C75" s="574" t="s">
        <v>202</v>
      </c>
      <c r="D75" s="574" t="s">
        <v>171</v>
      </c>
      <c r="E75" s="574" t="s">
        <v>34</v>
      </c>
      <c r="F75" s="555" t="s">
        <v>1437</v>
      </c>
      <c r="G75" s="491" t="s">
        <v>1353</v>
      </c>
      <c r="H75" s="491">
        <v>294266</v>
      </c>
      <c r="I75" s="491">
        <f t="shared" si="5"/>
        <v>294266</v>
      </c>
      <c r="J75" s="491">
        <f>(213380)+80886</f>
        <v>294266</v>
      </c>
      <c r="K75" s="494">
        <f t="shared" si="6"/>
        <v>1</v>
      </c>
      <c r="L75" s="301"/>
      <c r="M75" s="300"/>
      <c r="N75" s="300"/>
      <c r="O75" s="300"/>
      <c r="P75" s="300"/>
      <c r="Q75" s="300"/>
      <c r="R75" s="300"/>
    </row>
    <row r="76" spans="1:18" s="311" customFormat="1" ht="76.5" thickTop="1" thickBot="1" x14ac:dyDescent="0.25">
      <c r="A76" s="216"/>
      <c r="B76" s="574" t="s">
        <v>559</v>
      </c>
      <c r="C76" s="574" t="s">
        <v>202</v>
      </c>
      <c r="D76" s="574" t="s">
        <v>171</v>
      </c>
      <c r="E76" s="574" t="s">
        <v>34</v>
      </c>
      <c r="F76" s="555" t="s">
        <v>1438</v>
      </c>
      <c r="G76" s="491" t="s">
        <v>1353</v>
      </c>
      <c r="H76" s="491">
        <v>17944150</v>
      </c>
      <c r="I76" s="491">
        <f t="shared" si="5"/>
        <v>17944150</v>
      </c>
      <c r="J76" s="491">
        <f>(1425470)+16518680</f>
        <v>17944150</v>
      </c>
      <c r="K76" s="494">
        <f t="shared" si="6"/>
        <v>1</v>
      </c>
      <c r="L76" s="301"/>
      <c r="M76" s="300"/>
      <c r="N76" s="300"/>
      <c r="O76" s="300"/>
      <c r="P76" s="300"/>
      <c r="Q76" s="300"/>
      <c r="R76" s="300"/>
    </row>
    <row r="77" spans="1:18" s="311" customFormat="1" ht="61.5" thickTop="1" thickBot="1" x14ac:dyDescent="0.25">
      <c r="A77" s="216"/>
      <c r="B77" s="574" t="s">
        <v>559</v>
      </c>
      <c r="C77" s="574" t="s">
        <v>202</v>
      </c>
      <c r="D77" s="574" t="s">
        <v>171</v>
      </c>
      <c r="E77" s="574" t="s">
        <v>34</v>
      </c>
      <c r="F77" s="555" t="s">
        <v>1439</v>
      </c>
      <c r="G77" s="491" t="s">
        <v>1353</v>
      </c>
      <c r="H77" s="491">
        <v>5736181</v>
      </c>
      <c r="I77" s="491">
        <f t="shared" ref="I77:I79" si="7">0+J77</f>
        <v>3620845</v>
      </c>
      <c r="J77" s="491">
        <f>(800000)+2820845</f>
        <v>3620845</v>
      </c>
      <c r="K77" s="494">
        <f t="shared" ref="K77:K78" si="8">I77/H77</f>
        <v>0.63122920981747266</v>
      </c>
      <c r="L77" s="301"/>
      <c r="M77" s="300"/>
      <c r="N77" s="300"/>
      <c r="O77" s="300"/>
      <c r="P77" s="300"/>
      <c r="Q77" s="300"/>
      <c r="R77" s="300"/>
    </row>
    <row r="78" spans="1:18" s="311" customFormat="1" ht="61.5" thickTop="1" thickBot="1" x14ac:dyDescent="0.25">
      <c r="A78" s="216"/>
      <c r="B78" s="574" t="s">
        <v>559</v>
      </c>
      <c r="C78" s="574" t="s">
        <v>202</v>
      </c>
      <c r="D78" s="574" t="s">
        <v>171</v>
      </c>
      <c r="E78" s="574" t="s">
        <v>34</v>
      </c>
      <c r="F78" s="555" t="s">
        <v>1440</v>
      </c>
      <c r="G78" s="491" t="s">
        <v>1353</v>
      </c>
      <c r="H78" s="491">
        <v>1063241</v>
      </c>
      <c r="I78" s="491">
        <f t="shared" si="7"/>
        <v>1063241</v>
      </c>
      <c r="J78" s="491">
        <f>(800000)+263241</f>
        <v>1063241</v>
      </c>
      <c r="K78" s="494">
        <f t="shared" si="8"/>
        <v>1</v>
      </c>
      <c r="L78" s="301"/>
      <c r="M78" s="300"/>
      <c r="N78" s="300"/>
      <c r="O78" s="300"/>
      <c r="P78" s="300"/>
      <c r="Q78" s="300"/>
      <c r="R78" s="300"/>
    </row>
    <row r="79" spans="1:18" s="311" customFormat="1" ht="61.5" thickTop="1" thickBot="1" x14ac:dyDescent="0.25">
      <c r="A79" s="216"/>
      <c r="B79" s="574" t="s">
        <v>559</v>
      </c>
      <c r="C79" s="574" t="s">
        <v>202</v>
      </c>
      <c r="D79" s="574" t="s">
        <v>171</v>
      </c>
      <c r="E79" s="574" t="s">
        <v>34</v>
      </c>
      <c r="F79" s="555" t="s">
        <v>1443</v>
      </c>
      <c r="G79" s="491" t="s">
        <v>1353</v>
      </c>
      <c r="H79" s="491">
        <v>2915336</v>
      </c>
      <c r="I79" s="491">
        <f t="shared" si="7"/>
        <v>2915336</v>
      </c>
      <c r="J79" s="491">
        <v>2915336</v>
      </c>
      <c r="K79" s="494">
        <f>I79/H79</f>
        <v>1</v>
      </c>
      <c r="L79" s="301"/>
      <c r="M79" s="300"/>
      <c r="N79" s="300"/>
      <c r="O79" s="300"/>
      <c r="P79" s="300"/>
      <c r="Q79" s="300"/>
      <c r="R79" s="300"/>
    </row>
    <row r="80" spans="1:18" s="311" customFormat="1" ht="76.5" thickTop="1" thickBot="1" x14ac:dyDescent="0.25">
      <c r="A80" s="216"/>
      <c r="B80" s="574" t="s">
        <v>559</v>
      </c>
      <c r="C80" s="574" t="s">
        <v>202</v>
      </c>
      <c r="D80" s="574" t="s">
        <v>171</v>
      </c>
      <c r="E80" s="574" t="s">
        <v>34</v>
      </c>
      <c r="F80" s="555" t="s">
        <v>1441</v>
      </c>
      <c r="G80" s="552" t="s">
        <v>1336</v>
      </c>
      <c r="H80" s="491">
        <v>3193463</v>
      </c>
      <c r="I80" s="491">
        <f>990794+1216096+J80</f>
        <v>2706890</v>
      </c>
      <c r="J80" s="491">
        <v>500000</v>
      </c>
      <c r="K80" s="494">
        <f>I80/H80</f>
        <v>0.84763468372735173</v>
      </c>
      <c r="L80" s="301"/>
      <c r="M80" s="300"/>
      <c r="N80" s="300"/>
      <c r="O80" s="300"/>
      <c r="P80" s="300"/>
      <c r="Q80" s="300"/>
      <c r="R80" s="300"/>
    </row>
    <row r="81" spans="1:18" s="311" customFormat="1" ht="46.5" thickTop="1" thickBot="1" x14ac:dyDescent="0.25">
      <c r="A81" s="216"/>
      <c r="B81" s="574" t="s">
        <v>559</v>
      </c>
      <c r="C81" s="574" t="s">
        <v>202</v>
      </c>
      <c r="D81" s="574" t="s">
        <v>171</v>
      </c>
      <c r="E81" s="574" t="s">
        <v>34</v>
      </c>
      <c r="F81" s="555" t="s">
        <v>1444</v>
      </c>
      <c r="G81" s="491" t="s">
        <v>1336</v>
      </c>
      <c r="H81" s="491">
        <v>2163176</v>
      </c>
      <c r="I81" s="552">
        <f>333866.12+J81</f>
        <v>1475143</v>
      </c>
      <c r="J81" s="491">
        <f>778960+362316.88</f>
        <v>1141276.8799999999</v>
      </c>
      <c r="K81" s="494">
        <f>I81/H81</f>
        <v>0.68193387870427558</v>
      </c>
      <c r="L81" s="749" t="s">
        <v>1446</v>
      </c>
      <c r="M81" s="300"/>
      <c r="N81" s="300"/>
      <c r="O81" s="300"/>
      <c r="P81" s="300"/>
      <c r="Q81" s="300"/>
      <c r="R81" s="300"/>
    </row>
    <row r="82" spans="1:18" s="311" customFormat="1" ht="61.5" thickTop="1" thickBot="1" x14ac:dyDescent="0.25">
      <c r="A82" s="216"/>
      <c r="B82" s="574" t="s">
        <v>559</v>
      </c>
      <c r="C82" s="574" t="s">
        <v>202</v>
      </c>
      <c r="D82" s="574" t="s">
        <v>171</v>
      </c>
      <c r="E82" s="574" t="s">
        <v>34</v>
      </c>
      <c r="F82" s="555" t="s">
        <v>1445</v>
      </c>
      <c r="G82" s="491" t="s">
        <v>1336</v>
      </c>
      <c r="H82" s="491">
        <v>990371</v>
      </c>
      <c r="I82" s="552">
        <f>495172+J82</f>
        <v>602150</v>
      </c>
      <c r="J82" s="491">
        <v>106978</v>
      </c>
      <c r="K82" s="494">
        <f>I82/H82</f>
        <v>0.60800447509064781</v>
      </c>
      <c r="L82" s="749" t="s">
        <v>1446</v>
      </c>
      <c r="M82" s="300"/>
      <c r="N82" s="300"/>
      <c r="O82" s="300"/>
      <c r="P82" s="300"/>
      <c r="Q82" s="300"/>
      <c r="R82" s="300"/>
    </row>
    <row r="83" spans="1:18" s="311" customFormat="1" ht="76.5" thickTop="1" thickBot="1" x14ac:dyDescent="0.25">
      <c r="A83" s="216"/>
      <c r="B83" s="574" t="s">
        <v>559</v>
      </c>
      <c r="C83" s="574" t="s">
        <v>202</v>
      </c>
      <c r="D83" s="574" t="s">
        <v>171</v>
      </c>
      <c r="E83" s="574" t="s">
        <v>34</v>
      </c>
      <c r="F83" s="555" t="s">
        <v>1449</v>
      </c>
      <c r="G83" s="491" t="s">
        <v>1336</v>
      </c>
      <c r="H83" s="491">
        <v>3149113.08</v>
      </c>
      <c r="I83" s="552">
        <f>990793+J83</f>
        <v>2206427.87</v>
      </c>
      <c r="J83" s="491">
        <v>1215634.8700000001</v>
      </c>
      <c r="K83" s="494">
        <f>I83/H83</f>
        <v>0.7006505685721518</v>
      </c>
      <c r="L83" s="749" t="s">
        <v>1446</v>
      </c>
      <c r="M83" s="300"/>
      <c r="N83" s="300"/>
      <c r="O83" s="300"/>
      <c r="P83" s="300"/>
      <c r="Q83" s="300"/>
      <c r="R83" s="300"/>
    </row>
    <row r="84" spans="1:18" s="311" customFormat="1" ht="91.5" hidden="1" thickTop="1" thickBot="1" x14ac:dyDescent="0.25">
      <c r="A84" s="216"/>
      <c r="B84" s="303" t="s">
        <v>559</v>
      </c>
      <c r="C84" s="303" t="s">
        <v>202</v>
      </c>
      <c r="D84" s="303" t="s">
        <v>171</v>
      </c>
      <c r="E84" s="303" t="s">
        <v>34</v>
      </c>
      <c r="F84" s="283" t="s">
        <v>1189</v>
      </c>
      <c r="G84" s="276" t="s">
        <v>1183</v>
      </c>
      <c r="H84" s="276">
        <v>3387286</v>
      </c>
      <c r="I84" s="276">
        <v>0</v>
      </c>
      <c r="J84" s="276">
        <f>(500000)-500000</f>
        <v>0</v>
      </c>
      <c r="K84" s="302">
        <f t="shared" si="4"/>
        <v>0</v>
      </c>
      <c r="L84" s="301"/>
      <c r="M84" s="300"/>
      <c r="N84" s="300"/>
      <c r="O84" s="300"/>
      <c r="P84" s="300"/>
      <c r="Q84" s="300"/>
      <c r="R84" s="300"/>
    </row>
    <row r="85" spans="1:18" s="311" customFormat="1" ht="91.5" hidden="1" thickTop="1" thickBot="1" x14ac:dyDescent="0.25">
      <c r="A85" s="216"/>
      <c r="B85" s="303" t="s">
        <v>559</v>
      </c>
      <c r="C85" s="303" t="s">
        <v>202</v>
      </c>
      <c r="D85" s="303" t="s">
        <v>171</v>
      </c>
      <c r="E85" s="303" t="s">
        <v>34</v>
      </c>
      <c r="F85" s="283" t="s">
        <v>1186</v>
      </c>
      <c r="G85" s="276" t="s">
        <v>1183</v>
      </c>
      <c r="H85" s="276">
        <v>5891152</v>
      </c>
      <c r="I85" s="276">
        <v>0</v>
      </c>
      <c r="J85" s="276">
        <f>(1000000)-1000000</f>
        <v>0</v>
      </c>
      <c r="K85" s="302">
        <f t="shared" si="4"/>
        <v>0</v>
      </c>
      <c r="L85" s="301"/>
      <c r="M85" s="300"/>
      <c r="N85" s="300"/>
      <c r="O85" s="300"/>
      <c r="P85" s="300"/>
      <c r="Q85" s="300"/>
      <c r="R85" s="300"/>
    </row>
    <row r="86" spans="1:18" s="311" customFormat="1" ht="46.5" thickTop="1" thickBot="1" x14ac:dyDescent="0.25">
      <c r="A86" s="216"/>
      <c r="B86" s="574" t="s">
        <v>559</v>
      </c>
      <c r="C86" s="574" t="s">
        <v>202</v>
      </c>
      <c r="D86" s="574" t="s">
        <v>171</v>
      </c>
      <c r="E86" s="574" t="s">
        <v>34</v>
      </c>
      <c r="F86" s="555" t="s">
        <v>1448</v>
      </c>
      <c r="G86" s="491" t="s">
        <v>1352</v>
      </c>
      <c r="H86" s="552">
        <v>1442309</v>
      </c>
      <c r="I86" s="552">
        <f>0+J86</f>
        <v>1165856.81</v>
      </c>
      <c r="J86" s="491">
        <v>1165856.81</v>
      </c>
      <c r="K86" s="494">
        <v>1</v>
      </c>
      <c r="L86" s="301"/>
      <c r="M86" s="300"/>
      <c r="N86" s="300"/>
      <c r="O86" s="300"/>
      <c r="P86" s="300"/>
      <c r="Q86" s="300"/>
      <c r="R86" s="300"/>
    </row>
    <row r="87" spans="1:18" s="311" customFormat="1" ht="61.5" thickTop="1" thickBot="1" x14ac:dyDescent="0.25">
      <c r="A87" s="216"/>
      <c r="B87" s="574" t="s">
        <v>559</v>
      </c>
      <c r="C87" s="574" t="s">
        <v>202</v>
      </c>
      <c r="D87" s="574" t="s">
        <v>171</v>
      </c>
      <c r="E87" s="574" t="s">
        <v>34</v>
      </c>
      <c r="F87" s="555" t="s">
        <v>1472</v>
      </c>
      <c r="G87" s="491" t="s">
        <v>959</v>
      </c>
      <c r="H87" s="552">
        <v>21842639</v>
      </c>
      <c r="I87" s="552">
        <f>3147154.85+J87</f>
        <v>9038306.8499999996</v>
      </c>
      <c r="J87" s="491">
        <v>5891152</v>
      </c>
      <c r="K87" s="494">
        <f>I87/H87</f>
        <v>0.41379188888302371</v>
      </c>
      <c r="L87" s="301"/>
      <c r="M87" s="300"/>
      <c r="N87" s="300"/>
      <c r="O87" s="300"/>
      <c r="P87" s="300"/>
      <c r="Q87" s="300"/>
      <c r="R87" s="300"/>
    </row>
    <row r="88" spans="1:18" s="311" customFormat="1" ht="76.5" hidden="1" thickTop="1" thickBot="1" x14ac:dyDescent="0.25">
      <c r="A88" s="216"/>
      <c r="B88" s="303" t="s">
        <v>559</v>
      </c>
      <c r="C88" s="303" t="s">
        <v>202</v>
      </c>
      <c r="D88" s="303" t="s">
        <v>171</v>
      </c>
      <c r="E88" s="303" t="s">
        <v>34</v>
      </c>
      <c r="F88" s="283" t="s">
        <v>921</v>
      </c>
      <c r="G88" s="284" t="s">
        <v>1013</v>
      </c>
      <c r="H88" s="276">
        <v>2924077</v>
      </c>
      <c r="I88" s="276">
        <v>100000</v>
      </c>
      <c r="J88" s="276">
        <f>(500000)-500000</f>
        <v>0</v>
      </c>
      <c r="K88" s="302">
        <f t="shared" si="4"/>
        <v>3.4198825817514385E-2</v>
      </c>
      <c r="L88" s="301"/>
      <c r="M88" s="300"/>
      <c r="N88" s="300"/>
      <c r="O88" s="300"/>
      <c r="P88" s="300"/>
      <c r="Q88" s="300"/>
      <c r="R88" s="300"/>
    </row>
    <row r="89" spans="1:18" ht="46.5" thickTop="1" thickBot="1" x14ac:dyDescent="0.25">
      <c r="B89" s="506" t="s">
        <v>25</v>
      </c>
      <c r="C89" s="506"/>
      <c r="D89" s="506"/>
      <c r="E89" s="507" t="s">
        <v>907</v>
      </c>
      <c r="F89" s="506"/>
      <c r="G89" s="506"/>
      <c r="H89" s="508">
        <f>H90</f>
        <v>864834449</v>
      </c>
      <c r="I89" s="508">
        <f>I90</f>
        <v>428855633.74000013</v>
      </c>
      <c r="J89" s="508">
        <f>J90</f>
        <v>20931051</v>
      </c>
      <c r="K89" s="509"/>
      <c r="L89" s="306"/>
      <c r="M89" s="256"/>
      <c r="N89" s="256"/>
      <c r="O89" s="256"/>
      <c r="P89" s="256"/>
      <c r="Q89" s="256"/>
      <c r="R89" s="256"/>
    </row>
    <row r="90" spans="1:18" ht="63" customHeight="1" thickTop="1" thickBot="1" x14ac:dyDescent="0.25">
      <c r="B90" s="510" t="s">
        <v>26</v>
      </c>
      <c r="C90" s="510"/>
      <c r="D90" s="510"/>
      <c r="E90" s="511" t="s">
        <v>908</v>
      </c>
      <c r="F90" s="510"/>
      <c r="G90" s="510"/>
      <c r="H90" s="512">
        <f>SUM(H91:H104)</f>
        <v>864834449</v>
      </c>
      <c r="I90" s="512">
        <f>SUM(I91:I104)</f>
        <v>428855633.74000013</v>
      </c>
      <c r="J90" s="512">
        <f>SUM(J91:J104)</f>
        <v>20931051</v>
      </c>
      <c r="K90" s="513"/>
      <c r="L90" s="306"/>
      <c r="M90" s="256"/>
      <c r="N90" s="256"/>
      <c r="O90" s="256"/>
      <c r="P90" s="256"/>
      <c r="Q90" s="256"/>
      <c r="R90" s="256"/>
    </row>
    <row r="91" spans="1:18" ht="91.5" thickTop="1" thickBot="1" x14ac:dyDescent="0.25">
      <c r="A91" s="492"/>
      <c r="B91" s="576" t="s">
        <v>439</v>
      </c>
      <c r="C91" s="576" t="s">
        <v>440</v>
      </c>
      <c r="D91" s="576" t="s">
        <v>200</v>
      </c>
      <c r="E91" s="576" t="s">
        <v>1229</v>
      </c>
      <c r="F91" s="489" t="s">
        <v>1166</v>
      </c>
      <c r="G91" s="491" t="s">
        <v>1168</v>
      </c>
      <c r="H91" s="491">
        <v>448128773</v>
      </c>
      <c r="I91" s="491">
        <f>287427907.48+3866315.08+J91</f>
        <v>294294222.56</v>
      </c>
      <c r="J91" s="491">
        <v>3000000</v>
      </c>
      <c r="K91" s="575">
        <f t="shared" ref="K91:K104" si="9">I91/H91</f>
        <v>0.65671797994546532</v>
      </c>
      <c r="L91" s="306"/>
      <c r="M91" s="256"/>
      <c r="N91" s="256"/>
      <c r="O91" s="256"/>
      <c r="P91" s="256"/>
      <c r="Q91" s="256"/>
      <c r="R91" s="256"/>
    </row>
    <row r="92" spans="1:18" ht="61.5" thickTop="1" thickBot="1" x14ac:dyDescent="0.25">
      <c r="A92" s="492"/>
      <c r="B92" s="576" t="s">
        <v>943</v>
      </c>
      <c r="C92" s="576" t="s">
        <v>311</v>
      </c>
      <c r="D92" s="576" t="s">
        <v>310</v>
      </c>
      <c r="E92" s="576" t="s">
        <v>476</v>
      </c>
      <c r="F92" s="577" t="s">
        <v>1167</v>
      </c>
      <c r="G92" s="491" t="s">
        <v>1361</v>
      </c>
      <c r="H92" s="491">
        <v>2788852</v>
      </c>
      <c r="I92" s="552">
        <f>1639036.69+J92</f>
        <v>2739036.69</v>
      </c>
      <c r="J92" s="491">
        <f>100000+1000000</f>
        <v>1100000</v>
      </c>
      <c r="K92" s="575">
        <f t="shared" si="9"/>
        <v>0.98213770038711268</v>
      </c>
      <c r="L92" s="766">
        <f>1639037+J92</f>
        <v>2739037</v>
      </c>
      <c r="M92" s="256"/>
      <c r="N92" s="256"/>
      <c r="O92" s="256"/>
      <c r="P92" s="256"/>
      <c r="Q92" s="256"/>
      <c r="R92" s="256"/>
    </row>
    <row r="93" spans="1:18" ht="76.5" thickTop="1" thickBot="1" x14ac:dyDescent="0.25">
      <c r="A93" s="492"/>
      <c r="B93" s="576" t="s">
        <v>316</v>
      </c>
      <c r="C93" s="576" t="s">
        <v>317</v>
      </c>
      <c r="D93" s="576" t="s">
        <v>310</v>
      </c>
      <c r="E93" s="576" t="s">
        <v>315</v>
      </c>
      <c r="F93" s="577" t="s">
        <v>957</v>
      </c>
      <c r="G93" s="491" t="s">
        <v>1168</v>
      </c>
      <c r="H93" s="491">
        <f>9300000+10829899</f>
        <v>20129899</v>
      </c>
      <c r="I93" s="552">
        <f>7572904.16+J93</f>
        <v>9772904.1600000001</v>
      </c>
      <c r="J93" s="491">
        <f>200000+2000000</f>
        <v>2200000</v>
      </c>
      <c r="K93" s="575">
        <f t="shared" si="9"/>
        <v>0.48549196198152811</v>
      </c>
      <c r="L93" s="766">
        <f>7572904+J93</f>
        <v>9772904</v>
      </c>
      <c r="M93" s="256"/>
      <c r="N93" s="256"/>
      <c r="O93" s="256"/>
      <c r="P93" s="256"/>
      <c r="Q93" s="256"/>
      <c r="R93" s="256"/>
    </row>
    <row r="94" spans="1:18" ht="46.5" thickTop="1" thickBot="1" x14ac:dyDescent="0.25">
      <c r="A94" s="492"/>
      <c r="B94" s="576" t="s">
        <v>316</v>
      </c>
      <c r="C94" s="576" t="s">
        <v>317</v>
      </c>
      <c r="D94" s="576" t="s">
        <v>310</v>
      </c>
      <c r="E94" s="576" t="s">
        <v>315</v>
      </c>
      <c r="F94" s="577" t="s">
        <v>1475</v>
      </c>
      <c r="G94" s="491" t="s">
        <v>1476</v>
      </c>
      <c r="H94" s="491">
        <v>56437448</v>
      </c>
      <c r="I94" s="552">
        <f>48973733.31+J94</f>
        <v>50973733.310000002</v>
      </c>
      <c r="J94" s="491">
        <v>2000000</v>
      </c>
      <c r="K94" s="575">
        <f>I94/H94</f>
        <v>0.90318990522037779</v>
      </c>
      <c r="L94" s="766">
        <f>28071676+15122869+2857360+1500000+1458181+J94</f>
        <v>51010086</v>
      </c>
      <c r="M94" s="767"/>
      <c r="N94" s="256"/>
      <c r="O94" s="256"/>
      <c r="P94" s="256"/>
      <c r="Q94" s="256"/>
      <c r="R94" s="256"/>
    </row>
    <row r="95" spans="1:18" ht="61.5" thickTop="1" thickBot="1" x14ac:dyDescent="0.25">
      <c r="A95" s="492"/>
      <c r="B95" s="576" t="s">
        <v>316</v>
      </c>
      <c r="C95" s="576" t="s">
        <v>317</v>
      </c>
      <c r="D95" s="576" t="s">
        <v>310</v>
      </c>
      <c r="E95" s="576" t="s">
        <v>315</v>
      </c>
      <c r="F95" s="577" t="s">
        <v>1477</v>
      </c>
      <c r="G95" s="491" t="s">
        <v>1478</v>
      </c>
      <c r="H95" s="491">
        <v>34056704</v>
      </c>
      <c r="I95" s="552">
        <f>24032981.17+J95</f>
        <v>25032981.170000002</v>
      </c>
      <c r="J95" s="491">
        <v>1000000</v>
      </c>
      <c r="K95" s="575">
        <f>I95/H95</f>
        <v>0.73503828115603909</v>
      </c>
      <c r="L95" s="766">
        <f>13051785+7748088+1427600+2095030-176100+J95</f>
        <v>25146403</v>
      </c>
      <c r="M95" s="767"/>
      <c r="N95" s="256"/>
      <c r="O95" s="256"/>
      <c r="P95" s="256"/>
      <c r="Q95" s="256"/>
      <c r="R95" s="256"/>
    </row>
    <row r="96" spans="1:18" ht="69.75" customHeight="1" thickTop="1" thickBot="1" x14ac:dyDescent="0.25">
      <c r="B96" s="576" t="s">
        <v>523</v>
      </c>
      <c r="C96" s="576" t="s">
        <v>524</v>
      </c>
      <c r="D96" s="576" t="s">
        <v>310</v>
      </c>
      <c r="E96" s="576" t="s">
        <v>1358</v>
      </c>
      <c r="F96" s="577" t="s">
        <v>530</v>
      </c>
      <c r="G96" s="491" t="s">
        <v>959</v>
      </c>
      <c r="H96" s="491">
        <v>21098584</v>
      </c>
      <c r="I96" s="552">
        <f>729041.07+1594.6+J96</f>
        <v>2130635.67</v>
      </c>
      <c r="J96" s="491">
        <f>500000+900000</f>
        <v>1400000</v>
      </c>
      <c r="K96" s="575">
        <f>I96/H96</f>
        <v>0.10098477082632654</v>
      </c>
      <c r="L96" s="766">
        <f>730636+J96</f>
        <v>2130636</v>
      </c>
      <c r="M96" s="256"/>
      <c r="N96" s="256"/>
      <c r="O96" s="256"/>
      <c r="P96" s="256"/>
      <c r="Q96" s="256"/>
      <c r="R96" s="256"/>
    </row>
    <row r="97" spans="1:18" ht="61.5" thickTop="1" thickBot="1" x14ac:dyDescent="0.25">
      <c r="B97" s="576" t="s">
        <v>320</v>
      </c>
      <c r="C97" s="576" t="s">
        <v>321</v>
      </c>
      <c r="D97" s="576" t="s">
        <v>310</v>
      </c>
      <c r="E97" s="576" t="s">
        <v>469</v>
      </c>
      <c r="F97" s="579" t="s">
        <v>1169</v>
      </c>
      <c r="G97" s="491" t="s">
        <v>960</v>
      </c>
      <c r="H97" s="491">
        <v>15423995</v>
      </c>
      <c r="I97" s="552">
        <f>211261.75+1743.5+J97</f>
        <v>663787.25</v>
      </c>
      <c r="J97" s="491">
        <f>100000+350782</f>
        <v>450782</v>
      </c>
      <c r="K97" s="575">
        <f t="shared" si="9"/>
        <v>4.3036013043313358E-2</v>
      </c>
      <c r="L97" s="766">
        <f>213005+J97</f>
        <v>663787</v>
      </c>
      <c r="M97" s="256"/>
      <c r="N97" s="256"/>
      <c r="O97" s="256"/>
      <c r="P97" s="256"/>
      <c r="Q97" s="256"/>
      <c r="R97" s="256"/>
    </row>
    <row r="98" spans="1:18" ht="92.25" customHeight="1" thickTop="1" thickBot="1" x14ac:dyDescent="0.25">
      <c r="B98" s="576" t="s">
        <v>320</v>
      </c>
      <c r="C98" s="576" t="s">
        <v>321</v>
      </c>
      <c r="D98" s="576" t="s">
        <v>310</v>
      </c>
      <c r="E98" s="576" t="s">
        <v>469</v>
      </c>
      <c r="F98" s="579" t="s">
        <v>1170</v>
      </c>
      <c r="G98" s="491" t="s">
        <v>1168</v>
      </c>
      <c r="H98" s="491">
        <v>10111121</v>
      </c>
      <c r="I98" s="552">
        <f>8250400.29+J98</f>
        <v>10111120.289999999</v>
      </c>
      <c r="J98" s="491">
        <f>100000+1760720</f>
        <v>1860720</v>
      </c>
      <c r="K98" s="575">
        <f t="shared" si="9"/>
        <v>0.9999999297802884</v>
      </c>
      <c r="L98" s="766">
        <f>8250400+J98</f>
        <v>10111120</v>
      </c>
      <c r="M98" s="256"/>
      <c r="N98" s="256"/>
      <c r="O98" s="256"/>
      <c r="P98" s="256"/>
      <c r="Q98" s="256"/>
      <c r="R98" s="256"/>
    </row>
    <row r="99" spans="1:18" ht="46.5" thickTop="1" thickBot="1" x14ac:dyDescent="0.25">
      <c r="B99" s="576" t="s">
        <v>320</v>
      </c>
      <c r="C99" s="576" t="s">
        <v>321</v>
      </c>
      <c r="D99" s="576" t="s">
        <v>310</v>
      </c>
      <c r="E99" s="576" t="s">
        <v>469</v>
      </c>
      <c r="F99" s="579" t="s">
        <v>1171</v>
      </c>
      <c r="G99" s="491" t="s">
        <v>958</v>
      </c>
      <c r="H99" s="491">
        <v>53314687</v>
      </c>
      <c r="I99" s="552">
        <f>1618673.51+31922.71+J99</f>
        <v>1920596.22</v>
      </c>
      <c r="J99" s="491">
        <v>270000</v>
      </c>
      <c r="K99" s="575">
        <f t="shared" si="9"/>
        <v>3.6023773711735381E-2</v>
      </c>
      <c r="L99" s="766">
        <f>1618674+J99</f>
        <v>1888674</v>
      </c>
      <c r="M99" s="256"/>
      <c r="N99" s="256"/>
      <c r="O99" s="256"/>
      <c r="P99" s="256"/>
      <c r="Q99" s="256"/>
      <c r="R99" s="256"/>
    </row>
    <row r="100" spans="1:18" ht="46.5" thickTop="1" thickBot="1" x14ac:dyDescent="0.25">
      <c r="B100" s="576" t="s">
        <v>320</v>
      </c>
      <c r="C100" s="576" t="s">
        <v>321</v>
      </c>
      <c r="D100" s="576" t="s">
        <v>310</v>
      </c>
      <c r="E100" s="576" t="s">
        <v>469</v>
      </c>
      <c r="F100" s="578" t="s">
        <v>1281</v>
      </c>
      <c r="G100" s="491" t="s">
        <v>960</v>
      </c>
      <c r="H100" s="491">
        <v>65017720</v>
      </c>
      <c r="I100" s="552">
        <f>22468487.3+J100</f>
        <v>24568487.300000001</v>
      </c>
      <c r="J100" s="491">
        <f>100000+2000000</f>
        <v>2100000</v>
      </c>
      <c r="K100" s="575">
        <f t="shared" si="9"/>
        <v>0.37787371350456461</v>
      </c>
      <c r="L100" s="766">
        <f>22468487+J100</f>
        <v>24568487</v>
      </c>
      <c r="M100" s="256"/>
      <c r="N100" s="256"/>
      <c r="O100" s="256"/>
      <c r="P100" s="256"/>
      <c r="Q100" s="256"/>
      <c r="R100" s="256"/>
    </row>
    <row r="101" spans="1:18" ht="76.5" thickTop="1" thickBot="1" x14ac:dyDescent="0.25">
      <c r="B101" s="576" t="s">
        <v>320</v>
      </c>
      <c r="C101" s="576" t="s">
        <v>321</v>
      </c>
      <c r="D101" s="576" t="s">
        <v>310</v>
      </c>
      <c r="E101" s="576" t="s">
        <v>469</v>
      </c>
      <c r="F101" s="578" t="s">
        <v>1360</v>
      </c>
      <c r="G101" s="491" t="s">
        <v>1362</v>
      </c>
      <c r="H101" s="491">
        <v>14225016</v>
      </c>
      <c r="I101" s="552">
        <f>49956+33089.84+J101</f>
        <v>133045.84</v>
      </c>
      <c r="J101" s="491">
        <v>50000</v>
      </c>
      <c r="K101" s="575">
        <f t="shared" si="9"/>
        <v>9.3529483552074744E-3</v>
      </c>
      <c r="L101" s="766">
        <f>83046+J101</f>
        <v>133046</v>
      </c>
      <c r="M101" s="256"/>
      <c r="N101" s="256"/>
      <c r="O101" s="256"/>
      <c r="P101" s="256"/>
      <c r="Q101" s="256"/>
      <c r="R101" s="256"/>
    </row>
    <row r="102" spans="1:18" ht="61.5" thickTop="1" thickBot="1" x14ac:dyDescent="0.25">
      <c r="B102" s="576" t="s">
        <v>320</v>
      </c>
      <c r="C102" s="576" t="s">
        <v>321</v>
      </c>
      <c r="D102" s="576" t="s">
        <v>310</v>
      </c>
      <c r="E102" s="576" t="s">
        <v>469</v>
      </c>
      <c r="F102" s="578" t="s">
        <v>1359</v>
      </c>
      <c r="G102" s="552" t="s">
        <v>959</v>
      </c>
      <c r="H102" s="491">
        <v>44940000</v>
      </c>
      <c r="I102" s="552">
        <f>151662+J102</f>
        <v>3485988</v>
      </c>
      <c r="J102" s="491">
        <f>1000000+2334326</f>
        <v>3334326</v>
      </c>
      <c r="K102" s="575">
        <f t="shared" si="9"/>
        <v>7.7569826435247E-2</v>
      </c>
      <c r="L102" s="766">
        <f>151662+J102</f>
        <v>3485988</v>
      </c>
      <c r="M102" s="256"/>
      <c r="N102" s="256"/>
      <c r="O102" s="256"/>
      <c r="P102" s="256"/>
      <c r="Q102" s="256"/>
      <c r="R102" s="256"/>
    </row>
    <row r="103" spans="1:18" ht="61.5" thickTop="1" thickBot="1" x14ac:dyDescent="0.25">
      <c r="B103" s="719" t="s">
        <v>320</v>
      </c>
      <c r="C103" s="719" t="s">
        <v>321</v>
      </c>
      <c r="D103" s="719" t="s">
        <v>310</v>
      </c>
      <c r="E103" s="719" t="s">
        <v>469</v>
      </c>
      <c r="F103" s="720" t="s">
        <v>1402</v>
      </c>
      <c r="G103" s="552" t="s">
        <v>1403</v>
      </c>
      <c r="H103" s="552">
        <v>3300000</v>
      </c>
      <c r="I103" s="552">
        <f>102794.48+J103</f>
        <v>2102794.48</v>
      </c>
      <c r="J103" s="552">
        <v>2000000</v>
      </c>
      <c r="K103" s="721">
        <f t="shared" si="9"/>
        <v>0.63721044848484842</v>
      </c>
      <c r="L103" s="766">
        <f>102794+J103</f>
        <v>2102794</v>
      </c>
      <c r="M103" s="256"/>
      <c r="N103" s="256"/>
      <c r="O103" s="256"/>
      <c r="P103" s="256"/>
      <c r="Q103" s="256"/>
      <c r="R103" s="256"/>
    </row>
    <row r="104" spans="1:18" ht="76.5" thickTop="1" thickBot="1" x14ac:dyDescent="0.25">
      <c r="B104" s="576" t="s">
        <v>320</v>
      </c>
      <c r="C104" s="576" t="s">
        <v>321</v>
      </c>
      <c r="D104" s="576" t="s">
        <v>310</v>
      </c>
      <c r="E104" s="576" t="s">
        <v>469</v>
      </c>
      <c r="F104" s="578" t="s">
        <v>1172</v>
      </c>
      <c r="G104" s="552" t="s">
        <v>959</v>
      </c>
      <c r="H104" s="491">
        <v>75861650</v>
      </c>
      <c r="I104" s="552">
        <f>761077.8+J104</f>
        <v>926300.8</v>
      </c>
      <c r="J104" s="491">
        <f>130000+35223</f>
        <v>165223</v>
      </c>
      <c r="K104" s="575">
        <f t="shared" si="9"/>
        <v>1.2210396161960622E-2</v>
      </c>
      <c r="L104" s="766">
        <f>4088+756990+J104</f>
        <v>926301</v>
      </c>
      <c r="M104" s="256"/>
      <c r="N104" s="256"/>
      <c r="O104" s="256"/>
      <c r="P104" s="256"/>
      <c r="Q104" s="256"/>
      <c r="R104" s="256"/>
    </row>
    <row r="105" spans="1:18" ht="21.75" thickTop="1" thickBot="1" x14ac:dyDescent="0.25">
      <c r="A105" s="309"/>
      <c r="B105" s="676" t="s">
        <v>387</v>
      </c>
      <c r="C105" s="676" t="s">
        <v>387</v>
      </c>
      <c r="D105" s="676" t="s">
        <v>387</v>
      </c>
      <c r="E105" s="676" t="s">
        <v>389</v>
      </c>
      <c r="F105" s="676" t="s">
        <v>387</v>
      </c>
      <c r="G105" s="676" t="s">
        <v>387</v>
      </c>
      <c r="H105" s="676">
        <f>H89+H52+H43+H30+H19</f>
        <v>1056941071.84</v>
      </c>
      <c r="I105" s="676">
        <f>I89+I52+I43+I30+I19</f>
        <v>583996372.49000013</v>
      </c>
      <c r="J105" s="676">
        <f>J89+J52+J43+J30+J19</f>
        <v>133084847.51000001</v>
      </c>
      <c r="K105" s="676" t="s">
        <v>387</v>
      </c>
      <c r="L105" s="655" t="b">
        <f>H105=H104+H103+H102+H101+H100+H99+H98+H96+H97+H93+H92+H91+H87+H83+H82+H81+H80+H79+H78+H77+H76+H75+H74+H73+H72+H71+H70+H69+H68+H66+H61+H46+H45+H34+H28+H27+H26+H25+H24+H23+H22+H21+H86+H95+H94</f>
        <v>1</v>
      </c>
      <c r="M105" s="655" t="b">
        <f t="shared" ref="M105:N105" si="10">I105=I104+I103+I102+I101+I100+I99+I98+I96+I97+I93+I92+I91+I87+I83+I82+I81+I80+I79+I78+I77+I76+I75+I74+I73+I72+I71+I70+I69+I68+I66+I61+I46+I45+I34+I28+I27+I26+I25+I24+I23+I22+I21+I86+I95+I94</f>
        <v>1</v>
      </c>
      <c r="N105" s="655" t="b">
        <f t="shared" si="10"/>
        <v>1</v>
      </c>
      <c r="O105" s="654"/>
      <c r="P105" s="654"/>
      <c r="Q105" s="654"/>
      <c r="R105" s="654"/>
    </row>
    <row r="106" spans="1:18" ht="16.5" thickTop="1" x14ac:dyDescent="0.2">
      <c r="B106" s="928" t="s">
        <v>1364</v>
      </c>
      <c r="C106" s="905"/>
      <c r="D106" s="905"/>
      <c r="E106" s="905"/>
      <c r="F106" s="905"/>
      <c r="G106" s="905"/>
      <c r="H106" s="905"/>
      <c r="I106" s="905"/>
      <c r="J106" s="905"/>
      <c r="K106" s="905"/>
      <c r="L106" s="929"/>
      <c r="M106" s="929"/>
      <c r="N106" s="929"/>
      <c r="O106" s="929"/>
      <c r="P106" s="929"/>
      <c r="Q106" s="929"/>
      <c r="R106" s="929"/>
    </row>
    <row r="107" spans="1:18" ht="46.5" customHeight="1" x14ac:dyDescent="0.2">
      <c r="B107" s="930"/>
      <c r="C107" s="930"/>
      <c r="D107" s="930"/>
      <c r="E107" s="930"/>
      <c r="F107" s="930"/>
      <c r="G107" s="930"/>
      <c r="H107" s="930"/>
      <c r="I107" s="930"/>
      <c r="J107" s="930"/>
      <c r="K107" s="930"/>
      <c r="L107" s="492"/>
      <c r="M107" s="492"/>
      <c r="N107" s="492"/>
      <c r="O107" s="492"/>
      <c r="P107" s="492"/>
      <c r="Q107" s="492"/>
      <c r="R107" s="492"/>
    </row>
    <row r="108" spans="1:18" ht="32.25" customHeight="1" x14ac:dyDescent="0.25">
      <c r="B108" s="484"/>
      <c r="C108" s="484"/>
      <c r="D108" s="891" t="s">
        <v>1481</v>
      </c>
      <c r="E108" s="927"/>
      <c r="F108" s="781"/>
      <c r="G108" s="781" t="s">
        <v>1482</v>
      </c>
      <c r="H108" s="582"/>
      <c r="I108" s="583"/>
      <c r="J108" s="583"/>
      <c r="K108" s="584"/>
      <c r="L108" s="492"/>
      <c r="M108" s="492"/>
      <c r="N108" s="492"/>
      <c r="O108" s="492"/>
      <c r="P108" s="492"/>
      <c r="Q108" s="492"/>
      <c r="R108" s="492"/>
    </row>
    <row r="109" spans="1:18" ht="15" x14ac:dyDescent="0.25">
      <c r="B109" s="484"/>
      <c r="C109" s="484"/>
      <c r="D109" s="544"/>
      <c r="E109" s="544"/>
      <c r="F109" s="544"/>
      <c r="G109" s="544"/>
      <c r="H109" s="582"/>
      <c r="I109" s="582"/>
      <c r="J109" s="585"/>
      <c r="K109" s="585"/>
      <c r="L109" s="492"/>
      <c r="M109" s="492"/>
      <c r="N109" s="492"/>
      <c r="O109" s="492"/>
      <c r="P109" s="492"/>
      <c r="Q109" s="492"/>
      <c r="R109" s="492"/>
    </row>
    <row r="110" spans="1:18" ht="15" x14ac:dyDescent="0.25">
      <c r="B110" s="484"/>
      <c r="C110" s="484"/>
      <c r="D110" s="891" t="s">
        <v>531</v>
      </c>
      <c r="E110" s="927"/>
      <c r="F110" s="544"/>
      <c r="G110" s="544" t="s">
        <v>1483</v>
      </c>
      <c r="H110" s="584"/>
      <c r="I110" s="583"/>
      <c r="J110" s="583"/>
      <c r="K110" s="584"/>
      <c r="L110" s="492"/>
      <c r="M110" s="492"/>
      <c r="N110" s="492"/>
      <c r="O110" s="492"/>
      <c r="P110" s="492"/>
      <c r="Q110" s="492"/>
      <c r="R110" s="492"/>
    </row>
    <row r="122" spans="7:11" ht="46.5" x14ac:dyDescent="0.2">
      <c r="K122" s="313"/>
    </row>
    <row r="125" spans="7:11" ht="46.5" x14ac:dyDescent="0.2">
      <c r="G125" s="313"/>
      <c r="K125" s="313"/>
    </row>
    <row r="144" spans="12:12" ht="90" x14ac:dyDescent="1.1499999999999999">
      <c r="L144" s="238"/>
    </row>
  </sheetData>
  <mergeCells count="11">
    <mergeCell ref="B1:K1"/>
    <mergeCell ref="G2:K2"/>
    <mergeCell ref="B4:K4"/>
    <mergeCell ref="B5:K5"/>
    <mergeCell ref="B7:C7"/>
    <mergeCell ref="B6:K6"/>
    <mergeCell ref="D108:E108"/>
    <mergeCell ref="D110:E110"/>
    <mergeCell ref="B106:R106"/>
    <mergeCell ref="B107:K107"/>
    <mergeCell ref="B8:C8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8"/>
  <sheetViews>
    <sheetView view="pageBreakPreview" zoomScale="10" zoomScaleNormal="25" zoomScaleSheetLayoutView="10" zoomScalePageLayoutView="10" workbookViewId="0">
      <pane ySplit="14" topLeftCell="A175" activePane="bottomLeft" state="frozen"/>
      <selection activeCell="F175" sqref="F175"/>
      <selection pane="bottomLeft" activeCell="I2" sqref="I2:J2"/>
    </sheetView>
  </sheetViews>
  <sheetFormatPr defaultColWidth="9.140625" defaultRowHeight="12.75" x14ac:dyDescent="0.2"/>
  <cols>
    <col min="1" max="1" width="48" style="342" customWidth="1"/>
    <col min="2" max="2" width="52.5703125" style="342" customWidth="1"/>
    <col min="3" max="3" width="65.7109375" style="342" customWidth="1"/>
    <col min="4" max="4" width="137.7109375" style="342" customWidth="1"/>
    <col min="5" max="5" width="136.7109375" style="350" customWidth="1"/>
    <col min="6" max="6" width="114" style="342" customWidth="1"/>
    <col min="7" max="7" width="55.42578125" style="342" customWidth="1"/>
    <col min="8" max="8" width="63.5703125" style="342" customWidth="1"/>
    <col min="9" max="9" width="62.140625" style="342" customWidth="1"/>
    <col min="10" max="10" width="70.28515625" style="350" customWidth="1"/>
    <col min="11" max="11" width="100.28515625" style="160" customWidth="1"/>
    <col min="12" max="13" width="71.5703125" style="160" bestFit="1" customWidth="1"/>
    <col min="14" max="14" width="71.5703125" style="127" bestFit="1" customWidth="1"/>
    <col min="15" max="15" width="52.140625" style="127" bestFit="1" customWidth="1"/>
    <col min="16" max="16" width="9.140625" style="127"/>
    <col min="17" max="17" width="70.28515625" style="127" customWidth="1"/>
    <col min="18" max="16384" width="9.140625" style="127"/>
  </cols>
  <sheetData>
    <row r="1" spans="1:13" ht="45.75" x14ac:dyDescent="0.2">
      <c r="A1" s="413"/>
      <c r="B1" s="413"/>
      <c r="C1" s="413"/>
      <c r="D1" s="414"/>
      <c r="E1" s="415"/>
      <c r="F1" s="416"/>
      <c r="G1" s="415"/>
      <c r="H1" s="415"/>
      <c r="I1" s="953" t="s">
        <v>602</v>
      </c>
      <c r="J1" s="953"/>
    </row>
    <row r="2" spans="1:13" ht="45.75" x14ac:dyDescent="0.2">
      <c r="A2" s="414"/>
      <c r="B2" s="414"/>
      <c r="C2" s="414"/>
      <c r="D2" s="414"/>
      <c r="E2" s="415"/>
      <c r="F2" s="416"/>
      <c r="G2" s="415"/>
      <c r="H2" s="415"/>
      <c r="I2" s="953" t="s">
        <v>1487</v>
      </c>
      <c r="J2" s="954"/>
    </row>
    <row r="3" spans="1:13" ht="40.700000000000003" customHeight="1" x14ac:dyDescent="0.2">
      <c r="A3" s="414"/>
      <c r="B3" s="414"/>
      <c r="C3" s="414"/>
      <c r="D3" s="414"/>
      <c r="E3" s="415"/>
      <c r="F3" s="416"/>
      <c r="G3" s="415"/>
      <c r="H3" s="415"/>
      <c r="I3" s="953"/>
      <c r="J3" s="954"/>
    </row>
    <row r="4" spans="1:13" ht="45.75" hidden="1" x14ac:dyDescent="0.2">
      <c r="A4" s="414"/>
      <c r="B4" s="414"/>
      <c r="C4" s="414"/>
      <c r="D4" s="414"/>
      <c r="E4" s="415"/>
      <c r="F4" s="416"/>
      <c r="G4" s="415"/>
      <c r="H4" s="415"/>
      <c r="I4" s="414"/>
      <c r="J4" s="416"/>
    </row>
    <row r="5" spans="1:13" ht="45" x14ac:dyDescent="0.2">
      <c r="A5" s="856" t="s">
        <v>574</v>
      </c>
      <c r="B5" s="856"/>
      <c r="C5" s="856"/>
      <c r="D5" s="856"/>
      <c r="E5" s="856"/>
      <c r="F5" s="856"/>
      <c r="G5" s="856"/>
      <c r="H5" s="856"/>
      <c r="I5" s="856"/>
      <c r="J5" s="856"/>
    </row>
    <row r="6" spans="1:13" ht="45" x14ac:dyDescent="0.2">
      <c r="A6" s="856" t="s">
        <v>1163</v>
      </c>
      <c r="B6" s="856"/>
      <c r="C6" s="856"/>
      <c r="D6" s="856"/>
      <c r="E6" s="856"/>
      <c r="F6" s="856"/>
      <c r="G6" s="856"/>
      <c r="H6" s="856"/>
      <c r="I6" s="856"/>
      <c r="J6" s="856"/>
    </row>
    <row r="7" spans="1:13" ht="45" x14ac:dyDescent="0.2">
      <c r="A7" s="856" t="s">
        <v>1314</v>
      </c>
      <c r="B7" s="856"/>
      <c r="C7" s="856"/>
      <c r="D7" s="856"/>
      <c r="E7" s="856"/>
      <c r="F7" s="856"/>
      <c r="G7" s="856"/>
      <c r="H7" s="856"/>
      <c r="I7" s="856"/>
      <c r="J7" s="856"/>
    </row>
    <row r="8" spans="1:13" ht="45" x14ac:dyDescent="0.2">
      <c r="A8" s="856"/>
      <c r="B8" s="856"/>
      <c r="C8" s="856"/>
      <c r="D8" s="856"/>
      <c r="E8" s="856"/>
      <c r="F8" s="856"/>
      <c r="G8" s="856"/>
      <c r="H8" s="856"/>
      <c r="I8" s="856"/>
      <c r="J8" s="856"/>
    </row>
    <row r="9" spans="1:13" ht="45.75" x14ac:dyDescent="0.65">
      <c r="A9" s="857">
        <v>2256400000</v>
      </c>
      <c r="B9" s="858"/>
      <c r="C9" s="804"/>
      <c r="D9" s="804"/>
      <c r="E9" s="804"/>
      <c r="F9" s="804"/>
      <c r="G9" s="804"/>
      <c r="H9" s="804"/>
      <c r="I9" s="804"/>
      <c r="J9" s="804"/>
      <c r="K9" s="182"/>
      <c r="L9" s="182"/>
      <c r="M9" s="182"/>
    </row>
    <row r="10" spans="1:13" ht="45.75" x14ac:dyDescent="0.2">
      <c r="A10" s="862" t="s">
        <v>497</v>
      </c>
      <c r="B10" s="863"/>
      <c r="C10" s="804"/>
      <c r="D10" s="804"/>
      <c r="E10" s="804"/>
      <c r="F10" s="804"/>
      <c r="G10" s="804"/>
      <c r="H10" s="804"/>
      <c r="I10" s="804"/>
      <c r="J10" s="804"/>
      <c r="K10" s="182"/>
      <c r="L10" s="182"/>
      <c r="M10" s="182"/>
    </row>
    <row r="11" spans="1:13" ht="53.45" customHeight="1" thickBot="1" x14ac:dyDescent="0.25">
      <c r="A11" s="135"/>
      <c r="B11" s="135"/>
      <c r="C11" s="135"/>
      <c r="D11" s="135"/>
      <c r="E11" s="135"/>
      <c r="F11" s="133"/>
      <c r="G11" s="135"/>
      <c r="H11" s="135"/>
      <c r="I11" s="135"/>
      <c r="J11" s="407" t="s">
        <v>410</v>
      </c>
      <c r="K11" s="182"/>
      <c r="L11" s="182"/>
      <c r="M11" s="182"/>
    </row>
    <row r="12" spans="1:13" ht="104.25" customHeight="1" thickTop="1" thickBot="1" x14ac:dyDescent="0.25">
      <c r="A12" s="947" t="s">
        <v>498</v>
      </c>
      <c r="B12" s="947" t="s">
        <v>499</v>
      </c>
      <c r="C12" s="947" t="s">
        <v>396</v>
      </c>
      <c r="D12" s="947" t="s">
        <v>575</v>
      </c>
      <c r="E12" s="947" t="s">
        <v>502</v>
      </c>
      <c r="F12" s="947" t="s">
        <v>503</v>
      </c>
      <c r="G12" s="947" t="s">
        <v>389</v>
      </c>
      <c r="H12" s="947" t="s">
        <v>12</v>
      </c>
      <c r="I12" s="948" t="s">
        <v>52</v>
      </c>
      <c r="J12" s="860"/>
      <c r="K12" s="182"/>
      <c r="L12" s="182"/>
      <c r="M12" s="182"/>
    </row>
    <row r="13" spans="1:13" ht="406.5" customHeight="1" thickTop="1" thickBot="1" x14ac:dyDescent="0.25">
      <c r="A13" s="948"/>
      <c r="B13" s="860"/>
      <c r="C13" s="860"/>
      <c r="D13" s="948"/>
      <c r="E13" s="948"/>
      <c r="F13" s="948"/>
      <c r="G13" s="948"/>
      <c r="H13" s="948"/>
      <c r="I13" s="417" t="s">
        <v>390</v>
      </c>
      <c r="J13" s="417" t="s">
        <v>391</v>
      </c>
      <c r="K13" s="182"/>
      <c r="L13" s="182"/>
      <c r="M13" s="182"/>
    </row>
    <row r="14" spans="1:13" s="4" customFormat="1" ht="47.25" thickTop="1" thickBot="1" x14ac:dyDescent="0.25">
      <c r="A14" s="132" t="s">
        <v>2</v>
      </c>
      <c r="B14" s="132" t="s">
        <v>3</v>
      </c>
      <c r="C14" s="132" t="s">
        <v>14</v>
      </c>
      <c r="D14" s="132" t="s">
        <v>5</v>
      </c>
      <c r="E14" s="132" t="s">
        <v>398</v>
      </c>
      <c r="F14" s="132" t="s">
        <v>399</v>
      </c>
      <c r="G14" s="132" t="s">
        <v>400</v>
      </c>
      <c r="H14" s="132" t="s">
        <v>401</v>
      </c>
      <c r="I14" s="132" t="s">
        <v>402</v>
      </c>
      <c r="J14" s="132" t="s">
        <v>403</v>
      </c>
      <c r="K14" s="176"/>
      <c r="L14" s="176"/>
      <c r="M14" s="176"/>
    </row>
    <row r="15" spans="1:13" s="4" customFormat="1" ht="148.69999999999999" customHeight="1" thickTop="1" thickBot="1" x14ac:dyDescent="0.25">
      <c r="A15" s="472" t="s">
        <v>149</v>
      </c>
      <c r="B15" s="472"/>
      <c r="C15" s="472"/>
      <c r="D15" s="473" t="s">
        <v>151</v>
      </c>
      <c r="E15" s="472"/>
      <c r="F15" s="472"/>
      <c r="G15" s="474">
        <f>G16</f>
        <v>200033915.69</v>
      </c>
      <c r="H15" s="474">
        <f t="shared" ref="H15:J15" si="0">H16</f>
        <v>141746235.48000002</v>
      </c>
      <c r="I15" s="474">
        <f>I16</f>
        <v>58287680.210000001</v>
      </c>
      <c r="J15" s="474">
        <f t="shared" si="0"/>
        <v>54530042</v>
      </c>
      <c r="K15" s="111" t="b">
        <f>H16='d3'!E16-'d3'!E18+'d7'!H17+'d7'!H20+'d7'!H21</f>
        <v>1</v>
      </c>
      <c r="L15" s="111" t="b">
        <f>I16='d3'!J16-'d3'!J18+I17+I20+I21</f>
        <v>1</v>
      </c>
      <c r="M15" s="111" t="b">
        <f>J16='d3'!K16-'d3'!K18+J17+J20+J21</f>
        <v>1</v>
      </c>
    </row>
    <row r="16" spans="1:13" s="4" customFormat="1" ht="157.69999999999999" customHeight="1" thickTop="1" thickBot="1" x14ac:dyDescent="0.25">
      <c r="A16" s="476" t="s">
        <v>150</v>
      </c>
      <c r="B16" s="476"/>
      <c r="C16" s="476"/>
      <c r="D16" s="477" t="s">
        <v>152</v>
      </c>
      <c r="E16" s="478"/>
      <c r="F16" s="478"/>
      <c r="G16" s="478">
        <f>SUM(G17:G48)</f>
        <v>200033915.69</v>
      </c>
      <c r="H16" s="478">
        <f>SUM(H17:H48)</f>
        <v>141746235.48000002</v>
      </c>
      <c r="I16" s="478">
        <f>SUM(I17:I48)</f>
        <v>58287680.210000001</v>
      </c>
      <c r="J16" s="478">
        <f>SUM(J17:J48)</f>
        <v>54530042</v>
      </c>
      <c r="K16" s="176"/>
      <c r="L16" s="176"/>
      <c r="M16" s="176"/>
    </row>
    <row r="17" spans="1:13" ht="276" thickTop="1" thickBot="1" x14ac:dyDescent="0.25">
      <c r="A17" s="457" t="s">
        <v>237</v>
      </c>
      <c r="B17" s="457" t="s">
        <v>238</v>
      </c>
      <c r="C17" s="457" t="s">
        <v>239</v>
      </c>
      <c r="D17" s="457" t="s">
        <v>236</v>
      </c>
      <c r="E17" s="418" t="s">
        <v>1063</v>
      </c>
      <c r="F17" s="411" t="s">
        <v>870</v>
      </c>
      <c r="G17" s="411">
        <f t="shared" ref="G17:G30" si="1">H17+I17</f>
        <v>1724990</v>
      </c>
      <c r="H17" s="419"/>
      <c r="I17" s="411">
        <f>(200000)+500000+175000+99990+750000</f>
        <v>1724990</v>
      </c>
      <c r="J17" s="411">
        <f>(200000)+500000+175000+99990+750000</f>
        <v>1724990</v>
      </c>
      <c r="K17" s="314"/>
      <c r="L17" s="314"/>
      <c r="M17" s="314"/>
    </row>
    <row r="18" spans="1:13" ht="409.6" hidden="1" thickTop="1" thickBot="1" x14ac:dyDescent="0.25">
      <c r="A18" s="171" t="s">
        <v>237</v>
      </c>
      <c r="B18" s="171" t="s">
        <v>238</v>
      </c>
      <c r="C18" s="171" t="s">
        <v>239</v>
      </c>
      <c r="D18" s="171" t="s">
        <v>236</v>
      </c>
      <c r="E18" s="244" t="s">
        <v>1263</v>
      </c>
      <c r="F18" s="244" t="s">
        <v>872</v>
      </c>
      <c r="G18" s="244">
        <f t="shared" si="1"/>
        <v>0</v>
      </c>
      <c r="H18" s="316">
        <v>0</v>
      </c>
      <c r="I18" s="244">
        <v>0</v>
      </c>
      <c r="J18" s="244">
        <v>0</v>
      </c>
      <c r="K18" s="317"/>
      <c r="L18" s="317"/>
      <c r="M18" s="317"/>
    </row>
    <row r="19" spans="1:13" ht="321.75" hidden="1" thickTop="1" thickBot="1" x14ac:dyDescent="0.25">
      <c r="A19" s="44" t="s">
        <v>237</v>
      </c>
      <c r="B19" s="44" t="s">
        <v>238</v>
      </c>
      <c r="C19" s="44" t="s">
        <v>239</v>
      </c>
      <c r="D19" s="44" t="s">
        <v>236</v>
      </c>
      <c r="E19" s="318" t="s">
        <v>885</v>
      </c>
      <c r="F19" s="77" t="s">
        <v>886</v>
      </c>
      <c r="G19" s="77">
        <f t="shared" si="1"/>
        <v>0</v>
      </c>
      <c r="H19" s="319"/>
      <c r="I19" s="77"/>
      <c r="J19" s="77"/>
      <c r="K19" s="320"/>
      <c r="L19" s="195"/>
      <c r="M19" s="182"/>
    </row>
    <row r="20" spans="1:13" ht="276" thickTop="1" thickBot="1" x14ac:dyDescent="0.25">
      <c r="A20" s="457" t="s">
        <v>237</v>
      </c>
      <c r="B20" s="457" t="s">
        <v>238</v>
      </c>
      <c r="C20" s="457" t="s">
        <v>239</v>
      </c>
      <c r="D20" s="457" t="s">
        <v>236</v>
      </c>
      <c r="E20" s="418" t="s">
        <v>1199</v>
      </c>
      <c r="F20" s="411" t="s">
        <v>1198</v>
      </c>
      <c r="G20" s="411">
        <f t="shared" si="1"/>
        <v>400000</v>
      </c>
      <c r="H20" s="419">
        <v>0</v>
      </c>
      <c r="I20" s="411">
        <v>400000</v>
      </c>
      <c r="J20" s="411">
        <v>400000</v>
      </c>
      <c r="K20" s="320"/>
      <c r="L20" s="195"/>
      <c r="M20" s="182"/>
    </row>
    <row r="21" spans="1:13" s="460" customFormat="1" ht="276" thickTop="1" thickBot="1" x14ac:dyDescent="0.25">
      <c r="A21" s="457" t="s">
        <v>237</v>
      </c>
      <c r="B21" s="457" t="s">
        <v>238</v>
      </c>
      <c r="C21" s="457" t="s">
        <v>239</v>
      </c>
      <c r="D21" s="457" t="s">
        <v>236</v>
      </c>
      <c r="E21" s="418" t="s">
        <v>1377</v>
      </c>
      <c r="F21" s="411" t="s">
        <v>1378</v>
      </c>
      <c r="G21" s="411">
        <f t="shared" si="1"/>
        <v>1434532</v>
      </c>
      <c r="H21" s="419">
        <v>0</v>
      </c>
      <c r="I21" s="411">
        <f>(1400000)+34532</f>
        <v>1434532</v>
      </c>
      <c r="J21" s="411">
        <f>(1400000)+34532</f>
        <v>1434532</v>
      </c>
      <c r="K21" s="320"/>
      <c r="L21" s="195"/>
      <c r="M21" s="182"/>
    </row>
    <row r="22" spans="1:13" ht="367.5" thickTop="1" thickBot="1" x14ac:dyDescent="0.25">
      <c r="A22" s="457" t="s">
        <v>636</v>
      </c>
      <c r="B22" s="457" t="s">
        <v>368</v>
      </c>
      <c r="C22" s="457" t="s">
        <v>637</v>
      </c>
      <c r="D22" s="457" t="s">
        <v>638</v>
      </c>
      <c r="E22" s="418" t="s">
        <v>1395</v>
      </c>
      <c r="F22" s="411" t="s">
        <v>1396</v>
      </c>
      <c r="G22" s="411">
        <f t="shared" si="1"/>
        <v>53400</v>
      </c>
      <c r="H22" s="419">
        <f>'d3'!E20</f>
        <v>53400</v>
      </c>
      <c r="I22" s="411">
        <v>0</v>
      </c>
      <c r="J22" s="411">
        <v>0</v>
      </c>
      <c r="K22" s="320"/>
      <c r="L22" s="195"/>
      <c r="M22" s="182"/>
    </row>
    <row r="23" spans="1:13" ht="367.5" thickTop="1" thickBot="1" x14ac:dyDescent="0.25">
      <c r="A23" s="457" t="s">
        <v>252</v>
      </c>
      <c r="B23" s="457" t="s">
        <v>43</v>
      </c>
      <c r="C23" s="457" t="s">
        <v>42</v>
      </c>
      <c r="D23" s="457" t="s">
        <v>253</v>
      </c>
      <c r="E23" s="418" t="s">
        <v>1486</v>
      </c>
      <c r="F23" s="783"/>
      <c r="G23" s="411">
        <f t="shared" si="1"/>
        <v>23266000</v>
      </c>
      <c r="H23" s="419">
        <f>18646000+1620000+3000000</f>
        <v>23266000</v>
      </c>
      <c r="I23" s="411">
        <v>0</v>
      </c>
      <c r="J23" s="411">
        <v>0</v>
      </c>
      <c r="K23" s="949" t="b">
        <f>H23+H25+H24+H26='d3'!E21</f>
        <v>1</v>
      </c>
      <c r="L23" s="945"/>
      <c r="M23" s="945"/>
    </row>
    <row r="24" spans="1:13" ht="138.75" thickTop="1" thickBot="1" x14ac:dyDescent="0.25">
      <c r="A24" s="457" t="s">
        <v>252</v>
      </c>
      <c r="B24" s="457" t="s">
        <v>43</v>
      </c>
      <c r="C24" s="457" t="s">
        <v>42</v>
      </c>
      <c r="D24" s="457" t="s">
        <v>253</v>
      </c>
      <c r="E24" s="418" t="s">
        <v>1380</v>
      </c>
      <c r="F24" s="411" t="s">
        <v>1379</v>
      </c>
      <c r="G24" s="411">
        <f t="shared" ref="G24" si="2">H24+I24</f>
        <v>1500000</v>
      </c>
      <c r="H24" s="419">
        <v>1500000</v>
      </c>
      <c r="I24" s="411">
        <v>0</v>
      </c>
      <c r="J24" s="411">
        <v>0</v>
      </c>
      <c r="K24" s="949"/>
      <c r="L24" s="945"/>
      <c r="M24" s="945"/>
    </row>
    <row r="25" spans="1:13" ht="184.7" customHeight="1" thickTop="1" thickBot="1" x14ac:dyDescent="0.25">
      <c r="A25" s="457" t="s">
        <v>252</v>
      </c>
      <c r="B25" s="457" t="s">
        <v>43</v>
      </c>
      <c r="C25" s="457" t="s">
        <v>42</v>
      </c>
      <c r="D25" s="457" t="s">
        <v>253</v>
      </c>
      <c r="E25" s="418" t="s">
        <v>1377</v>
      </c>
      <c r="F25" s="411" t="s">
        <v>1378</v>
      </c>
      <c r="G25" s="411">
        <f t="shared" si="1"/>
        <v>1934470</v>
      </c>
      <c r="H25" s="419">
        <f>106000+1828470</f>
        <v>1934470</v>
      </c>
      <c r="I25" s="411">
        <v>0</v>
      </c>
      <c r="J25" s="411">
        <v>0</v>
      </c>
      <c r="K25" s="950"/>
      <c r="L25" s="946"/>
      <c r="M25" s="946"/>
    </row>
    <row r="26" spans="1:13" s="691" customFormat="1" ht="286.5" customHeight="1" thickTop="1" thickBot="1" x14ac:dyDescent="0.25">
      <c r="A26" s="690" t="s">
        <v>252</v>
      </c>
      <c r="B26" s="690" t="s">
        <v>43</v>
      </c>
      <c r="C26" s="690" t="s">
        <v>42</v>
      </c>
      <c r="D26" s="690" t="s">
        <v>253</v>
      </c>
      <c r="E26" s="411" t="s">
        <v>1243</v>
      </c>
      <c r="F26" s="469" t="s">
        <v>1242</v>
      </c>
      <c r="G26" s="411">
        <f t="shared" si="1"/>
        <v>64668798</v>
      </c>
      <c r="H26" s="411">
        <f>((20000000+10000000)-17307000-5864000)+107839798-50000000</f>
        <v>64668798</v>
      </c>
      <c r="I26" s="411"/>
      <c r="J26" s="411"/>
      <c r="K26" s="692"/>
      <c r="L26" s="693"/>
      <c r="M26" s="693"/>
    </row>
    <row r="27" spans="1:13" ht="138.75" thickTop="1" thickBot="1" x14ac:dyDescent="0.25">
      <c r="A27" s="457" t="s">
        <v>243</v>
      </c>
      <c r="B27" s="457" t="s">
        <v>244</v>
      </c>
      <c r="C27" s="457" t="s">
        <v>245</v>
      </c>
      <c r="D27" s="457" t="s">
        <v>242</v>
      </c>
      <c r="E27" s="418" t="s">
        <v>1063</v>
      </c>
      <c r="F27" s="411" t="s">
        <v>870</v>
      </c>
      <c r="G27" s="411">
        <f t="shared" si="1"/>
        <v>6708364.9800000004</v>
      </c>
      <c r="H27" s="411">
        <f>'d3'!E24</f>
        <v>5028364.9800000004</v>
      </c>
      <c r="I27" s="411">
        <f>'d3'!J24</f>
        <v>1680000</v>
      </c>
      <c r="J27" s="411">
        <f>'d3'!K24</f>
        <v>1680000</v>
      </c>
      <c r="K27" s="111" t="b">
        <f>H27='d3'!E24</f>
        <v>1</v>
      </c>
      <c r="L27" s="112" t="b">
        <f>I27='d3'!J24</f>
        <v>1</v>
      </c>
      <c r="M27" s="113" t="b">
        <f>J27='d3'!K24</f>
        <v>1</v>
      </c>
    </row>
    <row r="28" spans="1:13" ht="184.5" hidden="1" thickTop="1" thickBot="1" x14ac:dyDescent="0.25">
      <c r="A28" s="464" t="s">
        <v>996</v>
      </c>
      <c r="B28" s="464" t="s">
        <v>997</v>
      </c>
      <c r="C28" s="464" t="s">
        <v>245</v>
      </c>
      <c r="D28" s="464" t="s">
        <v>998</v>
      </c>
      <c r="E28" s="465" t="s">
        <v>1063</v>
      </c>
      <c r="F28" s="466" t="s">
        <v>870</v>
      </c>
      <c r="G28" s="466">
        <f t="shared" si="1"/>
        <v>0</v>
      </c>
      <c r="H28" s="466">
        <f>'d3'!E25</f>
        <v>0</v>
      </c>
      <c r="I28" s="466">
        <f>'d3'!J25</f>
        <v>0</v>
      </c>
      <c r="J28" s="466">
        <f>'d3'!K25</f>
        <v>0</v>
      </c>
      <c r="K28" s="314" t="b">
        <f>H28='d3'!E25</f>
        <v>1</v>
      </c>
      <c r="L28" s="321" t="b">
        <f>I28='d3'!J25</f>
        <v>1</v>
      </c>
      <c r="M28" s="322" t="b">
        <f>J28='d3'!K25</f>
        <v>1</v>
      </c>
    </row>
    <row r="29" spans="1:13" ht="184.5" thickTop="1" thickBot="1" x14ac:dyDescent="0.25">
      <c r="A29" s="457" t="s">
        <v>305</v>
      </c>
      <c r="B29" s="457" t="s">
        <v>306</v>
      </c>
      <c r="C29" s="457" t="s">
        <v>171</v>
      </c>
      <c r="D29" s="457" t="s">
        <v>448</v>
      </c>
      <c r="E29" s="418" t="s">
        <v>1377</v>
      </c>
      <c r="F29" s="411" t="s">
        <v>1378</v>
      </c>
      <c r="G29" s="411">
        <f t="shared" si="1"/>
        <v>341770.5</v>
      </c>
      <c r="H29" s="411">
        <f>'d3'!E27</f>
        <v>341770.5</v>
      </c>
      <c r="I29" s="411">
        <f>'d3'!J27</f>
        <v>0</v>
      </c>
      <c r="J29" s="411">
        <f>'d3'!K27</f>
        <v>0</v>
      </c>
      <c r="K29" s="111" t="b">
        <f>H29='d3'!E27</f>
        <v>1</v>
      </c>
      <c r="L29" s="112" t="b">
        <f>I29='d3'!J27</f>
        <v>1</v>
      </c>
      <c r="M29" s="113" t="b">
        <f>J29='d3'!K27</f>
        <v>1</v>
      </c>
    </row>
    <row r="30" spans="1:13" ht="292.5" customHeight="1" thickTop="1" thickBot="1" x14ac:dyDescent="0.7">
      <c r="A30" s="845" t="s">
        <v>345</v>
      </c>
      <c r="B30" s="845" t="s">
        <v>344</v>
      </c>
      <c r="C30" s="845" t="s">
        <v>171</v>
      </c>
      <c r="D30" s="86" t="s">
        <v>446</v>
      </c>
      <c r="E30" s="845" t="s">
        <v>1377</v>
      </c>
      <c r="F30" s="845" t="s">
        <v>1378</v>
      </c>
      <c r="G30" s="843">
        <f t="shared" si="1"/>
        <v>3757638.21</v>
      </c>
      <c r="H30" s="843">
        <f>'d3'!E29</f>
        <v>0</v>
      </c>
      <c r="I30" s="843">
        <f>'d3'!J29</f>
        <v>3757638.21</v>
      </c>
      <c r="J30" s="843">
        <f>'d3'!K29</f>
        <v>0</v>
      </c>
      <c r="K30" s="111" t="b">
        <f>H30='d3'!E29</f>
        <v>1</v>
      </c>
      <c r="L30" s="112" t="b">
        <f>I30='d3'!J29</f>
        <v>1</v>
      </c>
      <c r="M30" s="113" t="b">
        <f>J30='d3'!K29</f>
        <v>1</v>
      </c>
    </row>
    <row r="31" spans="1:13" ht="138.75" customHeight="1" thickTop="1" thickBot="1" x14ac:dyDescent="0.25">
      <c r="A31" s="846"/>
      <c r="B31" s="846"/>
      <c r="C31" s="846"/>
      <c r="D31" s="87" t="s">
        <v>447</v>
      </c>
      <c r="E31" s="846"/>
      <c r="F31" s="846"/>
      <c r="G31" s="941"/>
      <c r="H31" s="941"/>
      <c r="I31" s="941"/>
      <c r="J31" s="941"/>
      <c r="K31" s="182"/>
      <c r="L31" s="182"/>
      <c r="M31" s="182"/>
    </row>
    <row r="32" spans="1:13" ht="184.5" thickTop="1" thickBot="1" x14ac:dyDescent="0.25">
      <c r="A32" s="457" t="s">
        <v>930</v>
      </c>
      <c r="B32" s="457" t="s">
        <v>262</v>
      </c>
      <c r="C32" s="457" t="s">
        <v>171</v>
      </c>
      <c r="D32" s="457" t="s">
        <v>260</v>
      </c>
      <c r="E32" s="411" t="s">
        <v>1222</v>
      </c>
      <c r="F32" s="469" t="s">
        <v>1221</v>
      </c>
      <c r="G32" s="411">
        <f t="shared" ref="G32:G38" si="3">H32+I32</f>
        <v>2207674</v>
      </c>
      <c r="H32" s="411">
        <f>'d3'!E31</f>
        <v>2207674</v>
      </c>
      <c r="I32" s="411">
        <f>'d3'!J31</f>
        <v>0</v>
      </c>
      <c r="J32" s="411">
        <f>'d3'!K31</f>
        <v>0</v>
      </c>
      <c r="K32" s="182"/>
      <c r="L32" s="182"/>
      <c r="M32" s="182"/>
    </row>
    <row r="33" spans="1:13" ht="409.6" thickTop="1" thickBot="1" x14ac:dyDescent="0.25">
      <c r="A33" s="457" t="s">
        <v>1264</v>
      </c>
      <c r="B33" s="457" t="s">
        <v>1265</v>
      </c>
      <c r="C33" s="457" t="s">
        <v>1239</v>
      </c>
      <c r="D33" s="457" t="s">
        <v>1266</v>
      </c>
      <c r="E33" s="411" t="s">
        <v>1263</v>
      </c>
      <c r="F33" s="411" t="s">
        <v>872</v>
      </c>
      <c r="G33" s="411">
        <f t="shared" si="3"/>
        <v>1000000</v>
      </c>
      <c r="H33" s="411">
        <v>600000</v>
      </c>
      <c r="I33" s="411">
        <v>400000</v>
      </c>
      <c r="J33" s="411">
        <v>400000</v>
      </c>
      <c r="K33" s="182"/>
      <c r="L33" s="182"/>
      <c r="M33" s="182"/>
    </row>
    <row r="34" spans="1:13" ht="138.75" thickTop="1" thickBot="1" x14ac:dyDescent="0.25">
      <c r="A34" s="457" t="s">
        <v>1240</v>
      </c>
      <c r="B34" s="457" t="s">
        <v>1241</v>
      </c>
      <c r="C34" s="457" t="s">
        <v>1239</v>
      </c>
      <c r="D34" s="457" t="s">
        <v>1238</v>
      </c>
      <c r="E34" s="457" t="s">
        <v>1381</v>
      </c>
      <c r="F34" s="411" t="s">
        <v>1382</v>
      </c>
      <c r="G34" s="411">
        <f t="shared" si="3"/>
        <v>4430000</v>
      </c>
      <c r="H34" s="411">
        <v>4430000</v>
      </c>
      <c r="I34" s="411"/>
      <c r="J34" s="411"/>
      <c r="K34" s="111" t="b">
        <f>H34+H35='d3'!E35</f>
        <v>1</v>
      </c>
      <c r="L34" s="112" t="b">
        <f>I34+I35='d3'!J35</f>
        <v>1</v>
      </c>
      <c r="M34" s="112" t="b">
        <f>J34+J35='d3'!K35</f>
        <v>1</v>
      </c>
    </row>
    <row r="35" spans="1:13" ht="230.25" thickTop="1" thickBot="1" x14ac:dyDescent="0.25">
      <c r="A35" s="457" t="s">
        <v>1240</v>
      </c>
      <c r="B35" s="457" t="s">
        <v>1241</v>
      </c>
      <c r="C35" s="457" t="s">
        <v>1239</v>
      </c>
      <c r="D35" s="457" t="s">
        <v>1238</v>
      </c>
      <c r="E35" s="411" t="s">
        <v>1324</v>
      </c>
      <c r="F35" s="469" t="s">
        <v>1279</v>
      </c>
      <c r="G35" s="411">
        <f>H35+I35</f>
        <v>7141546</v>
      </c>
      <c r="H35" s="411">
        <v>4041546</v>
      </c>
      <c r="I35" s="411">
        <f>(100000)+2500000+500000</f>
        <v>3100000</v>
      </c>
      <c r="J35" s="758">
        <f>(100000)+2500000+500000</f>
        <v>3100000</v>
      </c>
      <c r="K35" s="127"/>
      <c r="L35" s="127"/>
      <c r="M35" s="127"/>
    </row>
    <row r="36" spans="1:13" ht="255.75" customHeight="1" thickTop="1" thickBot="1" x14ac:dyDescent="0.25">
      <c r="A36" s="457" t="s">
        <v>246</v>
      </c>
      <c r="B36" s="457" t="s">
        <v>247</v>
      </c>
      <c r="C36" s="457" t="s">
        <v>248</v>
      </c>
      <c r="D36" s="457" t="s">
        <v>249</v>
      </c>
      <c r="E36" s="411" t="s">
        <v>904</v>
      </c>
      <c r="F36" s="411" t="s">
        <v>905</v>
      </c>
      <c r="G36" s="411">
        <f t="shared" si="3"/>
        <v>7500000</v>
      </c>
      <c r="H36" s="411">
        <f>'d3'!E37</f>
        <v>7500000</v>
      </c>
      <c r="I36" s="411">
        <f>'d3'!J37</f>
        <v>0</v>
      </c>
      <c r="J36" s="411">
        <f>'d3'!K37</f>
        <v>0</v>
      </c>
      <c r="K36" s="111" t="b">
        <f>H36='d3'!E37</f>
        <v>1</v>
      </c>
      <c r="L36" s="112" t="b">
        <f>I36='d3'!J37</f>
        <v>1</v>
      </c>
      <c r="M36" s="113" t="b">
        <f>J36='d3'!K37</f>
        <v>1</v>
      </c>
    </row>
    <row r="37" spans="1:13" ht="230.25" thickTop="1" thickBot="1" x14ac:dyDescent="0.25">
      <c r="A37" s="457" t="s">
        <v>250</v>
      </c>
      <c r="B37" s="457" t="s">
        <v>251</v>
      </c>
      <c r="C37" s="457" t="s">
        <v>43</v>
      </c>
      <c r="D37" s="457" t="s">
        <v>449</v>
      </c>
      <c r="E37" s="418" t="s">
        <v>1377</v>
      </c>
      <c r="F37" s="411" t="s">
        <v>1378</v>
      </c>
      <c r="G37" s="411">
        <f t="shared" si="3"/>
        <v>1163700</v>
      </c>
      <c r="H37" s="419">
        <f>'d3'!E40</f>
        <v>1163700</v>
      </c>
      <c r="I37" s="411">
        <f>'d3'!J40</f>
        <v>0</v>
      </c>
      <c r="J37" s="411">
        <f>'d3'!K40</f>
        <v>0</v>
      </c>
      <c r="K37" s="111" t="b">
        <f>H37='d3'!E40</f>
        <v>1</v>
      </c>
      <c r="L37" s="112" t="b">
        <f>I37='d3'!J40</f>
        <v>1</v>
      </c>
      <c r="M37" s="112" t="b">
        <f>J37='d3'!K40</f>
        <v>1</v>
      </c>
    </row>
    <row r="38" spans="1:13" ht="184.5" thickTop="1" thickBot="1" x14ac:dyDescent="0.25">
      <c r="A38" s="457" t="s">
        <v>584</v>
      </c>
      <c r="B38" s="457" t="s">
        <v>369</v>
      </c>
      <c r="C38" s="457" t="s">
        <v>43</v>
      </c>
      <c r="D38" s="457" t="s">
        <v>370</v>
      </c>
      <c r="E38" s="418" t="s">
        <v>1377</v>
      </c>
      <c r="F38" s="411" t="s">
        <v>1378</v>
      </c>
      <c r="G38" s="411">
        <f t="shared" si="3"/>
        <v>148700</v>
      </c>
      <c r="H38" s="419">
        <f>'d3'!E41</f>
        <v>148700</v>
      </c>
      <c r="I38" s="411">
        <f>'d3'!J41</f>
        <v>0</v>
      </c>
      <c r="J38" s="411">
        <f>'d3'!K41</f>
        <v>0</v>
      </c>
      <c r="K38" s="111" t="b">
        <f>H38='d3'!E41</f>
        <v>1</v>
      </c>
      <c r="L38" s="112" t="b">
        <f>I38='d3'!J41</f>
        <v>1</v>
      </c>
      <c r="M38" s="112" t="b">
        <f>J38='d3'!K41</f>
        <v>1</v>
      </c>
    </row>
    <row r="39" spans="1:13" ht="321.75" thickTop="1" thickBot="1" x14ac:dyDescent="0.25">
      <c r="A39" s="457" t="s">
        <v>520</v>
      </c>
      <c r="B39" s="457" t="s">
        <v>521</v>
      </c>
      <c r="C39" s="457" t="s">
        <v>43</v>
      </c>
      <c r="D39" s="457" t="s">
        <v>522</v>
      </c>
      <c r="E39" s="411" t="s">
        <v>1243</v>
      </c>
      <c r="F39" s="469" t="s">
        <v>1242</v>
      </c>
      <c r="G39" s="411">
        <f t="shared" ref="G39:G48" si="4">H39+I39</f>
        <v>55331202</v>
      </c>
      <c r="H39" s="411">
        <f>(8411000+969000)+8726682-86000</f>
        <v>18020682</v>
      </c>
      <c r="I39" s="411">
        <f>(8896000+4895000)+23433520+86000</f>
        <v>37310520</v>
      </c>
      <c r="J39" s="411">
        <f>(8896000+4895000)+23433520+86000</f>
        <v>37310520</v>
      </c>
      <c r="K39" s="111" t="b">
        <f>H39+H40+H41+H42+H43+H44+H48+H45+H46+H47='d3'!E42</f>
        <v>1</v>
      </c>
      <c r="L39" s="112" t="b">
        <f>I39+I40+I41+I42+I43+I44+I48+I46+I47='d3'!J42</f>
        <v>1</v>
      </c>
      <c r="M39" s="112" t="b">
        <f>J39+J40+J41+J42+J43+J44+J48+J46+J47='d3'!K42</f>
        <v>1</v>
      </c>
    </row>
    <row r="40" spans="1:13" ht="409.6" thickTop="1" thickBot="1" x14ac:dyDescent="0.25">
      <c r="A40" s="716" t="s">
        <v>520</v>
      </c>
      <c r="B40" s="716" t="s">
        <v>521</v>
      </c>
      <c r="C40" s="716" t="s">
        <v>43</v>
      </c>
      <c r="D40" s="716" t="s">
        <v>522</v>
      </c>
      <c r="E40" s="411" t="s">
        <v>1263</v>
      </c>
      <c r="F40" s="411" t="s">
        <v>872</v>
      </c>
      <c r="G40" s="411">
        <f t="shared" si="4"/>
        <v>450000</v>
      </c>
      <c r="H40" s="411">
        <v>50000</v>
      </c>
      <c r="I40" s="411">
        <v>400000</v>
      </c>
      <c r="J40" s="411">
        <v>400000</v>
      </c>
      <c r="K40" s="314"/>
      <c r="L40" s="321"/>
      <c r="M40" s="322"/>
    </row>
    <row r="41" spans="1:13" ht="321.75" thickTop="1" thickBot="1" x14ac:dyDescent="0.25">
      <c r="A41" s="716" t="s">
        <v>520</v>
      </c>
      <c r="B41" s="716" t="s">
        <v>521</v>
      </c>
      <c r="C41" s="716" t="s">
        <v>43</v>
      </c>
      <c r="D41" s="716" t="s">
        <v>522</v>
      </c>
      <c r="E41" s="411" t="s">
        <v>1068</v>
      </c>
      <c r="F41" s="411" t="s">
        <v>953</v>
      </c>
      <c r="G41" s="411">
        <f t="shared" si="4"/>
        <v>4405900</v>
      </c>
      <c r="H41" s="411">
        <f>(770000)+1000000+505900+115000</f>
        <v>2390900</v>
      </c>
      <c r="I41" s="411">
        <f>1790000+150000+75000</f>
        <v>2015000</v>
      </c>
      <c r="J41" s="758">
        <f>1790000+150000+75000</f>
        <v>2015000</v>
      </c>
      <c r="K41" s="314"/>
      <c r="L41" s="321"/>
      <c r="M41" s="322"/>
    </row>
    <row r="42" spans="1:13" ht="230.25" thickTop="1" thickBot="1" x14ac:dyDescent="0.25">
      <c r="A42" s="716" t="s">
        <v>520</v>
      </c>
      <c r="B42" s="716" t="s">
        <v>521</v>
      </c>
      <c r="C42" s="716" t="s">
        <v>43</v>
      </c>
      <c r="D42" s="716" t="s">
        <v>522</v>
      </c>
      <c r="E42" s="411" t="s">
        <v>1399</v>
      </c>
      <c r="F42" s="411" t="s">
        <v>1428</v>
      </c>
      <c r="G42" s="411">
        <f t="shared" si="4"/>
        <v>5000000</v>
      </c>
      <c r="H42" s="411">
        <f>(1600000)+1000000</f>
        <v>2600000</v>
      </c>
      <c r="I42" s="411">
        <f>(1000000)+1400000</f>
        <v>2400000</v>
      </c>
      <c r="J42" s="758">
        <f>(1000000)+1400000</f>
        <v>2400000</v>
      </c>
      <c r="K42" s="314"/>
      <c r="L42" s="321"/>
      <c r="M42" s="322"/>
    </row>
    <row r="43" spans="1:13" ht="409.6" thickTop="1" thickBot="1" x14ac:dyDescent="0.25">
      <c r="A43" s="716" t="s">
        <v>520</v>
      </c>
      <c r="B43" s="716" t="s">
        <v>521</v>
      </c>
      <c r="C43" s="716" t="s">
        <v>43</v>
      </c>
      <c r="D43" s="716" t="s">
        <v>522</v>
      </c>
      <c r="E43" s="411" t="s">
        <v>1479</v>
      </c>
      <c r="F43" s="411" t="s">
        <v>1427</v>
      </c>
      <c r="G43" s="411">
        <f t="shared" si="4"/>
        <v>2900000</v>
      </c>
      <c r="H43" s="411">
        <v>0</v>
      </c>
      <c r="I43" s="411">
        <f>(1900000)+1000000</f>
        <v>2900000</v>
      </c>
      <c r="J43" s="411">
        <f>(1900000)+1000000</f>
        <v>2900000</v>
      </c>
      <c r="K43" s="314"/>
      <c r="L43" s="321"/>
      <c r="M43" s="322"/>
    </row>
    <row r="44" spans="1:13" ht="321.75" thickTop="1" thickBot="1" x14ac:dyDescent="0.25">
      <c r="A44" s="743" t="s">
        <v>520</v>
      </c>
      <c r="B44" s="743" t="s">
        <v>521</v>
      </c>
      <c r="C44" s="743" t="s">
        <v>43</v>
      </c>
      <c r="D44" s="743" t="s">
        <v>522</v>
      </c>
      <c r="E44" s="411" t="s">
        <v>1429</v>
      </c>
      <c r="F44" s="758"/>
      <c r="G44" s="411">
        <f>H44+I44</f>
        <v>1000000</v>
      </c>
      <c r="H44" s="411">
        <v>935000</v>
      </c>
      <c r="I44" s="411">
        <v>65000</v>
      </c>
      <c r="J44" s="411">
        <v>65000</v>
      </c>
      <c r="K44" s="314"/>
      <c r="L44" s="321"/>
      <c r="M44" s="322"/>
    </row>
    <row r="45" spans="1:13" ht="409.6" hidden="1" thickTop="1" thickBot="1" x14ac:dyDescent="0.25">
      <c r="A45" s="44" t="s">
        <v>520</v>
      </c>
      <c r="B45" s="44" t="s">
        <v>521</v>
      </c>
      <c r="C45" s="44" t="s">
        <v>43</v>
      </c>
      <c r="D45" s="44" t="s">
        <v>522</v>
      </c>
      <c r="E45" s="77" t="s">
        <v>1062</v>
      </c>
      <c r="F45" s="77" t="s">
        <v>1064</v>
      </c>
      <c r="G45" s="77">
        <f t="shared" si="4"/>
        <v>0</v>
      </c>
      <c r="H45" s="77"/>
      <c r="I45" s="77"/>
      <c r="J45" s="77"/>
      <c r="K45" s="314"/>
      <c r="L45" s="321"/>
      <c r="M45" s="322"/>
    </row>
    <row r="46" spans="1:13" s="745" customFormat="1" ht="321.75" thickTop="1" thickBot="1" x14ac:dyDescent="0.25">
      <c r="A46" s="743" t="s">
        <v>520</v>
      </c>
      <c r="B46" s="743" t="s">
        <v>521</v>
      </c>
      <c r="C46" s="743" t="s">
        <v>43</v>
      </c>
      <c r="D46" s="743" t="s">
        <v>522</v>
      </c>
      <c r="E46" s="411" t="s">
        <v>1425</v>
      </c>
      <c r="F46" s="411" t="s">
        <v>1426</v>
      </c>
      <c r="G46" s="411">
        <f t="shared" si="4"/>
        <v>700000</v>
      </c>
      <c r="H46" s="411">
        <v>0</v>
      </c>
      <c r="I46" s="411">
        <v>700000</v>
      </c>
      <c r="J46" s="411">
        <v>700000</v>
      </c>
      <c r="K46" s="314"/>
      <c r="L46" s="321"/>
      <c r="M46" s="322"/>
    </row>
    <row r="47" spans="1:13" s="761" customFormat="1" ht="409.6" thickTop="1" thickBot="1" x14ac:dyDescent="0.25">
      <c r="A47" s="757" t="s">
        <v>520</v>
      </c>
      <c r="B47" s="757" t="s">
        <v>521</v>
      </c>
      <c r="C47" s="757" t="s">
        <v>43</v>
      </c>
      <c r="D47" s="757" t="s">
        <v>522</v>
      </c>
      <c r="E47" s="762" t="s">
        <v>1465</v>
      </c>
      <c r="F47" s="758" t="s">
        <v>1466</v>
      </c>
      <c r="G47" s="758">
        <f t="shared" si="4"/>
        <v>300000</v>
      </c>
      <c r="H47" s="758">
        <v>300000</v>
      </c>
      <c r="I47" s="758">
        <v>0</v>
      </c>
      <c r="J47" s="758">
        <v>0</v>
      </c>
      <c r="K47" s="314"/>
      <c r="L47" s="321"/>
      <c r="M47" s="322"/>
    </row>
    <row r="48" spans="1:13" ht="230.25" thickTop="1" thickBot="1" x14ac:dyDescent="0.25">
      <c r="A48" s="717" t="s">
        <v>520</v>
      </c>
      <c r="B48" s="717" t="s">
        <v>521</v>
      </c>
      <c r="C48" s="717" t="s">
        <v>43</v>
      </c>
      <c r="D48" s="717" t="s">
        <v>522</v>
      </c>
      <c r="E48" s="411" t="s">
        <v>1398</v>
      </c>
      <c r="F48" s="411" t="s">
        <v>972</v>
      </c>
      <c r="G48" s="411">
        <f t="shared" si="4"/>
        <v>565230</v>
      </c>
      <c r="H48" s="411">
        <f>(415230)+150000</f>
        <v>565230</v>
      </c>
      <c r="I48" s="411">
        <v>0</v>
      </c>
      <c r="J48" s="411">
        <v>0</v>
      </c>
      <c r="K48" s="314"/>
      <c r="L48" s="321"/>
      <c r="M48" s="322"/>
    </row>
    <row r="49" spans="1:13" ht="136.5" thickTop="1" thickBot="1" x14ac:dyDescent="0.25">
      <c r="A49" s="472" t="s">
        <v>153</v>
      </c>
      <c r="B49" s="472"/>
      <c r="C49" s="472"/>
      <c r="D49" s="473" t="s">
        <v>0</v>
      </c>
      <c r="E49" s="472"/>
      <c r="F49" s="472"/>
      <c r="G49" s="474">
        <f>G50</f>
        <v>2331271104.7999997</v>
      </c>
      <c r="H49" s="474">
        <f t="shared" ref="H49:J49" si="5">H50</f>
        <v>1964835834.27</v>
      </c>
      <c r="I49" s="474">
        <f t="shared" si="5"/>
        <v>366435270.52999997</v>
      </c>
      <c r="J49" s="474">
        <f t="shared" si="5"/>
        <v>191304510.53</v>
      </c>
      <c r="K49" s="111" t="b">
        <f>H49='d3'!E44</f>
        <v>1</v>
      </c>
      <c r="L49" s="112" t="b">
        <f>I49='d3'!J44</f>
        <v>1</v>
      </c>
      <c r="M49" s="113" t="b">
        <f>J49='d3'!K43</f>
        <v>1</v>
      </c>
    </row>
    <row r="50" spans="1:13" ht="172.5" customHeight="1" thickTop="1" thickBot="1" x14ac:dyDescent="0.25">
      <c r="A50" s="476" t="s">
        <v>154</v>
      </c>
      <c r="B50" s="476"/>
      <c r="C50" s="476"/>
      <c r="D50" s="477" t="s">
        <v>1</v>
      </c>
      <c r="E50" s="478"/>
      <c r="F50" s="478"/>
      <c r="G50" s="478">
        <f>SUM(G51:G90)</f>
        <v>2331271104.7999997</v>
      </c>
      <c r="H50" s="478">
        <f>SUM(H51:H90)</f>
        <v>1964835834.27</v>
      </c>
      <c r="I50" s="478">
        <f>SUM(I51:I90)</f>
        <v>366435270.52999997</v>
      </c>
      <c r="J50" s="478">
        <f>SUM(J51:J90)</f>
        <v>191304510.53</v>
      </c>
      <c r="K50" s="182"/>
      <c r="L50" s="182"/>
      <c r="M50" s="182"/>
    </row>
    <row r="51" spans="1:13" ht="184.5" thickTop="1" thickBot="1" x14ac:dyDescent="0.25">
      <c r="A51" s="457" t="s">
        <v>203</v>
      </c>
      <c r="B51" s="457" t="s">
        <v>204</v>
      </c>
      <c r="C51" s="457" t="s">
        <v>206</v>
      </c>
      <c r="D51" s="457" t="s">
        <v>207</v>
      </c>
      <c r="E51" s="418" t="s">
        <v>1217</v>
      </c>
      <c r="F51" s="411" t="s">
        <v>1218</v>
      </c>
      <c r="G51" s="411">
        <f t="shared" ref="G51:G68" si="6">H51+I51</f>
        <v>644888354.55999994</v>
      </c>
      <c r="H51" s="411">
        <f>'d3'!E46-H52-H53</f>
        <v>545119424.55999994</v>
      </c>
      <c r="I51" s="411">
        <f>'d3'!J46-I52-I53</f>
        <v>99768930</v>
      </c>
      <c r="J51" s="411">
        <f>'d3'!K46-J52-J53</f>
        <v>12059520</v>
      </c>
      <c r="K51" s="111" t="b">
        <f>H51+H52+H53='d3'!E46</f>
        <v>1</v>
      </c>
      <c r="L51" s="112" t="b">
        <f>I51+I52+I53='d3'!J46</f>
        <v>1</v>
      </c>
      <c r="M51" s="112" t="b">
        <f>J51+J52+J53='d3'!K46</f>
        <v>1</v>
      </c>
    </row>
    <row r="52" spans="1:13" ht="184.5" hidden="1" thickTop="1" thickBot="1" x14ac:dyDescent="0.25">
      <c r="A52" s="464" t="s">
        <v>203</v>
      </c>
      <c r="B52" s="464" t="s">
        <v>204</v>
      </c>
      <c r="C52" s="464" t="s">
        <v>206</v>
      </c>
      <c r="D52" s="464" t="s">
        <v>207</v>
      </c>
      <c r="E52" s="465" t="s">
        <v>456</v>
      </c>
      <c r="F52" s="503" t="s">
        <v>457</v>
      </c>
      <c r="G52" s="466">
        <f>H52+I52</f>
        <v>0</v>
      </c>
      <c r="H52" s="466">
        <v>0</v>
      </c>
      <c r="I52" s="466">
        <f>(30333+15000)-45333</f>
        <v>0</v>
      </c>
      <c r="J52" s="466">
        <f>(30333+15000)-45333</f>
        <v>0</v>
      </c>
      <c r="K52" s="182"/>
      <c r="L52" s="182"/>
      <c r="M52" s="182"/>
    </row>
    <row r="53" spans="1:13" s="460" customFormat="1" ht="409.6" thickTop="1" thickBot="1" x14ac:dyDescent="0.25">
      <c r="A53" s="457" t="s">
        <v>203</v>
      </c>
      <c r="B53" s="457" t="s">
        <v>204</v>
      </c>
      <c r="C53" s="457" t="s">
        <v>206</v>
      </c>
      <c r="D53" s="457" t="s">
        <v>207</v>
      </c>
      <c r="E53" s="411" t="s">
        <v>1263</v>
      </c>
      <c r="F53" s="411" t="s">
        <v>872</v>
      </c>
      <c r="G53" s="411">
        <f t="shared" si="6"/>
        <v>500000</v>
      </c>
      <c r="H53" s="411">
        <v>500000</v>
      </c>
      <c r="I53" s="411"/>
      <c r="J53" s="411"/>
      <c r="K53" s="182"/>
      <c r="L53" s="182"/>
      <c r="M53" s="182"/>
    </row>
    <row r="54" spans="1:13" ht="184.5" thickTop="1" thickBot="1" x14ac:dyDescent="0.25">
      <c r="A54" s="457" t="s">
        <v>653</v>
      </c>
      <c r="B54" s="457" t="s">
        <v>654</v>
      </c>
      <c r="C54" s="457" t="s">
        <v>209</v>
      </c>
      <c r="D54" s="712" t="s">
        <v>1371</v>
      </c>
      <c r="E54" s="418" t="s">
        <v>1217</v>
      </c>
      <c r="F54" s="411" t="s">
        <v>1218</v>
      </c>
      <c r="G54" s="411">
        <f t="shared" si="6"/>
        <v>595199578.03999996</v>
      </c>
      <c r="H54" s="411">
        <f>'d3'!E48-H55-H56-H57</f>
        <v>502366631.33999997</v>
      </c>
      <c r="I54" s="411">
        <f>'d3'!J48-I55-I56-I57</f>
        <v>92832946.700000003</v>
      </c>
      <c r="J54" s="411">
        <f>'d3'!K48-J55-J56-J57</f>
        <v>37553726.700000003</v>
      </c>
      <c r="K54" s="111" t="b">
        <f>H54+H55+H56+H57='d3'!E48</f>
        <v>1</v>
      </c>
      <c r="L54" s="112" t="b">
        <f>I54+I55+I56+I57='d3'!J48</f>
        <v>1</v>
      </c>
      <c r="M54" s="112" t="b">
        <f>J54+J55+J56='d3'!K48</f>
        <v>1</v>
      </c>
    </row>
    <row r="55" spans="1:13" ht="184.5" hidden="1" thickTop="1" thickBot="1" x14ac:dyDescent="0.25">
      <c r="A55" s="44" t="s">
        <v>653</v>
      </c>
      <c r="B55" s="44" t="s">
        <v>654</v>
      </c>
      <c r="C55" s="44" t="s">
        <v>209</v>
      </c>
      <c r="D55" s="712" t="s">
        <v>1371</v>
      </c>
      <c r="E55" s="315" t="s">
        <v>1217</v>
      </c>
      <c r="F55" s="244" t="s">
        <v>1218</v>
      </c>
      <c r="G55" s="77">
        <f t="shared" si="6"/>
        <v>0</v>
      </c>
      <c r="H55" s="77"/>
      <c r="I55" s="77">
        <v>0</v>
      </c>
      <c r="J55" s="77">
        <v>0</v>
      </c>
      <c r="K55" s="318" t="s">
        <v>571</v>
      </c>
      <c r="L55" s="182"/>
      <c r="M55" s="182"/>
    </row>
    <row r="56" spans="1:13" ht="184.5" hidden="1" thickTop="1" thickBot="1" x14ac:dyDescent="0.25">
      <c r="A56" s="44" t="s">
        <v>653</v>
      </c>
      <c r="B56" s="44" t="s">
        <v>654</v>
      </c>
      <c r="C56" s="44" t="s">
        <v>209</v>
      </c>
      <c r="D56" s="712" t="s">
        <v>1371</v>
      </c>
      <c r="E56" s="315" t="s">
        <v>1217</v>
      </c>
      <c r="F56" s="244" t="s">
        <v>1218</v>
      </c>
      <c r="G56" s="77">
        <f>H56+I56</f>
        <v>0</v>
      </c>
      <c r="H56" s="77">
        <v>0</v>
      </c>
      <c r="I56" s="77">
        <v>0</v>
      </c>
      <c r="J56" s="77">
        <v>0</v>
      </c>
      <c r="K56" s="182"/>
      <c r="L56" s="182"/>
      <c r="M56" s="182"/>
    </row>
    <row r="57" spans="1:13" s="460" customFormat="1" ht="409.6" thickTop="1" thickBot="1" x14ac:dyDescent="0.25">
      <c r="A57" s="457" t="s">
        <v>653</v>
      </c>
      <c r="B57" s="457" t="s">
        <v>654</v>
      </c>
      <c r="C57" s="457" t="s">
        <v>209</v>
      </c>
      <c r="D57" s="712" t="s">
        <v>1371</v>
      </c>
      <c r="E57" s="411" t="s">
        <v>1263</v>
      </c>
      <c r="F57" s="411" t="s">
        <v>872</v>
      </c>
      <c r="G57" s="411">
        <f t="shared" si="6"/>
        <v>1300000</v>
      </c>
      <c r="H57" s="411">
        <v>1300000</v>
      </c>
      <c r="I57" s="411"/>
      <c r="J57" s="411"/>
      <c r="K57" s="182"/>
      <c r="L57" s="182"/>
      <c r="M57" s="182"/>
    </row>
    <row r="58" spans="1:13" ht="276" thickTop="1" thickBot="1" x14ac:dyDescent="0.25">
      <c r="A58" s="457" t="s">
        <v>662</v>
      </c>
      <c r="B58" s="457" t="s">
        <v>663</v>
      </c>
      <c r="C58" s="457" t="s">
        <v>212</v>
      </c>
      <c r="D58" s="712" t="s">
        <v>1372</v>
      </c>
      <c r="E58" s="418" t="s">
        <v>1217</v>
      </c>
      <c r="F58" s="411" t="s">
        <v>1218</v>
      </c>
      <c r="G58" s="411">
        <f t="shared" si="6"/>
        <v>29549536</v>
      </c>
      <c r="H58" s="411">
        <f>'d3'!E49-H59</f>
        <v>29034536</v>
      </c>
      <c r="I58" s="411">
        <f>'d3'!J49-I59</f>
        <v>515000</v>
      </c>
      <c r="J58" s="411">
        <f>'d3'!K49-J59</f>
        <v>360000</v>
      </c>
      <c r="K58" s="111" t="b">
        <f>H58+H59='d3'!E49</f>
        <v>1</v>
      </c>
      <c r="L58" s="111" t="b">
        <f>I58+I59='d3'!J49</f>
        <v>1</v>
      </c>
      <c r="M58" s="111" t="b">
        <f>J58+J59='d3'!K49</f>
        <v>1</v>
      </c>
    </row>
    <row r="59" spans="1:13" ht="230.25" hidden="1" thickTop="1" thickBot="1" x14ac:dyDescent="0.25">
      <c r="A59" s="464" t="s">
        <v>662</v>
      </c>
      <c r="B59" s="464" t="s">
        <v>663</v>
      </c>
      <c r="C59" s="464" t="s">
        <v>212</v>
      </c>
      <c r="D59" s="464" t="s">
        <v>504</v>
      </c>
      <c r="E59" s="465" t="s">
        <v>592</v>
      </c>
      <c r="F59" s="466" t="s">
        <v>413</v>
      </c>
      <c r="G59" s="466">
        <f t="shared" si="6"/>
        <v>0</v>
      </c>
      <c r="H59" s="466">
        <v>0</v>
      </c>
      <c r="I59" s="466"/>
      <c r="J59" s="466"/>
      <c r="K59" s="318" t="s">
        <v>572</v>
      </c>
      <c r="L59" s="182"/>
      <c r="M59" s="182"/>
    </row>
    <row r="60" spans="1:13" ht="184.5" thickTop="1" thickBot="1" x14ac:dyDescent="0.25">
      <c r="A60" s="457" t="s">
        <v>1016</v>
      </c>
      <c r="B60" s="457" t="s">
        <v>1017</v>
      </c>
      <c r="C60" s="457" t="s">
        <v>212</v>
      </c>
      <c r="D60" s="712" t="s">
        <v>1373</v>
      </c>
      <c r="E60" s="418" t="s">
        <v>1217</v>
      </c>
      <c r="F60" s="411" t="s">
        <v>1218</v>
      </c>
      <c r="G60" s="411">
        <f t="shared" si="6"/>
        <v>26633841</v>
      </c>
      <c r="H60" s="411">
        <f>'d3'!E50</f>
        <v>26338841</v>
      </c>
      <c r="I60" s="411">
        <f>'d3'!J50</f>
        <v>295000</v>
      </c>
      <c r="J60" s="411">
        <f>'d3'!K50</f>
        <v>295000</v>
      </c>
      <c r="K60" s="324"/>
      <c r="L60" s="182"/>
      <c r="M60" s="182"/>
    </row>
    <row r="61" spans="1:13" ht="184.5" thickTop="1" thickBot="1" x14ac:dyDescent="0.25">
      <c r="A61" s="698" t="s">
        <v>671</v>
      </c>
      <c r="B61" s="698" t="s">
        <v>672</v>
      </c>
      <c r="C61" s="698" t="s">
        <v>209</v>
      </c>
      <c r="D61" s="712" t="s">
        <v>1374</v>
      </c>
      <c r="E61" s="418" t="s">
        <v>1217</v>
      </c>
      <c r="F61" s="411" t="s">
        <v>1218</v>
      </c>
      <c r="G61" s="411">
        <f t="shared" si="6"/>
        <v>600318986</v>
      </c>
      <c r="H61" s="411">
        <f>'d3'!E52</f>
        <v>600318986</v>
      </c>
      <c r="I61" s="411">
        <f>'d3'!J52</f>
        <v>0</v>
      </c>
      <c r="J61" s="411">
        <f>'d3'!K52</f>
        <v>0</v>
      </c>
      <c r="K61" s="324"/>
      <c r="L61" s="182"/>
      <c r="M61" s="182"/>
    </row>
    <row r="62" spans="1:13" ht="184.5" thickTop="1" thickBot="1" x14ac:dyDescent="0.25">
      <c r="A62" s="698" t="s">
        <v>1177</v>
      </c>
      <c r="B62" s="698" t="s">
        <v>1178</v>
      </c>
      <c r="C62" s="698" t="s">
        <v>212</v>
      </c>
      <c r="D62" s="712" t="s">
        <v>1375</v>
      </c>
      <c r="E62" s="418" t="s">
        <v>1217</v>
      </c>
      <c r="F62" s="411" t="s">
        <v>1218</v>
      </c>
      <c r="G62" s="411">
        <f t="shared" ref="G62" si="7">H62+I62</f>
        <v>2286600</v>
      </c>
      <c r="H62" s="411">
        <f>'d3'!E53</f>
        <v>2286600</v>
      </c>
      <c r="I62" s="411">
        <f>'d3'!J53</f>
        <v>0</v>
      </c>
      <c r="J62" s="411">
        <f>'d3'!K53</f>
        <v>0</v>
      </c>
      <c r="K62" s="324"/>
      <c r="L62" s="182"/>
      <c r="M62" s="182"/>
    </row>
    <row r="63" spans="1:13" ht="184.5" hidden="1" thickTop="1" thickBot="1" x14ac:dyDescent="0.25">
      <c r="A63" s="171" t="s">
        <v>947</v>
      </c>
      <c r="B63" s="171" t="s">
        <v>948</v>
      </c>
      <c r="C63" s="171" t="s">
        <v>209</v>
      </c>
      <c r="D63" s="171" t="s">
        <v>951</v>
      </c>
      <c r="E63" s="325" t="s">
        <v>1207</v>
      </c>
      <c r="F63" s="326"/>
      <c r="G63" s="244">
        <f t="shared" si="6"/>
        <v>0</v>
      </c>
      <c r="H63" s="244">
        <f>'d3'!E56</f>
        <v>0</v>
      </c>
      <c r="I63" s="244">
        <f>'d3'!J56</f>
        <v>0</v>
      </c>
      <c r="J63" s="244">
        <f>'d3'!K56</f>
        <v>0</v>
      </c>
      <c r="K63" s="327"/>
      <c r="L63" s="182"/>
      <c r="M63" s="182"/>
    </row>
    <row r="64" spans="1:13" ht="184.5" thickTop="1" thickBot="1" x14ac:dyDescent="0.25">
      <c r="A64" s="457" t="s">
        <v>673</v>
      </c>
      <c r="B64" s="457" t="s">
        <v>211</v>
      </c>
      <c r="C64" s="457" t="s">
        <v>186</v>
      </c>
      <c r="D64" s="457" t="s">
        <v>506</v>
      </c>
      <c r="E64" s="418" t="s">
        <v>1217</v>
      </c>
      <c r="F64" s="411" t="s">
        <v>1218</v>
      </c>
      <c r="G64" s="411">
        <f t="shared" si="6"/>
        <v>42828401</v>
      </c>
      <c r="H64" s="411">
        <f>'d3'!E57-H65</f>
        <v>31735971</v>
      </c>
      <c r="I64" s="411">
        <f>'d3'!J57-I65</f>
        <v>11092430</v>
      </c>
      <c r="J64" s="411">
        <f>'d3'!K57-J65</f>
        <v>10000000</v>
      </c>
      <c r="K64" s="111" t="b">
        <f>H64+H65='d3'!E57</f>
        <v>1</v>
      </c>
      <c r="L64" s="111" t="b">
        <f>I64+I65='d3'!J57</f>
        <v>1</v>
      </c>
      <c r="M64" s="111" t="b">
        <f>J64+J65='d3'!K57</f>
        <v>1</v>
      </c>
    </row>
    <row r="65" spans="1:13" s="460" customFormat="1" ht="409.6" thickTop="1" thickBot="1" x14ac:dyDescent="0.25">
      <c r="A65" s="457" t="s">
        <v>673</v>
      </c>
      <c r="B65" s="457" t="s">
        <v>211</v>
      </c>
      <c r="C65" s="457" t="s">
        <v>186</v>
      </c>
      <c r="D65" s="457" t="s">
        <v>506</v>
      </c>
      <c r="E65" s="411" t="s">
        <v>1263</v>
      </c>
      <c r="F65" s="411" t="s">
        <v>872</v>
      </c>
      <c r="G65" s="411">
        <f t="shared" si="6"/>
        <v>250000</v>
      </c>
      <c r="H65" s="411">
        <v>250000</v>
      </c>
      <c r="I65" s="411"/>
      <c r="J65" s="411"/>
      <c r="K65" s="182"/>
      <c r="L65" s="182"/>
      <c r="M65" s="182"/>
    </row>
    <row r="66" spans="1:13" ht="184.5" thickTop="1" thickBot="1" x14ac:dyDescent="0.25">
      <c r="A66" s="457" t="s">
        <v>674</v>
      </c>
      <c r="B66" s="457" t="s">
        <v>675</v>
      </c>
      <c r="C66" s="457" t="s">
        <v>214</v>
      </c>
      <c r="D66" s="457" t="s">
        <v>676</v>
      </c>
      <c r="E66" s="418" t="s">
        <v>1217</v>
      </c>
      <c r="F66" s="411" t="s">
        <v>1218</v>
      </c>
      <c r="G66" s="411">
        <f t="shared" si="6"/>
        <v>189863724.09999999</v>
      </c>
      <c r="H66" s="411">
        <f>'d3'!E59-H67</f>
        <v>158273255.87</v>
      </c>
      <c r="I66" s="411">
        <f>'d3'!J59-I67</f>
        <v>31590468.23</v>
      </c>
      <c r="J66" s="411">
        <f>'d3'!K59-J67</f>
        <v>1200468.23</v>
      </c>
      <c r="K66" s="111" t="b">
        <f>H66+H67='d3'!E59</f>
        <v>1</v>
      </c>
      <c r="L66" s="111" t="b">
        <f>I66+I67='d3'!J59</f>
        <v>1</v>
      </c>
      <c r="M66" s="111" t="b">
        <f>J66+J67='d3'!K59</f>
        <v>1</v>
      </c>
    </row>
    <row r="67" spans="1:13" s="460" customFormat="1" ht="409.6" thickTop="1" thickBot="1" x14ac:dyDescent="0.25">
      <c r="A67" s="457" t="s">
        <v>674</v>
      </c>
      <c r="B67" s="457" t="s">
        <v>675</v>
      </c>
      <c r="C67" s="457" t="s">
        <v>214</v>
      </c>
      <c r="D67" s="457" t="s">
        <v>676</v>
      </c>
      <c r="E67" s="411" t="s">
        <v>1263</v>
      </c>
      <c r="F67" s="411" t="s">
        <v>872</v>
      </c>
      <c r="G67" s="411">
        <f t="shared" si="6"/>
        <v>250000</v>
      </c>
      <c r="H67" s="411">
        <v>250000</v>
      </c>
      <c r="I67" s="411"/>
      <c r="J67" s="411"/>
      <c r="K67" s="182"/>
      <c r="L67" s="182"/>
      <c r="M67" s="182"/>
    </row>
    <row r="68" spans="1:13" ht="184.5" thickTop="1" thickBot="1" x14ac:dyDescent="0.25">
      <c r="A68" s="698" t="s">
        <v>678</v>
      </c>
      <c r="B68" s="698" t="s">
        <v>677</v>
      </c>
      <c r="C68" s="698" t="s">
        <v>214</v>
      </c>
      <c r="D68" s="698" t="s">
        <v>679</v>
      </c>
      <c r="E68" s="418" t="s">
        <v>1217</v>
      </c>
      <c r="F68" s="411" t="s">
        <v>1218</v>
      </c>
      <c r="G68" s="411">
        <f t="shared" si="6"/>
        <v>24373600</v>
      </c>
      <c r="H68" s="411">
        <f>'d3'!E60</f>
        <v>24373600</v>
      </c>
      <c r="I68" s="411">
        <f>'d3'!J60</f>
        <v>0</v>
      </c>
      <c r="J68" s="411">
        <f>'d3'!K60</f>
        <v>0</v>
      </c>
      <c r="K68" s="182"/>
      <c r="L68" s="182"/>
      <c r="M68" s="182"/>
    </row>
    <row r="69" spans="1:13" ht="184.5" thickTop="1" thickBot="1" x14ac:dyDescent="0.25">
      <c r="A69" s="457" t="s">
        <v>683</v>
      </c>
      <c r="B69" s="457" t="s">
        <v>684</v>
      </c>
      <c r="C69" s="457" t="s">
        <v>215</v>
      </c>
      <c r="D69" s="457" t="s">
        <v>508</v>
      </c>
      <c r="E69" s="418" t="s">
        <v>1217</v>
      </c>
      <c r="F69" s="411" t="s">
        <v>1218</v>
      </c>
      <c r="G69" s="411">
        <f t="shared" ref="G69" si="8">H69+I69</f>
        <v>34874386</v>
      </c>
      <c r="H69" s="411">
        <f>'d3'!E62</f>
        <v>28165985</v>
      </c>
      <c r="I69" s="411">
        <f>'d3'!J62</f>
        <v>6708401</v>
      </c>
      <c r="J69" s="411">
        <f>'d3'!K62</f>
        <v>6203701</v>
      </c>
      <c r="K69" s="182"/>
      <c r="L69" s="182"/>
      <c r="M69" s="182"/>
    </row>
    <row r="70" spans="1:13" ht="184.5" thickTop="1" thickBot="1" x14ac:dyDescent="0.25">
      <c r="A70" s="457" t="s">
        <v>685</v>
      </c>
      <c r="B70" s="457" t="s">
        <v>686</v>
      </c>
      <c r="C70" s="457" t="s">
        <v>215</v>
      </c>
      <c r="D70" s="457" t="s">
        <v>343</v>
      </c>
      <c r="E70" s="418" t="s">
        <v>1217</v>
      </c>
      <c r="F70" s="411" t="s">
        <v>1218</v>
      </c>
      <c r="G70" s="411">
        <f>H70+I70</f>
        <v>519820</v>
      </c>
      <c r="H70" s="411">
        <f>'d3'!E63-H71</f>
        <v>519820</v>
      </c>
      <c r="I70" s="411">
        <f>'d3'!J63-I71</f>
        <v>0</v>
      </c>
      <c r="J70" s="411">
        <f>'d3'!K63-J71</f>
        <v>0</v>
      </c>
      <c r="K70" s="504" t="b">
        <f>H70+H71='d3'!E63</f>
        <v>1</v>
      </c>
      <c r="L70" s="505" t="b">
        <f>I70+I71='d3'!J63</f>
        <v>1</v>
      </c>
      <c r="M70" s="505" t="b">
        <f>J70+J71='d3'!K63</f>
        <v>1</v>
      </c>
    </row>
    <row r="71" spans="1:13" ht="230.25" hidden="1" customHeight="1" thickTop="1" thickBot="1" x14ac:dyDescent="0.25">
      <c r="A71" s="464" t="s">
        <v>685</v>
      </c>
      <c r="B71" s="464" t="s">
        <v>686</v>
      </c>
      <c r="C71" s="464" t="s">
        <v>215</v>
      </c>
      <c r="D71" s="464" t="s">
        <v>343</v>
      </c>
      <c r="E71" s="418" t="s">
        <v>1217</v>
      </c>
      <c r="F71" s="411" t="s">
        <v>1218</v>
      </c>
      <c r="G71" s="466">
        <f>H71+I71</f>
        <v>0</v>
      </c>
      <c r="H71" s="466"/>
      <c r="I71" s="466"/>
      <c r="J71" s="466"/>
      <c r="K71" s="318" t="s">
        <v>573</v>
      </c>
      <c r="L71" s="182"/>
      <c r="M71" s="182"/>
    </row>
    <row r="72" spans="1:13" ht="184.5" thickTop="1" thickBot="1" x14ac:dyDescent="0.25">
      <c r="A72" s="457" t="s">
        <v>689</v>
      </c>
      <c r="B72" s="457" t="s">
        <v>690</v>
      </c>
      <c r="C72" s="457" t="s">
        <v>215</v>
      </c>
      <c r="D72" s="457" t="s">
        <v>691</v>
      </c>
      <c r="E72" s="418" t="s">
        <v>1217</v>
      </c>
      <c r="F72" s="411" t="s">
        <v>1218</v>
      </c>
      <c r="G72" s="411">
        <f t="shared" ref="G72:G73" si="9">H72+I72</f>
        <v>1361514.5</v>
      </c>
      <c r="H72" s="411">
        <f>'d3'!E65</f>
        <v>1142214.5</v>
      </c>
      <c r="I72" s="411">
        <f>'d3'!J65</f>
        <v>219300</v>
      </c>
      <c r="J72" s="411">
        <f>'d3'!K65</f>
        <v>219300</v>
      </c>
      <c r="K72" s="182"/>
      <c r="L72" s="182"/>
      <c r="M72" s="182"/>
    </row>
    <row r="73" spans="1:13" ht="184.5" thickTop="1" thickBot="1" x14ac:dyDescent="0.25">
      <c r="A73" s="711" t="s">
        <v>692</v>
      </c>
      <c r="B73" s="711" t="s">
        <v>693</v>
      </c>
      <c r="C73" s="711" t="s">
        <v>215</v>
      </c>
      <c r="D73" s="711" t="s">
        <v>694</v>
      </c>
      <c r="E73" s="418" t="s">
        <v>1217</v>
      </c>
      <c r="F73" s="411" t="s">
        <v>1218</v>
      </c>
      <c r="G73" s="411">
        <f t="shared" si="9"/>
        <v>3715400</v>
      </c>
      <c r="H73" s="411">
        <f>'d3'!E66</f>
        <v>3715400</v>
      </c>
      <c r="I73" s="411">
        <f>'d3'!J66</f>
        <v>0</v>
      </c>
      <c r="J73" s="411">
        <f>'d3'!K66</f>
        <v>0</v>
      </c>
      <c r="K73" s="182"/>
      <c r="L73" s="182"/>
      <c r="M73" s="182"/>
    </row>
    <row r="74" spans="1:13" ht="184.5" thickTop="1" thickBot="1" x14ac:dyDescent="0.25">
      <c r="A74" s="457" t="s">
        <v>659</v>
      </c>
      <c r="B74" s="457" t="s">
        <v>660</v>
      </c>
      <c r="C74" s="457" t="s">
        <v>215</v>
      </c>
      <c r="D74" s="457" t="s">
        <v>661</v>
      </c>
      <c r="E74" s="418" t="s">
        <v>1217</v>
      </c>
      <c r="F74" s="411" t="s">
        <v>1218</v>
      </c>
      <c r="G74" s="411">
        <f t="shared" ref="G74:G75" si="10">H74+I74</f>
        <v>3316580</v>
      </c>
      <c r="H74" s="411">
        <f>'d3'!E67</f>
        <v>3316580</v>
      </c>
      <c r="I74" s="411">
        <f>'d3'!J67</f>
        <v>0</v>
      </c>
      <c r="J74" s="411">
        <f>'d3'!K67</f>
        <v>0</v>
      </c>
      <c r="K74" s="182"/>
      <c r="L74" s="182"/>
      <c r="M74" s="182"/>
    </row>
    <row r="75" spans="1:13" ht="367.5" hidden="1" customHeight="1" thickTop="1" thickBot="1" x14ac:dyDescent="0.25">
      <c r="A75" s="44" t="s">
        <v>667</v>
      </c>
      <c r="B75" s="44" t="s">
        <v>668</v>
      </c>
      <c r="C75" s="44" t="s">
        <v>215</v>
      </c>
      <c r="D75" s="44" t="s">
        <v>669</v>
      </c>
      <c r="E75" s="315" t="s">
        <v>1217</v>
      </c>
      <c r="F75" s="244" t="s">
        <v>1218</v>
      </c>
      <c r="G75" s="77">
        <f t="shared" si="10"/>
        <v>0</v>
      </c>
      <c r="H75" s="77">
        <f>'d3'!E69</f>
        <v>0</v>
      </c>
      <c r="I75" s="77">
        <f>'d3'!J69</f>
        <v>0</v>
      </c>
      <c r="J75" s="77">
        <f>'d3'!K69</f>
        <v>0</v>
      </c>
      <c r="K75" s="182"/>
      <c r="L75" s="182"/>
      <c r="M75" s="182"/>
    </row>
    <row r="76" spans="1:13" ht="321.75" hidden="1" customHeight="1" thickTop="1" thickBot="1" x14ac:dyDescent="0.25">
      <c r="A76" s="44" t="s">
        <v>999</v>
      </c>
      <c r="B76" s="44" t="s">
        <v>1000</v>
      </c>
      <c r="C76" s="44" t="s">
        <v>215</v>
      </c>
      <c r="D76" s="44" t="s">
        <v>1001</v>
      </c>
      <c r="E76" s="315" t="s">
        <v>1217</v>
      </c>
      <c r="F76" s="244" t="s">
        <v>1218</v>
      </c>
      <c r="G76" s="77">
        <f t="shared" ref="G76" si="11">H76+I76</f>
        <v>0</v>
      </c>
      <c r="H76" s="77">
        <f>'d3'!E70</f>
        <v>0</v>
      </c>
      <c r="I76" s="77">
        <f>'d3'!J70</f>
        <v>0</v>
      </c>
      <c r="J76" s="77">
        <f>'d3'!K70</f>
        <v>0</v>
      </c>
      <c r="K76" s="182"/>
      <c r="L76" s="182"/>
      <c r="M76" s="182"/>
    </row>
    <row r="77" spans="1:13" ht="409.6" hidden="1" customHeight="1" thickTop="1" thickBot="1" x14ac:dyDescent="0.25">
      <c r="A77" s="44" t="s">
        <v>1019</v>
      </c>
      <c r="B77" s="44" t="s">
        <v>1021</v>
      </c>
      <c r="C77" s="44" t="s">
        <v>215</v>
      </c>
      <c r="D77" s="44" t="s">
        <v>1023</v>
      </c>
      <c r="E77" s="315" t="s">
        <v>1217</v>
      </c>
      <c r="F77" s="244" t="s">
        <v>1218</v>
      </c>
      <c r="G77" s="77">
        <f>H77+I77</f>
        <v>0</v>
      </c>
      <c r="H77" s="77">
        <f>'d3'!E72</f>
        <v>0</v>
      </c>
      <c r="I77" s="77">
        <f>'d3'!J72</f>
        <v>0</v>
      </c>
      <c r="J77" s="77">
        <f>'d3'!K72</f>
        <v>0</v>
      </c>
      <c r="K77" s="182"/>
      <c r="L77" s="182"/>
      <c r="M77" s="182"/>
    </row>
    <row r="78" spans="1:13" ht="409.6" hidden="1" customHeight="1" thickTop="1" x14ac:dyDescent="0.2">
      <c r="A78" s="964" t="s">
        <v>1038</v>
      </c>
      <c r="B78" s="964" t="s">
        <v>1039</v>
      </c>
      <c r="C78" s="964" t="s">
        <v>215</v>
      </c>
      <c r="D78" s="964" t="s">
        <v>1040</v>
      </c>
      <c r="E78" s="315" t="s">
        <v>1217</v>
      </c>
      <c r="F78" s="244" t="s">
        <v>1218</v>
      </c>
      <c r="G78" s="962">
        <f>H78+I78</f>
        <v>0</v>
      </c>
      <c r="H78" s="962">
        <f>'d3'!E73</f>
        <v>0</v>
      </c>
      <c r="I78" s="962">
        <f>'d3'!J73</f>
        <v>0</v>
      </c>
      <c r="J78" s="962">
        <f>'d3'!K73</f>
        <v>0</v>
      </c>
      <c r="K78" s="182"/>
      <c r="L78" s="182"/>
      <c r="M78" s="182"/>
    </row>
    <row r="79" spans="1:13" ht="122.25" hidden="1" customHeight="1" thickBot="1" x14ac:dyDescent="0.25">
      <c r="A79" s="963"/>
      <c r="B79" s="963"/>
      <c r="C79" s="963"/>
      <c r="D79" s="963"/>
      <c r="E79" s="315" t="s">
        <v>1217</v>
      </c>
      <c r="F79" s="244" t="s">
        <v>1218</v>
      </c>
      <c r="G79" s="963"/>
      <c r="H79" s="963"/>
      <c r="I79" s="963">
        <f>'d3'!J74</f>
        <v>0</v>
      </c>
      <c r="J79" s="963">
        <f>'d3'!K74</f>
        <v>0</v>
      </c>
      <c r="K79" s="182"/>
      <c r="L79" s="182"/>
      <c r="M79" s="182"/>
    </row>
    <row r="80" spans="1:13" ht="230.25" thickTop="1" thickBot="1" x14ac:dyDescent="0.25">
      <c r="A80" s="716" t="s">
        <v>656</v>
      </c>
      <c r="B80" s="716" t="s">
        <v>657</v>
      </c>
      <c r="C80" s="716" t="s">
        <v>215</v>
      </c>
      <c r="D80" s="716" t="s">
        <v>658</v>
      </c>
      <c r="E80" s="418" t="s">
        <v>1217</v>
      </c>
      <c r="F80" s="411" t="s">
        <v>1218</v>
      </c>
      <c r="G80" s="411">
        <f t="shared" ref="G80:G90" si="12">H80+I80</f>
        <v>4309689</v>
      </c>
      <c r="H80" s="411">
        <f>'d3'!E75</f>
        <v>4309689</v>
      </c>
      <c r="I80" s="411">
        <f>'d3'!J75</f>
        <v>0</v>
      </c>
      <c r="J80" s="411">
        <f>'d3'!K75</f>
        <v>0</v>
      </c>
      <c r="K80" s="182"/>
      <c r="L80" s="182"/>
      <c r="M80" s="182"/>
    </row>
    <row r="81" spans="1:13" ht="276" hidden="1" thickTop="1" thickBot="1" x14ac:dyDescent="0.25">
      <c r="A81" s="44" t="s">
        <v>961</v>
      </c>
      <c r="B81" s="44" t="s">
        <v>962</v>
      </c>
      <c r="C81" s="44" t="s">
        <v>215</v>
      </c>
      <c r="D81" s="44" t="s">
        <v>963</v>
      </c>
      <c r="E81" s="318" t="s">
        <v>591</v>
      </c>
      <c r="F81" s="77" t="s">
        <v>417</v>
      </c>
      <c r="G81" s="77">
        <f t="shared" si="12"/>
        <v>0</v>
      </c>
      <c r="H81" s="77">
        <f>'d3'!E76</f>
        <v>0</v>
      </c>
      <c r="I81" s="77">
        <f>'d3'!J76</f>
        <v>0</v>
      </c>
      <c r="J81" s="77">
        <f>'d3'!K76</f>
        <v>0</v>
      </c>
      <c r="K81" s="182"/>
      <c r="L81" s="182"/>
      <c r="M81" s="182"/>
    </row>
    <row r="82" spans="1:13" ht="321.75" thickTop="1" thickBot="1" x14ac:dyDescent="0.25">
      <c r="A82" s="457" t="s">
        <v>1025</v>
      </c>
      <c r="B82" s="457" t="s">
        <v>1027</v>
      </c>
      <c r="C82" s="457" t="s">
        <v>215</v>
      </c>
      <c r="D82" s="457" t="s">
        <v>1028</v>
      </c>
      <c r="E82" s="418" t="s">
        <v>1217</v>
      </c>
      <c r="F82" s="411" t="s">
        <v>1218</v>
      </c>
      <c r="G82" s="411">
        <f t="shared" si="12"/>
        <v>1611703</v>
      </c>
      <c r="H82" s="411">
        <f>'d3'!E78</f>
        <v>0</v>
      </c>
      <c r="I82" s="411">
        <f>'d3'!J78</f>
        <v>1611703</v>
      </c>
      <c r="J82" s="411">
        <f>'d3'!K78</f>
        <v>1611703</v>
      </c>
      <c r="K82" s="182"/>
      <c r="L82" s="182"/>
      <c r="M82" s="182"/>
    </row>
    <row r="83" spans="1:13" ht="276" hidden="1" thickTop="1" thickBot="1" x14ac:dyDescent="0.25">
      <c r="A83" s="44" t="s">
        <v>1078</v>
      </c>
      <c r="B83" s="44" t="s">
        <v>1079</v>
      </c>
      <c r="C83" s="44" t="s">
        <v>215</v>
      </c>
      <c r="D83" s="44" t="s">
        <v>1077</v>
      </c>
      <c r="E83" s="318" t="s">
        <v>591</v>
      </c>
      <c r="F83" s="77" t="s">
        <v>417</v>
      </c>
      <c r="G83" s="77">
        <f t="shared" si="12"/>
        <v>0</v>
      </c>
      <c r="H83" s="77">
        <f>'d3'!E79</f>
        <v>0</v>
      </c>
      <c r="I83" s="77">
        <f>'d3'!J79</f>
        <v>0</v>
      </c>
      <c r="J83" s="77">
        <f>'d3'!K79</f>
        <v>0</v>
      </c>
      <c r="K83" s="182"/>
      <c r="L83" s="182"/>
      <c r="M83" s="182"/>
    </row>
    <row r="84" spans="1:13" ht="276" hidden="1" thickTop="1" thickBot="1" x14ac:dyDescent="0.25">
      <c r="A84" s="171" t="s">
        <v>437</v>
      </c>
      <c r="B84" s="171" t="s">
        <v>438</v>
      </c>
      <c r="C84" s="171" t="s">
        <v>190</v>
      </c>
      <c r="D84" s="171" t="s">
        <v>436</v>
      </c>
      <c r="E84" s="315" t="s">
        <v>1217</v>
      </c>
      <c r="F84" s="244" t="s">
        <v>1218</v>
      </c>
      <c r="G84" s="244">
        <f t="shared" si="12"/>
        <v>0</v>
      </c>
      <c r="H84" s="244">
        <f>'d3'!E81</f>
        <v>0</v>
      </c>
      <c r="I84" s="244">
        <f>'d3'!J81</f>
        <v>0</v>
      </c>
      <c r="J84" s="244">
        <f>'d3'!K81</f>
        <v>0</v>
      </c>
      <c r="K84" s="182"/>
      <c r="L84" s="182"/>
      <c r="M84" s="182"/>
    </row>
    <row r="85" spans="1:13" ht="184.5" thickTop="1" thickBot="1" x14ac:dyDescent="0.25">
      <c r="A85" s="457" t="s">
        <v>1286</v>
      </c>
      <c r="B85" s="457" t="s">
        <v>1252</v>
      </c>
      <c r="C85" s="457" t="s">
        <v>211</v>
      </c>
      <c r="D85" s="482" t="s">
        <v>1253</v>
      </c>
      <c r="E85" s="418" t="s">
        <v>1244</v>
      </c>
      <c r="F85" s="411" t="s">
        <v>1216</v>
      </c>
      <c r="G85" s="411">
        <f t="shared" si="12"/>
        <v>1518300</v>
      </c>
      <c r="H85" s="411">
        <f>'d3'!E82</f>
        <v>1518300</v>
      </c>
      <c r="I85" s="411">
        <f>'d3'!J82</f>
        <v>0</v>
      </c>
      <c r="J85" s="411">
        <f>'d3'!K82</f>
        <v>0</v>
      </c>
      <c r="K85" s="182"/>
      <c r="L85" s="182"/>
      <c r="M85" s="182"/>
    </row>
    <row r="86" spans="1:13" s="460" customFormat="1" ht="162.75" customHeight="1" thickTop="1" thickBot="1" x14ac:dyDescent="0.25">
      <c r="A86" s="457" t="s">
        <v>1145</v>
      </c>
      <c r="B86" s="457" t="s">
        <v>317</v>
      </c>
      <c r="C86" s="457" t="s">
        <v>310</v>
      </c>
      <c r="D86" s="457" t="s">
        <v>1326</v>
      </c>
      <c r="E86" s="418" t="s">
        <v>1217</v>
      </c>
      <c r="F86" s="411" t="s">
        <v>1218</v>
      </c>
      <c r="G86" s="411">
        <f t="shared" si="12"/>
        <v>9031091.5999999996</v>
      </c>
      <c r="H86" s="411">
        <v>0</v>
      </c>
      <c r="I86" s="411">
        <f>(200000+2597000)+4561740+1666801+5550.6</f>
        <v>9031091.5999999996</v>
      </c>
      <c r="J86" s="411">
        <f>(200000+2597000)+4561740+1666801+5550.6</f>
        <v>9031091.5999999996</v>
      </c>
      <c r="K86" s="111" t="b">
        <f>H86+H87='d3'!E86</f>
        <v>1</v>
      </c>
      <c r="L86" s="112" t="b">
        <f>I86+I87='d3'!J86</f>
        <v>1</v>
      </c>
      <c r="M86" s="112" t="b">
        <f>J86+J87='d3'!K86</f>
        <v>1</v>
      </c>
    </row>
    <row r="87" spans="1:13" ht="409.6" thickTop="1" thickBot="1" x14ac:dyDescent="0.25">
      <c r="A87" s="457" t="s">
        <v>1145</v>
      </c>
      <c r="B87" s="457" t="s">
        <v>317</v>
      </c>
      <c r="C87" s="457" t="s">
        <v>310</v>
      </c>
      <c r="D87" s="457" t="s">
        <v>1326</v>
      </c>
      <c r="E87" s="411" t="s">
        <v>1263</v>
      </c>
      <c r="F87" s="411" t="s">
        <v>872</v>
      </c>
      <c r="G87" s="411">
        <f t="shared" si="12"/>
        <v>64000000</v>
      </c>
      <c r="H87" s="411">
        <v>0</v>
      </c>
      <c r="I87" s="411">
        <f>(10000000)+54000000</f>
        <v>64000000</v>
      </c>
      <c r="J87" s="411">
        <f>(10000000)+54000000</f>
        <v>64000000</v>
      </c>
      <c r="K87" s="182"/>
      <c r="L87" s="182"/>
      <c r="M87" s="182"/>
    </row>
    <row r="88" spans="1:13" ht="184.5" thickTop="1" thickBot="1" x14ac:dyDescent="0.25">
      <c r="A88" s="743" t="s">
        <v>1135</v>
      </c>
      <c r="B88" s="743" t="s">
        <v>217</v>
      </c>
      <c r="C88" s="743" t="s">
        <v>218</v>
      </c>
      <c r="D88" s="743" t="s">
        <v>41</v>
      </c>
      <c r="E88" s="418" t="s">
        <v>1217</v>
      </c>
      <c r="F88" s="411" t="s">
        <v>1218</v>
      </c>
      <c r="G88" s="411">
        <f t="shared" si="12"/>
        <v>45000000</v>
      </c>
      <c r="H88" s="411">
        <f>'d3'!E88</f>
        <v>0</v>
      </c>
      <c r="I88" s="411">
        <f>'d3'!J88</f>
        <v>45000000</v>
      </c>
      <c r="J88" s="411">
        <f>'d3'!K88</f>
        <v>45000000</v>
      </c>
      <c r="K88" s="182"/>
      <c r="L88" s="182"/>
      <c r="M88" s="182"/>
    </row>
    <row r="89" spans="1:13" ht="138.75" thickTop="1" thickBot="1" x14ac:dyDescent="0.25">
      <c r="A89" s="457" t="s">
        <v>1278</v>
      </c>
      <c r="B89" s="457" t="s">
        <v>1241</v>
      </c>
      <c r="C89" s="457" t="s">
        <v>1239</v>
      </c>
      <c r="D89" s="457" t="s">
        <v>1238</v>
      </c>
      <c r="E89" s="714" t="s">
        <v>1381</v>
      </c>
      <c r="F89" s="411" t="s">
        <v>1382</v>
      </c>
      <c r="G89" s="411">
        <f t="shared" si="12"/>
        <v>3770000</v>
      </c>
      <c r="H89" s="411">
        <f>'d3'!E91</f>
        <v>0</v>
      </c>
      <c r="I89" s="411">
        <f>'d3'!J91</f>
        <v>3770000</v>
      </c>
      <c r="J89" s="411">
        <f>'d3'!K91</f>
        <v>3770000</v>
      </c>
      <c r="K89" s="182"/>
      <c r="L89" s="182"/>
      <c r="M89" s="182"/>
    </row>
    <row r="90" spans="1:13" ht="230.25" hidden="1" thickTop="1" thickBot="1" x14ac:dyDescent="0.25">
      <c r="A90" s="44" t="s">
        <v>1053</v>
      </c>
      <c r="B90" s="44" t="s">
        <v>369</v>
      </c>
      <c r="C90" s="44" t="s">
        <v>43</v>
      </c>
      <c r="D90" s="44" t="s">
        <v>370</v>
      </c>
      <c r="E90" s="318" t="s">
        <v>591</v>
      </c>
      <c r="F90" s="77" t="s">
        <v>417</v>
      </c>
      <c r="G90" s="77">
        <f t="shared" si="12"/>
        <v>0</v>
      </c>
      <c r="H90" s="77">
        <f>'d3'!E94</f>
        <v>0</v>
      </c>
      <c r="I90" s="77">
        <f>'d3'!J94</f>
        <v>0</v>
      </c>
      <c r="J90" s="77">
        <f>'d3'!K94</f>
        <v>0</v>
      </c>
      <c r="K90" s="182"/>
      <c r="L90" s="182"/>
      <c r="M90" s="182"/>
    </row>
    <row r="91" spans="1:13" ht="136.5" thickTop="1" thickBot="1" x14ac:dyDescent="0.25">
      <c r="A91" s="472" t="s">
        <v>155</v>
      </c>
      <c r="B91" s="472"/>
      <c r="C91" s="472"/>
      <c r="D91" s="473" t="s">
        <v>18</v>
      </c>
      <c r="E91" s="472"/>
      <c r="F91" s="472"/>
      <c r="G91" s="474">
        <f>G92</f>
        <v>221691096</v>
      </c>
      <c r="H91" s="474">
        <f t="shared" ref="H91:J91" si="13">H92</f>
        <v>150602330</v>
      </c>
      <c r="I91" s="474">
        <f t="shared" si="13"/>
        <v>71088766</v>
      </c>
      <c r="J91" s="474">
        <f t="shared" si="13"/>
        <v>71088766</v>
      </c>
      <c r="K91" s="111" t="b">
        <f>H91='d3'!E96-'d3'!E98+H93</f>
        <v>1</v>
      </c>
      <c r="L91" s="111" t="b">
        <f>I91='d3'!J96-'d3'!J98+'d7'!I93</f>
        <v>1</v>
      </c>
      <c r="M91" s="111" t="b">
        <f>J91='d3'!K96-'d3'!K98+'d7'!J93</f>
        <v>1</v>
      </c>
    </row>
    <row r="92" spans="1:13" ht="172.5" customHeight="1" thickTop="1" thickBot="1" x14ac:dyDescent="0.25">
      <c r="A92" s="476" t="s">
        <v>156</v>
      </c>
      <c r="B92" s="476"/>
      <c r="C92" s="476"/>
      <c r="D92" s="477" t="s">
        <v>36</v>
      </c>
      <c r="E92" s="478"/>
      <c r="F92" s="478"/>
      <c r="G92" s="478">
        <f>SUM(G93:G112)</f>
        <v>221691096</v>
      </c>
      <c r="H92" s="478">
        <f>SUM(H93:H112)</f>
        <v>150602330</v>
      </c>
      <c r="I92" s="478">
        <f>SUM(I93:I112)</f>
        <v>71088766</v>
      </c>
      <c r="J92" s="478">
        <f>SUM(J93:J112)</f>
        <v>71088766</v>
      </c>
      <c r="K92" s="182"/>
      <c r="L92" s="182"/>
      <c r="M92" s="182"/>
    </row>
    <row r="93" spans="1:13" s="697" customFormat="1" ht="172.5" customHeight="1" thickTop="1" thickBot="1" x14ac:dyDescent="0.25">
      <c r="A93" s="696" t="s">
        <v>422</v>
      </c>
      <c r="B93" s="696" t="s">
        <v>241</v>
      </c>
      <c r="C93" s="696" t="s">
        <v>239</v>
      </c>
      <c r="D93" s="696" t="s">
        <v>240</v>
      </c>
      <c r="E93" s="418" t="s">
        <v>1377</v>
      </c>
      <c r="F93" s="411" t="s">
        <v>1378</v>
      </c>
      <c r="G93" s="695">
        <f>H93+I93</f>
        <v>60000</v>
      </c>
      <c r="H93" s="695"/>
      <c r="I93" s="695">
        <v>60000</v>
      </c>
      <c r="J93" s="695">
        <v>60000</v>
      </c>
      <c r="K93" s="182"/>
      <c r="L93" s="182"/>
      <c r="M93" s="182"/>
    </row>
    <row r="94" spans="1:13" s="460" customFormat="1" ht="367.5" thickTop="1" thickBot="1" x14ac:dyDescent="0.25">
      <c r="A94" s="457" t="s">
        <v>1340</v>
      </c>
      <c r="B94" s="457" t="s">
        <v>368</v>
      </c>
      <c r="C94" s="457" t="s">
        <v>637</v>
      </c>
      <c r="D94" s="457" t="s">
        <v>638</v>
      </c>
      <c r="E94" s="418" t="s">
        <v>1395</v>
      </c>
      <c r="F94" s="411" t="s">
        <v>1396</v>
      </c>
      <c r="G94" s="455">
        <f>H94+I94</f>
        <v>7000</v>
      </c>
      <c r="H94" s="455">
        <f>'d3'!E99</f>
        <v>7000</v>
      </c>
      <c r="I94" s="455">
        <f>'d3'!J99</f>
        <v>0</v>
      </c>
      <c r="J94" s="455">
        <f>'d3'!K99</f>
        <v>0</v>
      </c>
      <c r="K94" s="182"/>
      <c r="L94" s="182"/>
      <c r="M94" s="182"/>
    </row>
    <row r="95" spans="1:13" ht="386.25" thickTop="1" thickBot="1" x14ac:dyDescent="0.25">
      <c r="A95" s="457" t="s">
        <v>219</v>
      </c>
      <c r="B95" s="457" t="s">
        <v>216</v>
      </c>
      <c r="C95" s="457" t="s">
        <v>220</v>
      </c>
      <c r="D95" s="457" t="s">
        <v>19</v>
      </c>
      <c r="E95" s="556" t="s">
        <v>1254</v>
      </c>
      <c r="F95" s="411" t="s">
        <v>884</v>
      </c>
      <c r="G95" s="455">
        <f>H95+I95</f>
        <v>94054160</v>
      </c>
      <c r="H95" s="455">
        <f>'d3'!E101</f>
        <v>63154753</v>
      </c>
      <c r="I95" s="455">
        <f>'d3'!J101</f>
        <v>30899407</v>
      </c>
      <c r="J95" s="455">
        <f>'d3'!K101</f>
        <v>30899407</v>
      </c>
      <c r="K95" s="182"/>
      <c r="L95" s="182"/>
      <c r="M95" s="182"/>
    </row>
    <row r="96" spans="1:13" ht="386.25" thickTop="1" thickBot="1" x14ac:dyDescent="0.25">
      <c r="A96" s="457" t="s">
        <v>512</v>
      </c>
      <c r="B96" s="457" t="s">
        <v>515</v>
      </c>
      <c r="C96" s="457" t="s">
        <v>514</v>
      </c>
      <c r="D96" s="457" t="s">
        <v>513</v>
      </c>
      <c r="E96" s="556" t="s">
        <v>1254</v>
      </c>
      <c r="F96" s="411" t="s">
        <v>884</v>
      </c>
      <c r="G96" s="455">
        <f>H96+I96</f>
        <v>15240699</v>
      </c>
      <c r="H96" s="455">
        <f>'d3'!E102</f>
        <v>15240699</v>
      </c>
      <c r="I96" s="455">
        <f>'d3'!J102</f>
        <v>0</v>
      </c>
      <c r="J96" s="455">
        <f>'d3'!K102</f>
        <v>0</v>
      </c>
      <c r="K96" s="182"/>
      <c r="L96" s="182"/>
      <c r="M96" s="182"/>
    </row>
    <row r="97" spans="1:13" ht="386.25" thickTop="1" thickBot="1" x14ac:dyDescent="0.25">
      <c r="A97" s="457" t="s">
        <v>221</v>
      </c>
      <c r="B97" s="457" t="s">
        <v>222</v>
      </c>
      <c r="C97" s="457" t="s">
        <v>223</v>
      </c>
      <c r="D97" s="457" t="s">
        <v>224</v>
      </c>
      <c r="E97" s="556" t="s">
        <v>1254</v>
      </c>
      <c r="F97" s="411" t="s">
        <v>884</v>
      </c>
      <c r="G97" s="455">
        <f t="shared" ref="G97:G103" si="14">H97+I97</f>
        <v>24777732</v>
      </c>
      <c r="H97" s="455">
        <f>'d3'!E103</f>
        <v>18957732</v>
      </c>
      <c r="I97" s="455">
        <f>'d3'!J103</f>
        <v>5820000</v>
      </c>
      <c r="J97" s="455">
        <f>'d3'!K103</f>
        <v>5820000</v>
      </c>
      <c r="K97" s="182"/>
      <c r="L97" s="182"/>
      <c r="M97" s="182"/>
    </row>
    <row r="98" spans="1:13" ht="386.25" thickTop="1" thickBot="1" x14ac:dyDescent="0.25">
      <c r="A98" s="457" t="s">
        <v>225</v>
      </c>
      <c r="B98" s="457" t="s">
        <v>226</v>
      </c>
      <c r="C98" s="457" t="s">
        <v>227</v>
      </c>
      <c r="D98" s="457" t="s">
        <v>351</v>
      </c>
      <c r="E98" s="556" t="s">
        <v>1254</v>
      </c>
      <c r="F98" s="411" t="s">
        <v>884</v>
      </c>
      <c r="G98" s="455">
        <f t="shared" si="14"/>
        <v>25043595</v>
      </c>
      <c r="H98" s="455">
        <f>'d3'!E104</f>
        <v>25043595</v>
      </c>
      <c r="I98" s="455">
        <f>'d3'!J104</f>
        <v>0</v>
      </c>
      <c r="J98" s="455">
        <f>'d3'!K104</f>
        <v>0</v>
      </c>
      <c r="K98" s="182"/>
      <c r="L98" s="182"/>
      <c r="M98" s="182"/>
    </row>
    <row r="99" spans="1:13" ht="409.6" hidden="1" customHeight="1" thickTop="1" thickBot="1" x14ac:dyDescent="0.25">
      <c r="A99" s="171" t="s">
        <v>228</v>
      </c>
      <c r="B99" s="171" t="s">
        <v>229</v>
      </c>
      <c r="C99" s="171" t="s">
        <v>230</v>
      </c>
      <c r="D99" s="171" t="s">
        <v>231</v>
      </c>
      <c r="E99" s="328" t="s">
        <v>1254</v>
      </c>
      <c r="F99" s="244" t="s">
        <v>884</v>
      </c>
      <c r="G99" s="329"/>
      <c r="H99" s="329"/>
      <c r="I99" s="329"/>
      <c r="J99" s="329"/>
      <c r="K99" s="182"/>
      <c r="L99" s="182"/>
      <c r="M99" s="182"/>
    </row>
    <row r="100" spans="1:13" ht="276" hidden="1" thickTop="1" thickBot="1" x14ac:dyDescent="0.25">
      <c r="A100" s="171" t="s">
        <v>228</v>
      </c>
      <c r="B100" s="171" t="s">
        <v>229</v>
      </c>
      <c r="C100" s="171" t="s">
        <v>230</v>
      </c>
      <c r="D100" s="171" t="s">
        <v>231</v>
      </c>
      <c r="E100" s="315" t="s">
        <v>1280</v>
      </c>
      <c r="F100" s="244" t="s">
        <v>882</v>
      </c>
      <c r="G100" s="244"/>
      <c r="H100" s="244"/>
      <c r="I100" s="244"/>
      <c r="J100" s="244"/>
      <c r="K100" s="182"/>
      <c r="L100" s="182"/>
      <c r="M100" s="182"/>
    </row>
    <row r="101" spans="1:13" ht="386.25" thickTop="1" thickBot="1" x14ac:dyDescent="0.25">
      <c r="A101" s="457" t="s">
        <v>232</v>
      </c>
      <c r="B101" s="457" t="s">
        <v>233</v>
      </c>
      <c r="C101" s="457" t="s">
        <v>352</v>
      </c>
      <c r="D101" s="457" t="s">
        <v>234</v>
      </c>
      <c r="E101" s="556" t="s">
        <v>1254</v>
      </c>
      <c r="F101" s="411" t="s">
        <v>884</v>
      </c>
      <c r="G101" s="455">
        <f t="shared" si="14"/>
        <v>18156325</v>
      </c>
      <c r="H101" s="455">
        <f>'d3'!E107</f>
        <v>18156325</v>
      </c>
      <c r="I101" s="455">
        <f>'d3'!J107</f>
        <v>0</v>
      </c>
      <c r="J101" s="455">
        <f>'d3'!K107</f>
        <v>0</v>
      </c>
      <c r="K101" s="182"/>
      <c r="L101" s="182"/>
      <c r="M101" s="182"/>
    </row>
    <row r="102" spans="1:13" ht="386.25" hidden="1" thickTop="1" thickBot="1" x14ac:dyDescent="0.25">
      <c r="A102" s="44" t="s">
        <v>482</v>
      </c>
      <c r="B102" s="44" t="s">
        <v>483</v>
      </c>
      <c r="C102" s="44" t="s">
        <v>235</v>
      </c>
      <c r="D102" s="44" t="s">
        <v>484</v>
      </c>
      <c r="E102" s="330" t="s">
        <v>883</v>
      </c>
      <c r="F102" s="77" t="s">
        <v>884</v>
      </c>
      <c r="G102" s="331">
        <f t="shared" si="14"/>
        <v>0</v>
      </c>
      <c r="H102" s="331">
        <f>'d3'!E109</f>
        <v>0</v>
      </c>
      <c r="I102" s="331">
        <f>'d3'!J109</f>
        <v>0</v>
      </c>
      <c r="J102" s="331">
        <f>'d3'!K109</f>
        <v>0</v>
      </c>
      <c r="K102" s="182"/>
      <c r="L102" s="182"/>
      <c r="M102" s="182"/>
    </row>
    <row r="103" spans="1:13" s="5" customFormat="1" ht="409.6" customHeight="1" thickTop="1" thickBot="1" x14ac:dyDescent="0.25">
      <c r="A103" s="457" t="s">
        <v>327</v>
      </c>
      <c r="B103" s="457" t="s">
        <v>329</v>
      </c>
      <c r="C103" s="457" t="s">
        <v>235</v>
      </c>
      <c r="D103" s="482" t="s">
        <v>325</v>
      </c>
      <c r="E103" s="556" t="s">
        <v>1254</v>
      </c>
      <c r="F103" s="411" t="s">
        <v>884</v>
      </c>
      <c r="G103" s="455">
        <f t="shared" si="14"/>
        <v>3648776</v>
      </c>
      <c r="H103" s="455">
        <f>'d3'!E111</f>
        <v>3648776</v>
      </c>
      <c r="I103" s="455">
        <f>'d3'!J111</f>
        <v>0</v>
      </c>
      <c r="J103" s="455">
        <f>'d3'!K111</f>
        <v>0</v>
      </c>
      <c r="K103" s="181"/>
      <c r="L103" s="181"/>
      <c r="M103" s="181"/>
    </row>
    <row r="104" spans="1:13" s="5" customFormat="1" ht="386.25" thickTop="1" thickBot="1" x14ac:dyDescent="0.25">
      <c r="A104" s="457" t="s">
        <v>328</v>
      </c>
      <c r="B104" s="457" t="s">
        <v>330</v>
      </c>
      <c r="C104" s="457" t="s">
        <v>235</v>
      </c>
      <c r="D104" s="482" t="s">
        <v>326</v>
      </c>
      <c r="E104" s="556" t="s">
        <v>1254</v>
      </c>
      <c r="F104" s="411" t="s">
        <v>884</v>
      </c>
      <c r="G104" s="455">
        <f t="shared" ref="G104:G109" si="15">H104+I104</f>
        <v>6293450</v>
      </c>
      <c r="H104" s="455">
        <f>'d3'!E112</f>
        <v>6293450</v>
      </c>
      <c r="I104" s="455">
        <f>'d3'!J112</f>
        <v>0</v>
      </c>
      <c r="J104" s="455">
        <f>'d3'!K112</f>
        <v>0</v>
      </c>
      <c r="K104" s="181"/>
      <c r="L104" s="181"/>
      <c r="M104" s="181"/>
    </row>
    <row r="105" spans="1:13" s="5" customFormat="1" ht="386.25" thickTop="1" thickBot="1" x14ac:dyDescent="0.25">
      <c r="A105" s="457" t="s">
        <v>1251</v>
      </c>
      <c r="B105" s="457" t="s">
        <v>1252</v>
      </c>
      <c r="C105" s="457" t="s">
        <v>211</v>
      </c>
      <c r="D105" s="482" t="s">
        <v>1253</v>
      </c>
      <c r="E105" s="556" t="s">
        <v>1254</v>
      </c>
      <c r="F105" s="411" t="s">
        <v>884</v>
      </c>
      <c r="G105" s="455">
        <f t="shared" si="15"/>
        <v>100000</v>
      </c>
      <c r="H105" s="455">
        <f>'d3'!E114</f>
        <v>100000</v>
      </c>
      <c r="I105" s="455">
        <f>'d3'!J114</f>
        <v>0</v>
      </c>
      <c r="J105" s="455">
        <f>'d3'!K114</f>
        <v>0</v>
      </c>
      <c r="K105" s="181"/>
      <c r="L105" s="181"/>
      <c r="M105" s="181"/>
    </row>
    <row r="106" spans="1:13" s="5" customFormat="1" ht="386.25" thickTop="1" thickBot="1" x14ac:dyDescent="0.25">
      <c r="A106" s="457" t="s">
        <v>1230</v>
      </c>
      <c r="B106" s="457" t="s">
        <v>1232</v>
      </c>
      <c r="C106" s="457" t="s">
        <v>310</v>
      </c>
      <c r="D106" s="457" t="s">
        <v>1342</v>
      </c>
      <c r="E106" s="556" t="s">
        <v>1254</v>
      </c>
      <c r="F106" s="411" t="s">
        <v>884</v>
      </c>
      <c r="G106" s="411">
        <f t="shared" si="15"/>
        <v>11239495</v>
      </c>
      <c r="H106" s="411">
        <f>'d3'!E118</f>
        <v>0</v>
      </c>
      <c r="I106" s="411">
        <f>'d3'!J118</f>
        <v>11239495</v>
      </c>
      <c r="J106" s="411">
        <f>'d3'!K118</f>
        <v>11239495</v>
      </c>
      <c r="K106" s="181"/>
      <c r="L106" s="181"/>
      <c r="M106" s="181"/>
    </row>
    <row r="107" spans="1:13" s="5" customFormat="1" ht="386.25" hidden="1" thickTop="1" thickBot="1" x14ac:dyDescent="0.25">
      <c r="A107" s="44" t="s">
        <v>1084</v>
      </c>
      <c r="B107" s="44" t="s">
        <v>1085</v>
      </c>
      <c r="C107" s="44" t="s">
        <v>171</v>
      </c>
      <c r="D107" s="44" t="s">
        <v>1086</v>
      </c>
      <c r="E107" s="330" t="s">
        <v>883</v>
      </c>
      <c r="F107" s="77" t="s">
        <v>884</v>
      </c>
      <c r="G107" s="459">
        <f t="shared" si="15"/>
        <v>0</v>
      </c>
      <c r="H107" s="459">
        <f>'d3'!E120</f>
        <v>0</v>
      </c>
      <c r="I107" s="459">
        <f>'d3'!J120</f>
        <v>0</v>
      </c>
      <c r="J107" s="459">
        <f>'d3'!K120</f>
        <v>0</v>
      </c>
      <c r="K107" s="181"/>
      <c r="L107" s="181"/>
      <c r="M107" s="181"/>
    </row>
    <row r="108" spans="1:13" s="5" customFormat="1" ht="386.25" thickTop="1" thickBot="1" x14ac:dyDescent="0.25">
      <c r="A108" s="457" t="s">
        <v>1338</v>
      </c>
      <c r="B108" s="457" t="s">
        <v>217</v>
      </c>
      <c r="C108" s="457" t="s">
        <v>218</v>
      </c>
      <c r="D108" s="457" t="s">
        <v>41</v>
      </c>
      <c r="E108" s="556" t="s">
        <v>1254</v>
      </c>
      <c r="F108" s="411" t="s">
        <v>884</v>
      </c>
      <c r="G108" s="411">
        <f t="shared" si="15"/>
        <v>23069864</v>
      </c>
      <c r="H108" s="411">
        <f>'d3'!E122</f>
        <v>0</v>
      </c>
      <c r="I108" s="411">
        <f>'d3'!J122</f>
        <v>23069864</v>
      </c>
      <c r="J108" s="411">
        <f>'d3'!K122</f>
        <v>23069864</v>
      </c>
      <c r="K108" s="181"/>
      <c r="L108" s="181"/>
      <c r="M108" s="181"/>
    </row>
    <row r="109" spans="1:13" s="5" customFormat="1" ht="138.75" hidden="1" thickTop="1" thickBot="1" x14ac:dyDescent="0.25">
      <c r="A109" s="44" t="s">
        <v>441</v>
      </c>
      <c r="B109" s="44" t="s">
        <v>202</v>
      </c>
      <c r="C109" s="44" t="s">
        <v>171</v>
      </c>
      <c r="D109" s="44" t="s">
        <v>34</v>
      </c>
      <c r="E109" s="77" t="s">
        <v>442</v>
      </c>
      <c r="F109" s="77" t="s">
        <v>416</v>
      </c>
      <c r="G109" s="962">
        <f t="shared" si="15"/>
        <v>0</v>
      </c>
      <c r="H109" s="962">
        <v>0</v>
      </c>
      <c r="I109" s="962">
        <f>'d3'!J123-I111</f>
        <v>0</v>
      </c>
      <c r="J109" s="962">
        <f>'d3'!K123-J111</f>
        <v>0</v>
      </c>
      <c r="K109" s="181"/>
      <c r="L109" s="181"/>
      <c r="M109" s="181"/>
    </row>
    <row r="110" spans="1:13" s="5" customFormat="1" ht="386.25" hidden="1" thickTop="1" thickBot="1" x14ac:dyDescent="0.25">
      <c r="A110" s="44" t="s">
        <v>441</v>
      </c>
      <c r="B110" s="44" t="s">
        <v>202</v>
      </c>
      <c r="C110" s="44" t="s">
        <v>171</v>
      </c>
      <c r="D110" s="44" t="s">
        <v>34</v>
      </c>
      <c r="E110" s="330" t="s">
        <v>883</v>
      </c>
      <c r="F110" s="77" t="s">
        <v>884</v>
      </c>
      <c r="G110" s="965"/>
      <c r="H110" s="965"/>
      <c r="I110" s="965"/>
      <c r="J110" s="965"/>
      <c r="K110" s="181"/>
      <c r="L110" s="181"/>
      <c r="M110" s="181"/>
    </row>
    <row r="111" spans="1:13" s="5" customFormat="1" ht="184.5" hidden="1" thickTop="1" thickBot="1" x14ac:dyDescent="0.25">
      <c r="A111" s="44" t="s">
        <v>441</v>
      </c>
      <c r="B111" s="44" t="s">
        <v>202</v>
      </c>
      <c r="C111" s="44" t="s">
        <v>171</v>
      </c>
      <c r="D111" s="44" t="s">
        <v>34</v>
      </c>
      <c r="E111" s="318" t="s">
        <v>456</v>
      </c>
      <c r="F111" s="323" t="s">
        <v>457</v>
      </c>
      <c r="G111" s="77">
        <f>H111+I111</f>
        <v>0</v>
      </c>
      <c r="H111" s="77">
        <v>0</v>
      </c>
      <c r="I111" s="77"/>
      <c r="J111" s="77"/>
      <c r="K111" s="181"/>
      <c r="L111" s="181"/>
      <c r="M111" s="181"/>
    </row>
    <row r="112" spans="1:13" s="5" customFormat="1" ht="138.75" hidden="1" thickTop="1" thickBot="1" x14ac:dyDescent="0.25">
      <c r="A112" s="44" t="s">
        <v>516</v>
      </c>
      <c r="B112" s="44" t="s">
        <v>369</v>
      </c>
      <c r="C112" s="44" t="s">
        <v>43</v>
      </c>
      <c r="D112" s="44" t="s">
        <v>370</v>
      </c>
      <c r="E112" s="77" t="s">
        <v>442</v>
      </c>
      <c r="F112" s="77" t="s">
        <v>416</v>
      </c>
      <c r="G112" s="77">
        <f>H112+I112</f>
        <v>0</v>
      </c>
      <c r="H112" s="77">
        <f>'d3'!F124</f>
        <v>0</v>
      </c>
      <c r="I112" s="77">
        <f>'d3'!J124</f>
        <v>0</v>
      </c>
      <c r="J112" s="77">
        <f>'d3'!K124</f>
        <v>0</v>
      </c>
      <c r="K112" s="181"/>
      <c r="L112" s="181"/>
      <c r="M112" s="181"/>
    </row>
    <row r="113" spans="1:13" ht="241.5" customHeight="1" thickTop="1" thickBot="1" x14ac:dyDescent="0.25">
      <c r="A113" s="472" t="s">
        <v>157</v>
      </c>
      <c r="B113" s="472"/>
      <c r="C113" s="472"/>
      <c r="D113" s="473" t="s">
        <v>37</v>
      </c>
      <c r="E113" s="472"/>
      <c r="F113" s="472"/>
      <c r="G113" s="474">
        <f>G114</f>
        <v>296393206.09000003</v>
      </c>
      <c r="H113" s="474">
        <f t="shared" ref="H113:J113" si="16">H114</f>
        <v>200141689.09</v>
      </c>
      <c r="I113" s="474">
        <f t="shared" si="16"/>
        <v>96251517</v>
      </c>
      <c r="J113" s="474">
        <f t="shared" si="16"/>
        <v>87959988</v>
      </c>
      <c r="K113" s="111" t="b">
        <f>H113='d3'!E126-'d3'!E128+H115+H116</f>
        <v>1</v>
      </c>
      <c r="L113" s="112" t="b">
        <f>I113='d3'!J126-'d3'!J128-'d3'!J153+'d7'!I115+I116</f>
        <v>1</v>
      </c>
      <c r="M113" s="112" t="b">
        <f>J113='d3'!K126-'d3'!K128-'d3'!K153+'d7'!J115+J116</f>
        <v>1</v>
      </c>
    </row>
    <row r="114" spans="1:13" ht="181.5" thickTop="1" thickBot="1" x14ac:dyDescent="0.25">
      <c r="A114" s="476" t="s">
        <v>158</v>
      </c>
      <c r="B114" s="476"/>
      <c r="C114" s="476"/>
      <c r="D114" s="477" t="s">
        <v>38</v>
      </c>
      <c r="E114" s="478"/>
      <c r="F114" s="478"/>
      <c r="G114" s="478">
        <f>SUM(G115:G151)</f>
        <v>296393206.09000003</v>
      </c>
      <c r="H114" s="478">
        <f>SUM(H115:H151)</f>
        <v>200141689.09</v>
      </c>
      <c r="I114" s="478">
        <f>SUM(I115:I151)</f>
        <v>96251517</v>
      </c>
      <c r="J114" s="478">
        <f>SUM(J115:J151)</f>
        <v>87959988</v>
      </c>
      <c r="K114" s="182"/>
      <c r="L114" s="50"/>
      <c r="M114" s="182"/>
    </row>
    <row r="115" spans="1:13" ht="184.5" hidden="1" thickTop="1" thickBot="1" x14ac:dyDescent="0.25">
      <c r="A115" s="171" t="s">
        <v>421</v>
      </c>
      <c r="B115" s="171" t="s">
        <v>241</v>
      </c>
      <c r="C115" s="171" t="s">
        <v>239</v>
      </c>
      <c r="D115" s="171" t="s">
        <v>240</v>
      </c>
      <c r="E115" s="315" t="s">
        <v>1063</v>
      </c>
      <c r="F115" s="244" t="s">
        <v>870</v>
      </c>
      <c r="G115" s="244">
        <f t="shared" ref="G115:G149" si="17">H115+I115</f>
        <v>0</v>
      </c>
      <c r="H115" s="244">
        <v>0</v>
      </c>
      <c r="I115" s="244"/>
      <c r="J115" s="244"/>
      <c r="K115" s="182"/>
      <c r="L115" s="50"/>
      <c r="M115" s="182"/>
    </row>
    <row r="116" spans="1:13" ht="184.5" thickTop="1" thickBot="1" x14ac:dyDescent="0.25">
      <c r="A116" s="738" t="s">
        <v>421</v>
      </c>
      <c r="B116" s="738" t="s">
        <v>241</v>
      </c>
      <c r="C116" s="738" t="s">
        <v>239</v>
      </c>
      <c r="D116" s="738" t="s">
        <v>240</v>
      </c>
      <c r="E116" s="418" t="s">
        <v>1377</v>
      </c>
      <c r="F116" s="411" t="s">
        <v>1378</v>
      </c>
      <c r="G116" s="411">
        <f t="shared" si="17"/>
        <v>300000</v>
      </c>
      <c r="H116" s="411">
        <v>0</v>
      </c>
      <c r="I116" s="411">
        <v>300000</v>
      </c>
      <c r="J116" s="411">
        <v>300000</v>
      </c>
      <c r="K116" s="182"/>
      <c r="L116" s="50"/>
      <c r="M116" s="182"/>
    </row>
    <row r="117" spans="1:13" ht="367.5" thickTop="1" thickBot="1" x14ac:dyDescent="0.25">
      <c r="A117" s="558" t="s">
        <v>640</v>
      </c>
      <c r="B117" s="558" t="s">
        <v>368</v>
      </c>
      <c r="C117" s="558" t="s">
        <v>637</v>
      </c>
      <c r="D117" s="558" t="s">
        <v>638</v>
      </c>
      <c r="E117" s="418" t="s">
        <v>1395</v>
      </c>
      <c r="F117" s="411" t="s">
        <v>1396</v>
      </c>
      <c r="G117" s="411">
        <f t="shared" si="17"/>
        <v>57000</v>
      </c>
      <c r="H117" s="411">
        <f>'d3'!E129</f>
        <v>57000</v>
      </c>
      <c r="I117" s="411">
        <f>'d3'!J129</f>
        <v>0</v>
      </c>
      <c r="J117" s="411">
        <f>'d3'!K129</f>
        <v>0</v>
      </c>
      <c r="K117" s="182"/>
      <c r="L117" s="50"/>
      <c r="M117" s="182"/>
    </row>
    <row r="118" spans="1:13" ht="138.75" thickTop="1" thickBot="1" x14ac:dyDescent="0.25">
      <c r="A118" s="558" t="s">
        <v>935</v>
      </c>
      <c r="B118" s="558" t="s">
        <v>43</v>
      </c>
      <c r="C118" s="558" t="s">
        <v>42</v>
      </c>
      <c r="D118" s="558" t="s">
        <v>253</v>
      </c>
      <c r="E118" s="418" t="s">
        <v>978</v>
      </c>
      <c r="F118" s="411" t="s">
        <v>973</v>
      </c>
      <c r="G118" s="411">
        <f t="shared" si="17"/>
        <v>30000</v>
      </c>
      <c r="H118" s="411">
        <f>'d3'!E130</f>
        <v>30000</v>
      </c>
      <c r="I118" s="411">
        <f>'d3'!J130</f>
        <v>0</v>
      </c>
      <c r="J118" s="411">
        <f>'d3'!K130</f>
        <v>0</v>
      </c>
      <c r="K118" s="182"/>
      <c r="L118" s="50"/>
      <c r="M118" s="182"/>
    </row>
    <row r="119" spans="1:13" s="5" customFormat="1" ht="184.5" thickTop="1" thickBot="1" x14ac:dyDescent="0.25">
      <c r="A119" s="558" t="s">
        <v>274</v>
      </c>
      <c r="B119" s="558" t="s">
        <v>275</v>
      </c>
      <c r="C119" s="558" t="s">
        <v>210</v>
      </c>
      <c r="D119" s="469" t="s">
        <v>276</v>
      </c>
      <c r="E119" s="418" t="s">
        <v>1244</v>
      </c>
      <c r="F119" s="411" t="s">
        <v>1216</v>
      </c>
      <c r="G119" s="411">
        <f t="shared" si="17"/>
        <v>510000</v>
      </c>
      <c r="H119" s="411">
        <f>'d3'!E133</f>
        <v>360000</v>
      </c>
      <c r="I119" s="411">
        <f>'d3'!J133</f>
        <v>150000</v>
      </c>
      <c r="J119" s="411">
        <f>'d3'!K133</f>
        <v>150000</v>
      </c>
      <c r="K119" s="181"/>
      <c r="L119" s="181"/>
      <c r="M119" s="181"/>
    </row>
    <row r="120" spans="1:13" s="5" customFormat="1" ht="184.5" thickTop="1" thickBot="1" x14ac:dyDescent="0.25">
      <c r="A120" s="558" t="s">
        <v>277</v>
      </c>
      <c r="B120" s="558" t="s">
        <v>278</v>
      </c>
      <c r="C120" s="558" t="s">
        <v>211</v>
      </c>
      <c r="D120" s="558" t="s">
        <v>6</v>
      </c>
      <c r="E120" s="418" t="s">
        <v>1244</v>
      </c>
      <c r="F120" s="411" t="s">
        <v>1216</v>
      </c>
      <c r="G120" s="411">
        <f t="shared" si="17"/>
        <v>700000</v>
      </c>
      <c r="H120" s="411">
        <f>'d3'!E134</f>
        <v>700000</v>
      </c>
      <c r="I120" s="411">
        <f>'d3'!J134</f>
        <v>0</v>
      </c>
      <c r="J120" s="411">
        <f>'d3'!K134</f>
        <v>0</v>
      </c>
      <c r="K120" s="181"/>
      <c r="L120" s="181"/>
      <c r="M120" s="181"/>
    </row>
    <row r="121" spans="1:13" s="5" customFormat="1" ht="184.5" thickTop="1" thickBot="1" x14ac:dyDescent="0.25">
      <c r="A121" s="558" t="s">
        <v>280</v>
      </c>
      <c r="B121" s="558" t="s">
        <v>281</v>
      </c>
      <c r="C121" s="558" t="s">
        <v>211</v>
      </c>
      <c r="D121" s="558" t="s">
        <v>7</v>
      </c>
      <c r="E121" s="418" t="s">
        <v>1244</v>
      </c>
      <c r="F121" s="411" t="s">
        <v>1216</v>
      </c>
      <c r="G121" s="411">
        <f t="shared" si="17"/>
        <v>19200000</v>
      </c>
      <c r="H121" s="411">
        <f>'d3'!E135</f>
        <v>19200000</v>
      </c>
      <c r="I121" s="411">
        <f>'d3'!J135</f>
        <v>0</v>
      </c>
      <c r="J121" s="411">
        <f>'d3'!K135</f>
        <v>0</v>
      </c>
      <c r="K121" s="181"/>
      <c r="L121" s="181"/>
      <c r="M121" s="181"/>
    </row>
    <row r="122" spans="1:13" s="5" customFormat="1" ht="184.5" thickTop="1" thickBot="1" x14ac:dyDescent="0.25">
      <c r="A122" s="558" t="s">
        <v>282</v>
      </c>
      <c r="B122" s="558" t="s">
        <v>279</v>
      </c>
      <c r="C122" s="558" t="s">
        <v>211</v>
      </c>
      <c r="D122" s="558" t="s">
        <v>8</v>
      </c>
      <c r="E122" s="418" t="s">
        <v>1244</v>
      </c>
      <c r="F122" s="411" t="s">
        <v>1216</v>
      </c>
      <c r="G122" s="411">
        <f t="shared" si="17"/>
        <v>700000</v>
      </c>
      <c r="H122" s="411">
        <f>'d3'!E136</f>
        <v>700000</v>
      </c>
      <c r="I122" s="411">
        <f>'d3'!J136</f>
        <v>0</v>
      </c>
      <c r="J122" s="411">
        <f>'d3'!K136</f>
        <v>0</v>
      </c>
      <c r="K122" s="181"/>
      <c r="L122" s="181"/>
      <c r="M122" s="181"/>
    </row>
    <row r="123" spans="1:13" s="5" customFormat="1" ht="184.5" thickTop="1" thickBot="1" x14ac:dyDescent="0.25">
      <c r="A123" s="558" t="s">
        <v>283</v>
      </c>
      <c r="B123" s="558" t="s">
        <v>284</v>
      </c>
      <c r="C123" s="558" t="s">
        <v>211</v>
      </c>
      <c r="D123" s="558" t="s">
        <v>9</v>
      </c>
      <c r="E123" s="418" t="s">
        <v>1244</v>
      </c>
      <c r="F123" s="411" t="s">
        <v>1216</v>
      </c>
      <c r="G123" s="411">
        <f t="shared" si="17"/>
        <v>45000000</v>
      </c>
      <c r="H123" s="411">
        <f>'d3'!E137</f>
        <v>45000000</v>
      </c>
      <c r="I123" s="411">
        <f>'d3'!J137</f>
        <v>0</v>
      </c>
      <c r="J123" s="411">
        <f>'d3'!K137</f>
        <v>0</v>
      </c>
      <c r="K123" s="181"/>
      <c r="L123" s="181"/>
      <c r="M123" s="181"/>
    </row>
    <row r="124" spans="1:13" s="5" customFormat="1" ht="184.5" thickTop="1" thickBot="1" x14ac:dyDescent="0.25">
      <c r="A124" s="558" t="s">
        <v>485</v>
      </c>
      <c r="B124" s="558" t="s">
        <v>486</v>
      </c>
      <c r="C124" s="558" t="s">
        <v>211</v>
      </c>
      <c r="D124" s="558" t="s">
        <v>487</v>
      </c>
      <c r="E124" s="418" t="s">
        <v>1244</v>
      </c>
      <c r="F124" s="411" t="s">
        <v>1216</v>
      </c>
      <c r="G124" s="411">
        <f t="shared" si="17"/>
        <v>272462</v>
      </c>
      <c r="H124" s="411">
        <f>'d3'!E138</f>
        <v>272462</v>
      </c>
      <c r="I124" s="411">
        <f>'d3'!J138</f>
        <v>0</v>
      </c>
      <c r="J124" s="411">
        <f>'d3'!K138</f>
        <v>0</v>
      </c>
      <c r="K124" s="181"/>
      <c r="L124" s="181"/>
      <c r="M124" s="181"/>
    </row>
    <row r="125" spans="1:13" s="5" customFormat="1" ht="184.5" thickTop="1" thickBot="1" x14ac:dyDescent="0.25">
      <c r="A125" s="558" t="s">
        <v>936</v>
      </c>
      <c r="B125" s="558" t="s">
        <v>937</v>
      </c>
      <c r="C125" s="558" t="s">
        <v>211</v>
      </c>
      <c r="D125" s="558" t="s">
        <v>938</v>
      </c>
      <c r="E125" s="418" t="s">
        <v>1244</v>
      </c>
      <c r="F125" s="411" t="s">
        <v>1216</v>
      </c>
      <c r="G125" s="411">
        <f t="shared" ref="G125" si="18">H125+I125</f>
        <v>2313890</v>
      </c>
      <c r="H125" s="411">
        <f>'d3'!E139</f>
        <v>2313890</v>
      </c>
      <c r="I125" s="411">
        <f>'d3'!J139</f>
        <v>0</v>
      </c>
      <c r="J125" s="411">
        <f>'d3'!K139</f>
        <v>0</v>
      </c>
      <c r="K125" s="181"/>
      <c r="L125" s="181"/>
      <c r="M125" s="181"/>
    </row>
    <row r="126" spans="1:13" s="5" customFormat="1" ht="184.5" thickTop="1" thickBot="1" x14ac:dyDescent="0.25">
      <c r="A126" s="558" t="s">
        <v>488</v>
      </c>
      <c r="B126" s="558" t="s">
        <v>489</v>
      </c>
      <c r="C126" s="558" t="s">
        <v>210</v>
      </c>
      <c r="D126" s="558" t="s">
        <v>490</v>
      </c>
      <c r="E126" s="418" t="s">
        <v>1244</v>
      </c>
      <c r="F126" s="411" t="s">
        <v>1216</v>
      </c>
      <c r="G126" s="411">
        <f t="shared" si="17"/>
        <v>546559</v>
      </c>
      <c r="H126" s="411">
        <f>'d3'!E140</f>
        <v>546559</v>
      </c>
      <c r="I126" s="411">
        <f>'d3'!J140</f>
        <v>0</v>
      </c>
      <c r="J126" s="411">
        <f>'d3'!K140</f>
        <v>0</v>
      </c>
      <c r="K126" s="181"/>
      <c r="L126" s="181"/>
      <c r="M126" s="181"/>
    </row>
    <row r="127" spans="1:13" ht="276" thickTop="1" thickBot="1" x14ac:dyDescent="0.25">
      <c r="A127" s="558" t="s">
        <v>272</v>
      </c>
      <c r="B127" s="558" t="s">
        <v>270</v>
      </c>
      <c r="C127" s="558" t="s">
        <v>205</v>
      </c>
      <c r="D127" s="558" t="s">
        <v>17</v>
      </c>
      <c r="E127" s="418" t="s">
        <v>1244</v>
      </c>
      <c r="F127" s="411" t="s">
        <v>1216</v>
      </c>
      <c r="G127" s="411">
        <f t="shared" si="17"/>
        <v>46651996.090000004</v>
      </c>
      <c r="H127" s="411">
        <f>'d3'!E142</f>
        <v>45777796.090000004</v>
      </c>
      <c r="I127" s="411">
        <f>'d3'!J142</f>
        <v>874200</v>
      </c>
      <c r="J127" s="411">
        <f>'d3'!K142</f>
        <v>144200</v>
      </c>
      <c r="K127" s="182"/>
      <c r="L127" s="182"/>
      <c r="M127" s="182"/>
    </row>
    <row r="128" spans="1:13" ht="184.5" thickTop="1" thickBot="1" x14ac:dyDescent="0.25">
      <c r="A128" s="558" t="s">
        <v>273</v>
      </c>
      <c r="B128" s="558" t="s">
        <v>271</v>
      </c>
      <c r="C128" s="558" t="s">
        <v>204</v>
      </c>
      <c r="D128" s="558" t="s">
        <v>462</v>
      </c>
      <c r="E128" s="418" t="s">
        <v>1244</v>
      </c>
      <c r="F128" s="411" t="s">
        <v>1216</v>
      </c>
      <c r="G128" s="411">
        <f t="shared" si="17"/>
        <v>10187140</v>
      </c>
      <c r="H128" s="411">
        <f>'d3'!E143</f>
        <v>9781140</v>
      </c>
      <c r="I128" s="411">
        <f>'d3'!J143</f>
        <v>406000</v>
      </c>
      <c r="J128" s="411">
        <f>'d3'!K143</f>
        <v>406000</v>
      </c>
      <c r="K128" s="182"/>
      <c r="L128" s="182"/>
      <c r="M128" s="182"/>
    </row>
    <row r="129" spans="1:13" ht="184.5" thickTop="1" thickBot="1" x14ac:dyDescent="0.25">
      <c r="A129" s="558" t="s">
        <v>1267</v>
      </c>
      <c r="B129" s="558" t="s">
        <v>189</v>
      </c>
      <c r="C129" s="558" t="s">
        <v>190</v>
      </c>
      <c r="D129" s="558" t="s">
        <v>650</v>
      </c>
      <c r="E129" s="418" t="s">
        <v>1244</v>
      </c>
      <c r="F129" s="411" t="s">
        <v>1216</v>
      </c>
      <c r="G129" s="411">
        <f>H129+I129</f>
        <v>8857655</v>
      </c>
      <c r="H129" s="411">
        <f>'d3'!E145</f>
        <v>8857655</v>
      </c>
      <c r="I129" s="411">
        <f>'d3'!J145</f>
        <v>0</v>
      </c>
      <c r="J129" s="411">
        <f>'d3'!K145</f>
        <v>0</v>
      </c>
      <c r="K129" s="182"/>
      <c r="L129" s="182"/>
      <c r="M129" s="182"/>
    </row>
    <row r="130" spans="1:13" ht="230.25" hidden="1" thickTop="1" thickBot="1" x14ac:dyDescent="0.25">
      <c r="A130" s="44" t="s">
        <v>1042</v>
      </c>
      <c r="B130" s="44" t="s">
        <v>1043</v>
      </c>
      <c r="C130" s="44" t="s">
        <v>190</v>
      </c>
      <c r="D130" s="44" t="s">
        <v>1044</v>
      </c>
      <c r="E130" s="318" t="s">
        <v>592</v>
      </c>
      <c r="F130" s="77" t="s">
        <v>413</v>
      </c>
      <c r="G130" s="77">
        <f t="shared" si="17"/>
        <v>0</v>
      </c>
      <c r="H130" s="77"/>
      <c r="I130" s="77"/>
      <c r="J130" s="77"/>
      <c r="K130" s="182"/>
      <c r="L130" s="182"/>
      <c r="M130" s="182"/>
    </row>
    <row r="131" spans="1:13" ht="321.75" thickTop="1" thickBot="1" x14ac:dyDescent="0.25">
      <c r="A131" s="558" t="s">
        <v>268</v>
      </c>
      <c r="B131" s="558" t="s">
        <v>269</v>
      </c>
      <c r="C131" s="558" t="s">
        <v>204</v>
      </c>
      <c r="D131" s="558" t="s">
        <v>460</v>
      </c>
      <c r="E131" s="418" t="s">
        <v>1244</v>
      </c>
      <c r="F131" s="411" t="s">
        <v>1216</v>
      </c>
      <c r="G131" s="411">
        <f t="shared" si="17"/>
        <v>4673200</v>
      </c>
      <c r="H131" s="411">
        <f>'d3'!E146</f>
        <v>4673200</v>
      </c>
      <c r="I131" s="411">
        <f>'d3'!J146</f>
        <v>0</v>
      </c>
      <c r="J131" s="411">
        <f>'d3'!K146</f>
        <v>0</v>
      </c>
      <c r="K131" s="182"/>
      <c r="L131" s="182"/>
      <c r="M131" s="182"/>
    </row>
    <row r="132" spans="1:13" ht="230.25" thickTop="1" thickBot="1" x14ac:dyDescent="0.25">
      <c r="A132" s="698" t="s">
        <v>491</v>
      </c>
      <c r="B132" s="698" t="s">
        <v>492</v>
      </c>
      <c r="C132" s="698" t="s">
        <v>204</v>
      </c>
      <c r="D132" s="698" t="s">
        <v>493</v>
      </c>
      <c r="E132" s="418" t="s">
        <v>1244</v>
      </c>
      <c r="F132" s="411" t="s">
        <v>1216</v>
      </c>
      <c r="G132" s="411">
        <f t="shared" si="17"/>
        <v>142618</v>
      </c>
      <c r="H132" s="411">
        <f>'d3'!E148</f>
        <v>142618</v>
      </c>
      <c r="I132" s="411">
        <f>'d3'!J148</f>
        <v>0</v>
      </c>
      <c r="J132" s="411">
        <f>'d3'!K148</f>
        <v>0</v>
      </c>
      <c r="K132" s="182"/>
      <c r="L132" s="182"/>
      <c r="M132" s="182"/>
    </row>
    <row r="133" spans="1:13" ht="276" thickTop="1" thickBot="1" x14ac:dyDescent="0.25">
      <c r="A133" s="558" t="s">
        <v>354</v>
      </c>
      <c r="B133" s="558" t="s">
        <v>353</v>
      </c>
      <c r="C133" s="558" t="s">
        <v>50</v>
      </c>
      <c r="D133" s="558" t="s">
        <v>461</v>
      </c>
      <c r="E133" s="418" t="s">
        <v>1244</v>
      </c>
      <c r="F133" s="411" t="s">
        <v>1216</v>
      </c>
      <c r="G133" s="411">
        <f t="shared" si="17"/>
        <v>1145980</v>
      </c>
      <c r="H133" s="411">
        <f>'d3'!E149-H134-H135</f>
        <v>1145980</v>
      </c>
      <c r="I133" s="774">
        <f>'d3'!J149-I134-I135</f>
        <v>0</v>
      </c>
      <c r="J133" s="774">
        <f>'d3'!K149-J134-J135</f>
        <v>0</v>
      </c>
      <c r="K133" s="182"/>
      <c r="L133" s="182"/>
      <c r="M133" s="182"/>
    </row>
    <row r="134" spans="1:13" ht="276" thickTop="1" thickBot="1" x14ac:dyDescent="0.25">
      <c r="A134" s="558" t="s">
        <v>354</v>
      </c>
      <c r="B134" s="558" t="s">
        <v>353</v>
      </c>
      <c r="C134" s="558" t="s">
        <v>50</v>
      </c>
      <c r="D134" s="558" t="s">
        <v>461</v>
      </c>
      <c r="E134" s="418" t="s">
        <v>1280</v>
      </c>
      <c r="F134" s="411" t="s">
        <v>882</v>
      </c>
      <c r="G134" s="411">
        <f t="shared" si="17"/>
        <v>1513850</v>
      </c>
      <c r="H134" s="411">
        <f>1513850+562670-562670</f>
        <v>1513850</v>
      </c>
      <c r="I134" s="411">
        <v>0</v>
      </c>
      <c r="J134" s="411">
        <v>0</v>
      </c>
      <c r="K134" s="182"/>
      <c r="L134" s="182"/>
      <c r="M134" s="182"/>
    </row>
    <row r="135" spans="1:13" s="775" customFormat="1" ht="321.75" thickTop="1" thickBot="1" x14ac:dyDescent="0.25">
      <c r="A135" s="773" t="s">
        <v>354</v>
      </c>
      <c r="B135" s="773" t="s">
        <v>353</v>
      </c>
      <c r="C135" s="773" t="s">
        <v>50</v>
      </c>
      <c r="D135" s="773" t="s">
        <v>461</v>
      </c>
      <c r="E135" s="418" t="s">
        <v>1484</v>
      </c>
      <c r="F135" s="774"/>
      <c r="G135" s="774">
        <f t="shared" si="17"/>
        <v>562670</v>
      </c>
      <c r="H135" s="774">
        <f>562670</f>
        <v>562670</v>
      </c>
      <c r="I135" s="774">
        <v>0</v>
      </c>
      <c r="J135" s="774">
        <v>0</v>
      </c>
      <c r="K135" s="182"/>
      <c r="L135" s="182"/>
      <c r="M135" s="182"/>
    </row>
    <row r="136" spans="1:13" ht="184.5" thickTop="1" thickBot="1" x14ac:dyDescent="0.25">
      <c r="A136" s="558" t="s">
        <v>331</v>
      </c>
      <c r="B136" s="558" t="s">
        <v>332</v>
      </c>
      <c r="C136" s="558" t="s">
        <v>210</v>
      </c>
      <c r="D136" s="558" t="s">
        <v>647</v>
      </c>
      <c r="E136" s="418" t="s">
        <v>1244</v>
      </c>
      <c r="F136" s="411" t="s">
        <v>1216</v>
      </c>
      <c r="G136" s="411">
        <f t="shared" si="17"/>
        <v>710000</v>
      </c>
      <c r="H136" s="411">
        <f>'d3'!E151</f>
        <v>710000</v>
      </c>
      <c r="I136" s="411">
        <f>'d3'!J151</f>
        <v>0</v>
      </c>
      <c r="J136" s="411">
        <f>'d3'!K151</f>
        <v>0</v>
      </c>
      <c r="K136" s="182"/>
      <c r="L136" s="182"/>
      <c r="M136" s="182"/>
    </row>
    <row r="137" spans="1:13" ht="184.5" thickTop="1" thickBot="1" x14ac:dyDescent="0.25">
      <c r="A137" s="558" t="s">
        <v>434</v>
      </c>
      <c r="B137" s="558" t="s">
        <v>378</v>
      </c>
      <c r="C137" s="558" t="s">
        <v>379</v>
      </c>
      <c r="D137" s="558" t="s">
        <v>377</v>
      </c>
      <c r="E137" s="418" t="s">
        <v>1201</v>
      </c>
      <c r="F137" s="411" t="s">
        <v>974</v>
      </c>
      <c r="G137" s="411">
        <f t="shared" si="17"/>
        <v>117000</v>
      </c>
      <c r="H137" s="411">
        <f>'d3'!E152</f>
        <v>117000</v>
      </c>
      <c r="I137" s="411">
        <f>'d3'!J152</f>
        <v>0</v>
      </c>
      <c r="J137" s="411">
        <f>'d3'!K152</f>
        <v>0</v>
      </c>
      <c r="K137" s="182"/>
      <c r="L137" s="182"/>
      <c r="M137" s="182"/>
    </row>
    <row r="138" spans="1:13" ht="184.5" thickTop="1" thickBot="1" x14ac:dyDescent="0.25">
      <c r="A138" s="558" t="s">
        <v>1255</v>
      </c>
      <c r="B138" s="558" t="s">
        <v>1252</v>
      </c>
      <c r="C138" s="558" t="s">
        <v>211</v>
      </c>
      <c r="D138" s="482" t="s">
        <v>1253</v>
      </c>
      <c r="E138" s="418" t="s">
        <v>1244</v>
      </c>
      <c r="F138" s="411" t="s">
        <v>1216</v>
      </c>
      <c r="G138" s="411">
        <f>H138+I138</f>
        <v>64639998</v>
      </c>
      <c r="H138" s="419">
        <f>'d3'!E167</f>
        <v>7631150</v>
      </c>
      <c r="I138" s="411">
        <f>'d3'!J167</f>
        <v>57008848</v>
      </c>
      <c r="J138" s="411">
        <f>'d3'!K167</f>
        <v>57008848</v>
      </c>
      <c r="K138" s="182"/>
      <c r="L138" s="182"/>
      <c r="M138" s="182"/>
    </row>
    <row r="139" spans="1:13" ht="184.5" thickTop="1" thickBot="1" x14ac:dyDescent="0.25">
      <c r="A139" s="558" t="s">
        <v>333</v>
      </c>
      <c r="B139" s="558" t="s">
        <v>335</v>
      </c>
      <c r="C139" s="558" t="s">
        <v>196</v>
      </c>
      <c r="D139" s="482" t="s">
        <v>337</v>
      </c>
      <c r="E139" s="418" t="s">
        <v>1244</v>
      </c>
      <c r="F139" s="411" t="s">
        <v>1216</v>
      </c>
      <c r="G139" s="411">
        <f t="shared" si="17"/>
        <v>25936089</v>
      </c>
      <c r="H139" s="419">
        <f>'d3'!E169-H140</f>
        <v>17877620</v>
      </c>
      <c r="I139" s="411">
        <f>'d3'!J169-I140</f>
        <v>8058469</v>
      </c>
      <c r="J139" s="411">
        <f>'d3'!K169-J140</f>
        <v>496940</v>
      </c>
      <c r="K139" s="182"/>
      <c r="L139" s="182"/>
      <c r="M139" s="182"/>
    </row>
    <row r="140" spans="1:13" ht="184.5" hidden="1" thickTop="1" thickBot="1" x14ac:dyDescent="0.25">
      <c r="A140" s="44" t="s">
        <v>333</v>
      </c>
      <c r="B140" s="44" t="s">
        <v>335</v>
      </c>
      <c r="C140" s="44" t="s">
        <v>196</v>
      </c>
      <c r="D140" s="199" t="s">
        <v>337</v>
      </c>
      <c r="E140" s="318" t="s">
        <v>456</v>
      </c>
      <c r="F140" s="323" t="s">
        <v>457</v>
      </c>
      <c r="G140" s="77">
        <f>H140+I140</f>
        <v>0</v>
      </c>
      <c r="H140" s="319">
        <v>0</v>
      </c>
      <c r="I140" s="77">
        <v>0</v>
      </c>
      <c r="J140" s="77">
        <v>0</v>
      </c>
      <c r="K140" s="182"/>
      <c r="L140" s="182"/>
      <c r="M140" s="182"/>
    </row>
    <row r="141" spans="1:13" ht="184.5" thickTop="1" thickBot="1" x14ac:dyDescent="0.25">
      <c r="A141" s="558" t="s">
        <v>334</v>
      </c>
      <c r="B141" s="558" t="s">
        <v>336</v>
      </c>
      <c r="C141" s="558" t="s">
        <v>196</v>
      </c>
      <c r="D141" s="482" t="s">
        <v>338</v>
      </c>
      <c r="E141" s="418" t="s">
        <v>1244</v>
      </c>
      <c r="F141" s="411" t="s">
        <v>1216</v>
      </c>
      <c r="G141" s="411">
        <f t="shared" si="17"/>
        <v>20886709</v>
      </c>
      <c r="H141" s="411">
        <f>'d3'!E170-H142-H143-H144-H145</f>
        <v>20324709</v>
      </c>
      <c r="I141" s="411">
        <f>'d3'!J170-I142-I143-I144-I145</f>
        <v>562000</v>
      </c>
      <c r="J141" s="774">
        <f>'d3'!K170-J142-J143-J144-J145</f>
        <v>562000</v>
      </c>
      <c r="K141" s="939" t="b">
        <f>H141+H142+H143+H144+H145='d3'!E170</f>
        <v>1</v>
      </c>
      <c r="L141" s="939" t="b">
        <f>I141+I142+I143+I144+I145='d3'!J170</f>
        <v>1</v>
      </c>
      <c r="M141" s="939" t="b">
        <f>J141+J142+J143+J144+J145='d3'!K170</f>
        <v>1</v>
      </c>
    </row>
    <row r="142" spans="1:13" ht="138.75" thickTop="1" thickBot="1" x14ac:dyDescent="0.25">
      <c r="A142" s="558" t="s">
        <v>334</v>
      </c>
      <c r="B142" s="558" t="s">
        <v>336</v>
      </c>
      <c r="C142" s="558" t="s">
        <v>196</v>
      </c>
      <c r="D142" s="482" t="s">
        <v>338</v>
      </c>
      <c r="E142" s="774" t="s">
        <v>1344</v>
      </c>
      <c r="F142" s="411" t="s">
        <v>881</v>
      </c>
      <c r="G142" s="411">
        <f t="shared" si="17"/>
        <v>491500</v>
      </c>
      <c r="H142" s="411">
        <f>140000+311500+40000</f>
        <v>491500</v>
      </c>
      <c r="I142" s="411">
        <v>0</v>
      </c>
      <c r="J142" s="411">
        <v>0</v>
      </c>
      <c r="K142" s="940"/>
      <c r="L142" s="940"/>
      <c r="M142" s="940"/>
    </row>
    <row r="143" spans="1:13" ht="251.25" customHeight="1" thickTop="1" thickBot="1" x14ac:dyDescent="0.25">
      <c r="A143" s="558" t="s">
        <v>334</v>
      </c>
      <c r="B143" s="558" t="s">
        <v>336</v>
      </c>
      <c r="C143" s="558" t="s">
        <v>196</v>
      </c>
      <c r="D143" s="482" t="s">
        <v>338</v>
      </c>
      <c r="E143" s="418" t="s">
        <v>1280</v>
      </c>
      <c r="F143" s="411" t="s">
        <v>882</v>
      </c>
      <c r="G143" s="411">
        <f t="shared" si="17"/>
        <v>7164890</v>
      </c>
      <c r="H143" s="411">
        <f>(4800000+200000+600690+500000+420000+98000)+200+186000+115000+265000+200000+200000-420000</f>
        <v>7164890</v>
      </c>
      <c r="I143" s="411">
        <v>0</v>
      </c>
      <c r="J143" s="411">
        <v>0</v>
      </c>
      <c r="K143" s="940"/>
      <c r="L143" s="940"/>
      <c r="M143" s="940"/>
    </row>
    <row r="144" spans="1:13" s="761" customFormat="1" ht="217.5" customHeight="1" thickTop="1" thickBot="1" x14ac:dyDescent="0.25">
      <c r="A144" s="757" t="s">
        <v>334</v>
      </c>
      <c r="B144" s="757" t="s">
        <v>336</v>
      </c>
      <c r="C144" s="757" t="s">
        <v>196</v>
      </c>
      <c r="D144" s="482" t="s">
        <v>338</v>
      </c>
      <c r="E144" s="418" t="s">
        <v>1471</v>
      </c>
      <c r="F144" s="758"/>
      <c r="G144" s="758">
        <f t="shared" si="17"/>
        <v>700000</v>
      </c>
      <c r="H144" s="758">
        <f>500000+200000</f>
        <v>700000</v>
      </c>
      <c r="I144" s="758">
        <v>0</v>
      </c>
      <c r="J144" s="758">
        <v>0</v>
      </c>
      <c r="K144" s="763"/>
      <c r="L144" s="763"/>
      <c r="M144" s="763"/>
    </row>
    <row r="145" spans="1:13" s="775" customFormat="1" ht="367.5" thickTop="1" thickBot="1" x14ac:dyDescent="0.25">
      <c r="A145" s="773" t="s">
        <v>334</v>
      </c>
      <c r="B145" s="773" t="s">
        <v>336</v>
      </c>
      <c r="C145" s="773" t="s">
        <v>196</v>
      </c>
      <c r="D145" s="482" t="s">
        <v>338</v>
      </c>
      <c r="E145" s="418" t="s">
        <v>1486</v>
      </c>
      <c r="F145" s="774"/>
      <c r="G145" s="774">
        <f t="shared" si="17"/>
        <v>21382000</v>
      </c>
      <c r="H145" s="774">
        <f>3000000+186000+265000+39000</f>
        <v>3490000</v>
      </c>
      <c r="I145" s="774">
        <v>17892000</v>
      </c>
      <c r="J145" s="774">
        <v>17892000</v>
      </c>
      <c r="K145" s="763"/>
      <c r="L145" s="763"/>
      <c r="M145" s="763"/>
    </row>
    <row r="146" spans="1:13" ht="276" thickTop="1" thickBot="1" x14ac:dyDescent="0.25">
      <c r="A146" s="558" t="s">
        <v>373</v>
      </c>
      <c r="B146" s="558" t="s">
        <v>371</v>
      </c>
      <c r="C146" s="558" t="s">
        <v>346</v>
      </c>
      <c r="D146" s="482" t="s">
        <v>372</v>
      </c>
      <c r="E146" s="418" t="s">
        <v>1280</v>
      </c>
      <c r="F146" s="411" t="s">
        <v>882</v>
      </c>
      <c r="G146" s="411">
        <f t="shared" si="17"/>
        <v>10000000</v>
      </c>
      <c r="H146" s="411">
        <f>'d3'!E173</f>
        <v>0</v>
      </c>
      <c r="I146" s="411">
        <f>'d3'!J173</f>
        <v>10000000</v>
      </c>
      <c r="J146" s="411">
        <f>'d3'!K173</f>
        <v>10000000</v>
      </c>
      <c r="K146" s="182"/>
      <c r="L146" s="182"/>
      <c r="M146" s="182"/>
    </row>
    <row r="147" spans="1:13" ht="367.5" hidden="1" thickTop="1" thickBot="1" x14ac:dyDescent="0.25">
      <c r="A147" s="44" t="s">
        <v>1111</v>
      </c>
      <c r="B147" s="44" t="s">
        <v>1112</v>
      </c>
      <c r="C147" s="44" t="s">
        <v>346</v>
      </c>
      <c r="D147" s="199" t="s">
        <v>1113</v>
      </c>
      <c r="E147" s="77" t="s">
        <v>880</v>
      </c>
      <c r="F147" s="77" t="s">
        <v>881</v>
      </c>
      <c r="G147" s="77">
        <f t="shared" si="17"/>
        <v>0</v>
      </c>
      <c r="H147" s="331">
        <f>'d3'!E174</f>
        <v>0</v>
      </c>
      <c r="I147" s="331">
        <f>'d3'!J174</f>
        <v>0</v>
      </c>
      <c r="J147" s="331">
        <f>'d3'!K174</f>
        <v>0</v>
      </c>
      <c r="K147" s="182"/>
      <c r="L147" s="182"/>
      <c r="M147" s="182"/>
    </row>
    <row r="148" spans="1:13" ht="184.5" hidden="1" thickTop="1" thickBot="1" x14ac:dyDescent="0.25">
      <c r="A148" s="171" t="s">
        <v>940</v>
      </c>
      <c r="B148" s="171" t="s">
        <v>941</v>
      </c>
      <c r="C148" s="171" t="s">
        <v>310</v>
      </c>
      <c r="D148" s="171" t="s">
        <v>1291</v>
      </c>
      <c r="E148" s="315" t="s">
        <v>1244</v>
      </c>
      <c r="F148" s="244" t="s">
        <v>1216</v>
      </c>
      <c r="G148" s="244">
        <f t="shared" si="17"/>
        <v>0</v>
      </c>
      <c r="H148" s="329">
        <f>'d3'!E178</f>
        <v>0</v>
      </c>
      <c r="I148" s="329">
        <f>'d3'!J178</f>
        <v>0</v>
      </c>
      <c r="J148" s="329">
        <f>'d3'!K178</f>
        <v>0</v>
      </c>
      <c r="K148" s="182"/>
      <c r="L148" s="182"/>
      <c r="M148" s="182"/>
    </row>
    <row r="149" spans="1:13" s="740" customFormat="1" ht="184.5" thickTop="1" thickBot="1" x14ac:dyDescent="0.25">
      <c r="A149" s="738" t="s">
        <v>1419</v>
      </c>
      <c r="B149" s="738" t="s">
        <v>217</v>
      </c>
      <c r="C149" s="738" t="s">
        <v>218</v>
      </c>
      <c r="D149" s="738" t="s">
        <v>41</v>
      </c>
      <c r="E149" s="418" t="s">
        <v>1244</v>
      </c>
      <c r="F149" s="411" t="s">
        <v>1216</v>
      </c>
      <c r="G149" s="411">
        <f t="shared" si="17"/>
        <v>1000000</v>
      </c>
      <c r="H149" s="737">
        <f>'d3'!E180</f>
        <v>0</v>
      </c>
      <c r="I149" s="737">
        <f>'d3'!J180</f>
        <v>1000000</v>
      </c>
      <c r="J149" s="737">
        <f>'d3'!K180</f>
        <v>1000000</v>
      </c>
      <c r="K149" s="182"/>
      <c r="L149" s="182"/>
      <c r="M149" s="182"/>
    </row>
    <row r="150" spans="1:13" ht="367.5" hidden="1" thickTop="1" thickBot="1" x14ac:dyDescent="0.7">
      <c r="A150" s="838" t="s">
        <v>429</v>
      </c>
      <c r="B150" s="838" t="s">
        <v>344</v>
      </c>
      <c r="C150" s="838" t="s">
        <v>171</v>
      </c>
      <c r="D150" s="200" t="s">
        <v>446</v>
      </c>
      <c r="E150" s="838" t="s">
        <v>1211</v>
      </c>
      <c r="F150" s="838" t="s">
        <v>1212</v>
      </c>
      <c r="G150" s="942">
        <f>H150+I150</f>
        <v>0</v>
      </c>
      <c r="H150" s="942">
        <f>'d3'!E182</f>
        <v>0</v>
      </c>
      <c r="I150" s="942">
        <f>'d3'!J182</f>
        <v>0</v>
      </c>
      <c r="J150" s="942">
        <f>'d3'!K182</f>
        <v>0</v>
      </c>
      <c r="K150" s="182"/>
      <c r="L150" s="182"/>
      <c r="M150" s="182"/>
    </row>
    <row r="151" spans="1:13" ht="184.5" hidden="1" thickTop="1" thickBot="1" x14ac:dyDescent="0.25">
      <c r="A151" s="848"/>
      <c r="B151" s="848"/>
      <c r="C151" s="848"/>
      <c r="D151" s="201" t="s">
        <v>447</v>
      </c>
      <c r="E151" s="848"/>
      <c r="F151" s="848"/>
      <c r="G151" s="943"/>
      <c r="H151" s="966"/>
      <c r="I151" s="943"/>
      <c r="J151" s="943"/>
      <c r="K151" s="314"/>
      <c r="L151" s="321"/>
      <c r="M151" s="321"/>
    </row>
    <row r="152" spans="1:13" ht="136.5" thickTop="1" thickBot="1" x14ac:dyDescent="0.25">
      <c r="A152" s="472">
        <v>1000000</v>
      </c>
      <c r="B152" s="472"/>
      <c r="C152" s="472"/>
      <c r="D152" s="473" t="s">
        <v>24</v>
      </c>
      <c r="E152" s="472"/>
      <c r="F152" s="472"/>
      <c r="G152" s="474">
        <f>G153</f>
        <v>167913805</v>
      </c>
      <c r="H152" s="474">
        <f t="shared" ref="H152:J152" si="19">H153</f>
        <v>155724377</v>
      </c>
      <c r="I152" s="474">
        <f t="shared" si="19"/>
        <v>12189428</v>
      </c>
      <c r="J152" s="474">
        <f t="shared" si="19"/>
        <v>2877973</v>
      </c>
      <c r="K152" s="111" t="b">
        <f>H152='d3'!E185</f>
        <v>1</v>
      </c>
      <c r="L152" s="112" t="b">
        <f>I152='d3'!J185</f>
        <v>1</v>
      </c>
      <c r="M152" s="112" t="b">
        <f>J152='d3'!K185</f>
        <v>1</v>
      </c>
    </row>
    <row r="153" spans="1:13" ht="136.5" thickTop="1" thickBot="1" x14ac:dyDescent="0.25">
      <c r="A153" s="476">
        <v>1010000</v>
      </c>
      <c r="B153" s="476"/>
      <c r="C153" s="476"/>
      <c r="D153" s="477" t="s">
        <v>39</v>
      </c>
      <c r="E153" s="478"/>
      <c r="F153" s="478"/>
      <c r="G153" s="478">
        <f>SUM(G154:G171)</f>
        <v>167913805</v>
      </c>
      <c r="H153" s="478">
        <f>SUM(H154:H171)</f>
        <v>155724377</v>
      </c>
      <c r="I153" s="478">
        <f>SUM(I154:I171)</f>
        <v>12189428</v>
      </c>
      <c r="J153" s="478">
        <f>SUM(J154:J171)</f>
        <v>2877973</v>
      </c>
      <c r="K153" s="182"/>
      <c r="L153" s="182"/>
      <c r="M153" s="182"/>
    </row>
    <row r="154" spans="1:13" ht="184.5" thickTop="1" thickBot="1" x14ac:dyDescent="0.25">
      <c r="A154" s="558" t="s">
        <v>648</v>
      </c>
      <c r="B154" s="558" t="s">
        <v>649</v>
      </c>
      <c r="C154" s="558" t="s">
        <v>186</v>
      </c>
      <c r="D154" s="558" t="s">
        <v>1164</v>
      </c>
      <c r="E154" s="411" t="s">
        <v>878</v>
      </c>
      <c r="F154" s="411" t="s">
        <v>879</v>
      </c>
      <c r="G154" s="411">
        <f>H154+I154</f>
        <v>93402808</v>
      </c>
      <c r="H154" s="411">
        <f>'d3'!E187</f>
        <v>84572397</v>
      </c>
      <c r="I154" s="411">
        <f>'d3'!J187</f>
        <v>8830411</v>
      </c>
      <c r="J154" s="411">
        <f>'d3'!K187</f>
        <v>449556</v>
      </c>
      <c r="K154" s="182"/>
      <c r="L154" s="182"/>
      <c r="M154" s="182"/>
    </row>
    <row r="155" spans="1:13" ht="243" customHeight="1" thickTop="1" thickBot="1" x14ac:dyDescent="0.25">
      <c r="A155" s="558" t="s">
        <v>172</v>
      </c>
      <c r="B155" s="558" t="s">
        <v>173</v>
      </c>
      <c r="C155" s="558" t="s">
        <v>175</v>
      </c>
      <c r="D155" s="558" t="s">
        <v>176</v>
      </c>
      <c r="E155" s="411" t="s">
        <v>878</v>
      </c>
      <c r="F155" s="411" t="s">
        <v>879</v>
      </c>
      <c r="G155" s="411">
        <f t="shared" ref="G155:G171" si="20">H155+I155</f>
        <v>1156300</v>
      </c>
      <c r="H155" s="411">
        <f>'d3'!E189</f>
        <v>1156300</v>
      </c>
      <c r="I155" s="411">
        <f>'d3'!J189</f>
        <v>0</v>
      </c>
      <c r="J155" s="411">
        <f>'d3'!K189</f>
        <v>0</v>
      </c>
      <c r="K155" s="182"/>
      <c r="L155" s="182"/>
      <c r="M155" s="182"/>
    </row>
    <row r="156" spans="1:13" ht="184.5" thickTop="1" thickBot="1" x14ac:dyDescent="0.25">
      <c r="A156" s="558" t="s">
        <v>177</v>
      </c>
      <c r="B156" s="558" t="s">
        <v>178</v>
      </c>
      <c r="C156" s="558" t="s">
        <v>179</v>
      </c>
      <c r="D156" s="558" t="s">
        <v>180</v>
      </c>
      <c r="E156" s="411" t="s">
        <v>878</v>
      </c>
      <c r="F156" s="411" t="s">
        <v>879</v>
      </c>
      <c r="G156" s="411">
        <f t="shared" si="20"/>
        <v>16550487</v>
      </c>
      <c r="H156" s="411">
        <f>'d3'!E190-H157-H158</f>
        <v>16416487</v>
      </c>
      <c r="I156" s="411">
        <f>'d3'!J190-I157-I158</f>
        <v>134000</v>
      </c>
      <c r="J156" s="411">
        <f>'d3'!K190-J157-J158</f>
        <v>0</v>
      </c>
      <c r="K156" s="182"/>
      <c r="L156" s="182"/>
      <c r="M156" s="182"/>
    </row>
    <row r="157" spans="1:13" ht="184.5" hidden="1" thickTop="1" thickBot="1" x14ac:dyDescent="0.25">
      <c r="A157" s="464" t="s">
        <v>177</v>
      </c>
      <c r="B157" s="464" t="s">
        <v>178</v>
      </c>
      <c r="C157" s="464" t="s">
        <v>179</v>
      </c>
      <c r="D157" s="464" t="s">
        <v>180</v>
      </c>
      <c r="E157" s="465" t="s">
        <v>456</v>
      </c>
      <c r="F157" s="503" t="s">
        <v>457</v>
      </c>
      <c r="G157" s="466">
        <f>H157+I157</f>
        <v>0</v>
      </c>
      <c r="H157" s="570">
        <v>0</v>
      </c>
      <c r="I157" s="466">
        <v>0</v>
      </c>
      <c r="J157" s="466">
        <v>0</v>
      </c>
      <c r="K157" s="182"/>
      <c r="L157" s="182"/>
      <c r="M157" s="182"/>
    </row>
    <row r="158" spans="1:13" ht="230.25" hidden="1" thickTop="1" thickBot="1" x14ac:dyDescent="0.25">
      <c r="A158" s="464" t="s">
        <v>177</v>
      </c>
      <c r="B158" s="464" t="s">
        <v>178</v>
      </c>
      <c r="C158" s="464" t="s">
        <v>179</v>
      </c>
      <c r="D158" s="464" t="s">
        <v>180</v>
      </c>
      <c r="E158" s="466" t="s">
        <v>876</v>
      </c>
      <c r="F158" s="466" t="s">
        <v>877</v>
      </c>
      <c r="G158" s="466">
        <f>H158+I158</f>
        <v>0</v>
      </c>
      <c r="H158" s="570">
        <v>0</v>
      </c>
      <c r="I158" s="466">
        <v>0</v>
      </c>
      <c r="J158" s="466">
        <v>0</v>
      </c>
      <c r="K158" s="182"/>
      <c r="L158" s="182"/>
      <c r="M158" s="182"/>
    </row>
    <row r="159" spans="1:13" ht="184.5" thickTop="1" thickBot="1" x14ac:dyDescent="0.25">
      <c r="A159" s="558" t="s">
        <v>181</v>
      </c>
      <c r="B159" s="558" t="s">
        <v>182</v>
      </c>
      <c r="C159" s="558" t="s">
        <v>179</v>
      </c>
      <c r="D159" s="558" t="s">
        <v>470</v>
      </c>
      <c r="E159" s="411" t="s">
        <v>878</v>
      </c>
      <c r="F159" s="411" t="s">
        <v>879</v>
      </c>
      <c r="G159" s="411">
        <f t="shared" si="20"/>
        <v>2566530</v>
      </c>
      <c r="H159" s="411">
        <f>'d3'!E191</f>
        <v>2464930</v>
      </c>
      <c r="I159" s="411">
        <f>'d3'!J191</f>
        <v>101600</v>
      </c>
      <c r="J159" s="411">
        <f>'d3'!K191</f>
        <v>0</v>
      </c>
      <c r="K159" s="182"/>
      <c r="L159" s="182"/>
      <c r="M159" s="182"/>
    </row>
    <row r="160" spans="1:13" ht="184.5" thickTop="1" thickBot="1" x14ac:dyDescent="0.25">
      <c r="A160" s="558" t="s">
        <v>183</v>
      </c>
      <c r="B160" s="558" t="s">
        <v>174</v>
      </c>
      <c r="C160" s="558" t="s">
        <v>184</v>
      </c>
      <c r="D160" s="558" t="s">
        <v>185</v>
      </c>
      <c r="E160" s="411" t="s">
        <v>878</v>
      </c>
      <c r="F160" s="411" t="s">
        <v>879</v>
      </c>
      <c r="G160" s="411">
        <f t="shared" si="20"/>
        <v>20002130</v>
      </c>
      <c r="H160" s="411">
        <f>'d3'!E192-H161</f>
        <v>19030730</v>
      </c>
      <c r="I160" s="411">
        <f>'d3'!J192-I161</f>
        <v>971400</v>
      </c>
      <c r="J160" s="411">
        <f>'d3'!K192-J161</f>
        <v>423400</v>
      </c>
      <c r="K160" s="182"/>
      <c r="L160" s="182"/>
      <c r="M160" s="182"/>
    </row>
    <row r="161" spans="1:13" ht="184.5" hidden="1" thickTop="1" thickBot="1" x14ac:dyDescent="0.25">
      <c r="A161" s="44" t="s">
        <v>183</v>
      </c>
      <c r="B161" s="44" t="s">
        <v>174</v>
      </c>
      <c r="C161" s="44" t="s">
        <v>184</v>
      </c>
      <c r="D161" s="44" t="s">
        <v>185</v>
      </c>
      <c r="E161" s="318" t="s">
        <v>456</v>
      </c>
      <c r="F161" s="323" t="s">
        <v>457</v>
      </c>
      <c r="G161" s="77">
        <f>H161+I161</f>
        <v>0</v>
      </c>
      <c r="H161" s="319">
        <v>0</v>
      </c>
      <c r="I161" s="77">
        <v>0</v>
      </c>
      <c r="J161" s="77">
        <v>0</v>
      </c>
      <c r="K161" s="182"/>
      <c r="L161" s="182"/>
      <c r="M161" s="182"/>
    </row>
    <row r="162" spans="1:13" ht="184.5" thickTop="1" thickBot="1" x14ac:dyDescent="0.25">
      <c r="A162" s="733" t="s">
        <v>1246</v>
      </c>
      <c r="B162" s="733" t="s">
        <v>1247</v>
      </c>
      <c r="C162" s="733" t="s">
        <v>1249</v>
      </c>
      <c r="D162" s="733" t="s">
        <v>1248</v>
      </c>
      <c r="E162" s="411" t="s">
        <v>878</v>
      </c>
      <c r="F162" s="411" t="s">
        <v>879</v>
      </c>
      <c r="G162" s="411">
        <f>H162+I162</f>
        <v>45500</v>
      </c>
      <c r="H162" s="419">
        <f>'d3'!E193</f>
        <v>45500</v>
      </c>
      <c r="I162" s="411">
        <f>'d3'!J193</f>
        <v>0</v>
      </c>
      <c r="J162" s="411">
        <f>'d3'!K193</f>
        <v>0</v>
      </c>
      <c r="K162" s="182"/>
      <c r="L162" s="182"/>
      <c r="M162" s="182"/>
    </row>
    <row r="163" spans="1:13" ht="184.5" thickTop="1" thickBot="1" x14ac:dyDescent="0.25">
      <c r="A163" s="558" t="s">
        <v>339</v>
      </c>
      <c r="B163" s="558" t="s">
        <v>340</v>
      </c>
      <c r="C163" s="558" t="s">
        <v>187</v>
      </c>
      <c r="D163" s="558" t="s">
        <v>471</v>
      </c>
      <c r="E163" s="411" t="s">
        <v>878</v>
      </c>
      <c r="F163" s="411" t="s">
        <v>879</v>
      </c>
      <c r="G163" s="411">
        <f>H163+I163</f>
        <v>24335887</v>
      </c>
      <c r="H163" s="411">
        <f>'d3'!E195-H164</f>
        <v>24188887</v>
      </c>
      <c r="I163" s="411">
        <f>'d3'!J195-I164</f>
        <v>147000</v>
      </c>
      <c r="J163" s="411">
        <f>'d3'!K195-J164</f>
        <v>0</v>
      </c>
      <c r="K163" s="182"/>
      <c r="L163" s="182"/>
      <c r="M163" s="182"/>
    </row>
    <row r="164" spans="1:13" ht="199.5" customHeight="1" thickTop="1" thickBot="1" x14ac:dyDescent="0.25">
      <c r="A164" s="558" t="s">
        <v>339</v>
      </c>
      <c r="B164" s="558" t="s">
        <v>340</v>
      </c>
      <c r="C164" s="558" t="s">
        <v>187</v>
      </c>
      <c r="D164" s="558" t="s">
        <v>471</v>
      </c>
      <c r="E164" s="411" t="s">
        <v>1346</v>
      </c>
      <c r="F164" s="411" t="s">
        <v>412</v>
      </c>
      <c r="G164" s="411">
        <f t="shared" si="20"/>
        <v>1172500</v>
      </c>
      <c r="H164" s="411">
        <f>804000+368500</f>
        <v>1172500</v>
      </c>
      <c r="I164" s="411">
        <v>0</v>
      </c>
      <c r="J164" s="411">
        <v>0</v>
      </c>
      <c r="K164" s="182"/>
      <c r="L164" s="182"/>
      <c r="M164" s="182"/>
    </row>
    <row r="165" spans="1:13" ht="246" customHeight="1" thickTop="1" thickBot="1" x14ac:dyDescent="0.25">
      <c r="A165" s="558" t="s">
        <v>341</v>
      </c>
      <c r="B165" s="558" t="s">
        <v>342</v>
      </c>
      <c r="C165" s="558" t="s">
        <v>187</v>
      </c>
      <c r="D165" s="558" t="s">
        <v>472</v>
      </c>
      <c r="E165" s="411" t="s">
        <v>878</v>
      </c>
      <c r="F165" s="411" t="s">
        <v>879</v>
      </c>
      <c r="G165" s="411">
        <f t="shared" si="20"/>
        <v>4894981</v>
      </c>
      <c r="H165" s="411">
        <f>'d3'!E196-H166-H167</f>
        <v>4894981</v>
      </c>
      <c r="I165" s="411">
        <f>'d3'!J196-I166-I167</f>
        <v>0</v>
      </c>
      <c r="J165" s="411">
        <f>'d3'!K196-J166-J167</f>
        <v>0</v>
      </c>
      <c r="K165" s="182"/>
      <c r="L165" s="182"/>
      <c r="M165" s="182"/>
    </row>
    <row r="166" spans="1:13" ht="178.5" customHeight="1" thickTop="1" thickBot="1" x14ac:dyDescent="0.25">
      <c r="A166" s="558" t="s">
        <v>341</v>
      </c>
      <c r="B166" s="558" t="s">
        <v>342</v>
      </c>
      <c r="C166" s="558" t="s">
        <v>187</v>
      </c>
      <c r="D166" s="558" t="s">
        <v>472</v>
      </c>
      <c r="E166" s="411" t="s">
        <v>1346</v>
      </c>
      <c r="F166" s="411" t="s">
        <v>412</v>
      </c>
      <c r="G166" s="411">
        <f t="shared" si="20"/>
        <v>544040</v>
      </c>
      <c r="H166" s="411">
        <f>337680+206360</f>
        <v>544040</v>
      </c>
      <c r="I166" s="411">
        <v>0</v>
      </c>
      <c r="J166" s="411">
        <v>0</v>
      </c>
      <c r="K166" s="182"/>
      <c r="L166" s="182"/>
      <c r="M166" s="182"/>
    </row>
    <row r="167" spans="1:13" ht="310.7" customHeight="1" thickTop="1" thickBot="1" x14ac:dyDescent="0.25">
      <c r="A167" s="558" t="s">
        <v>341</v>
      </c>
      <c r="B167" s="558" t="s">
        <v>342</v>
      </c>
      <c r="C167" s="558" t="s">
        <v>187</v>
      </c>
      <c r="D167" s="558" t="s">
        <v>472</v>
      </c>
      <c r="E167" s="411" t="s">
        <v>876</v>
      </c>
      <c r="F167" s="411" t="s">
        <v>877</v>
      </c>
      <c r="G167" s="411">
        <f t="shared" si="20"/>
        <v>175000</v>
      </c>
      <c r="H167" s="411">
        <v>175000</v>
      </c>
      <c r="I167" s="411">
        <v>0</v>
      </c>
      <c r="J167" s="411">
        <v>0</v>
      </c>
      <c r="K167" s="182"/>
      <c r="L167" s="182"/>
      <c r="M167" s="182"/>
    </row>
    <row r="168" spans="1:13" ht="138.75" thickTop="1" thickBot="1" x14ac:dyDescent="0.25">
      <c r="A168" s="558" t="s">
        <v>1058</v>
      </c>
      <c r="B168" s="558" t="s">
        <v>1059</v>
      </c>
      <c r="C168" s="558" t="s">
        <v>218</v>
      </c>
      <c r="D168" s="558" t="s">
        <v>1057</v>
      </c>
      <c r="E168" s="411" t="s">
        <v>1061</v>
      </c>
      <c r="F168" s="411" t="s">
        <v>1060</v>
      </c>
      <c r="G168" s="411">
        <f t="shared" si="20"/>
        <v>1062625</v>
      </c>
      <c r="H168" s="411">
        <f>'d3'!E200</f>
        <v>1062625</v>
      </c>
      <c r="I168" s="411">
        <f>'d3'!J200</f>
        <v>0</v>
      </c>
      <c r="J168" s="411">
        <f>'d3'!K200</f>
        <v>0</v>
      </c>
      <c r="K168" s="332"/>
      <c r="L168" s="332"/>
      <c r="M168" s="182"/>
    </row>
    <row r="169" spans="1:13" s="561" customFormat="1" ht="184.5" thickTop="1" thickBot="1" x14ac:dyDescent="0.25">
      <c r="A169" s="558" t="s">
        <v>1354</v>
      </c>
      <c r="B169" s="558" t="s">
        <v>217</v>
      </c>
      <c r="C169" s="558" t="s">
        <v>218</v>
      </c>
      <c r="D169" s="558" t="s">
        <v>41</v>
      </c>
      <c r="E169" s="411" t="s">
        <v>878</v>
      </c>
      <c r="F169" s="411" t="s">
        <v>879</v>
      </c>
      <c r="G169" s="411">
        <f t="shared" si="20"/>
        <v>2005017</v>
      </c>
      <c r="H169" s="411">
        <f>'d3'!E201</f>
        <v>0</v>
      </c>
      <c r="I169" s="411">
        <f>'d3'!J201</f>
        <v>2005017</v>
      </c>
      <c r="J169" s="411">
        <f>'d3'!K201</f>
        <v>2005017</v>
      </c>
      <c r="K169" s="332"/>
      <c r="L169" s="332"/>
      <c r="M169" s="182"/>
    </row>
    <row r="170" spans="1:13" ht="184.5" hidden="1" thickTop="1" thickBot="1" x14ac:dyDescent="0.25">
      <c r="A170" s="171" t="s">
        <v>933</v>
      </c>
      <c r="B170" s="171" t="s">
        <v>202</v>
      </c>
      <c r="C170" s="171" t="s">
        <v>171</v>
      </c>
      <c r="D170" s="171" t="s">
        <v>34</v>
      </c>
      <c r="E170" s="244" t="s">
        <v>878</v>
      </c>
      <c r="F170" s="244" t="s">
        <v>879</v>
      </c>
      <c r="G170" s="244">
        <f t="shared" si="20"/>
        <v>0</v>
      </c>
      <c r="H170" s="244">
        <f>'d3'!E202</f>
        <v>0</v>
      </c>
      <c r="I170" s="244">
        <f>'d3'!J202</f>
        <v>0</v>
      </c>
      <c r="J170" s="244">
        <f>'d3'!K202</f>
        <v>0</v>
      </c>
      <c r="K170" s="332"/>
      <c r="L170" s="332"/>
      <c r="M170" s="182"/>
    </row>
    <row r="171" spans="1:13" ht="184.5" hidden="1" thickTop="1" thickBot="1" x14ac:dyDescent="0.25">
      <c r="A171" s="44" t="s">
        <v>595</v>
      </c>
      <c r="B171" s="44" t="s">
        <v>369</v>
      </c>
      <c r="C171" s="44" t="s">
        <v>43</v>
      </c>
      <c r="D171" s="44" t="s">
        <v>370</v>
      </c>
      <c r="E171" s="318" t="s">
        <v>873</v>
      </c>
      <c r="F171" s="77" t="s">
        <v>874</v>
      </c>
      <c r="G171" s="77">
        <f t="shared" si="20"/>
        <v>0</v>
      </c>
      <c r="H171" s="77">
        <f>'d3'!E205</f>
        <v>0</v>
      </c>
      <c r="I171" s="77">
        <f>'d3'!J205</f>
        <v>0</v>
      </c>
      <c r="J171" s="77">
        <f>'d3'!K205</f>
        <v>0</v>
      </c>
      <c r="K171" s="332"/>
      <c r="L171" s="332"/>
      <c r="M171" s="182"/>
    </row>
    <row r="172" spans="1:13" ht="136.5" thickTop="1" thickBot="1" x14ac:dyDescent="0.25">
      <c r="A172" s="472" t="s">
        <v>22</v>
      </c>
      <c r="B172" s="472"/>
      <c r="C172" s="472"/>
      <c r="D172" s="473" t="s">
        <v>23</v>
      </c>
      <c r="E172" s="472"/>
      <c r="F172" s="472"/>
      <c r="G172" s="474">
        <f>G173</f>
        <v>135349261.47999999</v>
      </c>
      <c r="H172" s="474">
        <f t="shared" ref="H172:J172" si="21">H173</f>
        <v>116709079</v>
      </c>
      <c r="I172" s="474">
        <f t="shared" si="21"/>
        <v>18640182.48</v>
      </c>
      <c r="J172" s="474">
        <f t="shared" si="21"/>
        <v>16139160.48</v>
      </c>
      <c r="K172" s="111" t="b">
        <f>H172='d3'!E207+'d4'!F12</f>
        <v>1</v>
      </c>
      <c r="L172" s="112" t="b">
        <f>I172='d3'!J206+'d4'!G12</f>
        <v>1</v>
      </c>
      <c r="M172" s="112" t="b">
        <f>J172='d3'!K206+'d4'!H12</f>
        <v>1</v>
      </c>
    </row>
    <row r="173" spans="1:13" ht="175.7" customHeight="1" thickTop="1" thickBot="1" x14ac:dyDescent="0.25">
      <c r="A173" s="476" t="s">
        <v>21</v>
      </c>
      <c r="B173" s="476"/>
      <c r="C173" s="476"/>
      <c r="D173" s="477" t="s">
        <v>35</v>
      </c>
      <c r="E173" s="478"/>
      <c r="F173" s="478"/>
      <c r="G173" s="478">
        <f>SUM(G174:G191)</f>
        <v>135349261.47999999</v>
      </c>
      <c r="H173" s="478">
        <f>SUM(H174:H191)</f>
        <v>116709079</v>
      </c>
      <c r="I173" s="478">
        <f>SUM(I174:I191)</f>
        <v>18640182.48</v>
      </c>
      <c r="J173" s="478">
        <f>SUM(J174:J191)</f>
        <v>16139160.48</v>
      </c>
      <c r="K173" s="182"/>
      <c r="L173" s="182"/>
      <c r="M173" s="182"/>
    </row>
    <row r="174" spans="1:13" ht="230.25" hidden="1" thickTop="1" thickBot="1" x14ac:dyDescent="0.25">
      <c r="A174" s="171" t="s">
        <v>188</v>
      </c>
      <c r="B174" s="171" t="s">
        <v>189</v>
      </c>
      <c r="C174" s="171" t="s">
        <v>190</v>
      </c>
      <c r="D174" s="171" t="s">
        <v>650</v>
      </c>
      <c r="E174" s="315" t="s">
        <v>1214</v>
      </c>
      <c r="F174" s="244" t="s">
        <v>1215</v>
      </c>
      <c r="G174" s="244">
        <f t="shared" ref="G174:G175" si="22">H174+I174</f>
        <v>0</v>
      </c>
      <c r="H174" s="316">
        <f>'d3'!E210</f>
        <v>0</v>
      </c>
      <c r="I174" s="333">
        <f>'d3'!J210</f>
        <v>0</v>
      </c>
      <c r="J174" s="244">
        <f>'d3'!K210</f>
        <v>0</v>
      </c>
      <c r="K174" s="182"/>
      <c r="L174" s="182"/>
      <c r="M174" s="182"/>
    </row>
    <row r="175" spans="1:13" ht="276" thickTop="1" thickBot="1" x14ac:dyDescent="0.25">
      <c r="A175" s="457" t="s">
        <v>194</v>
      </c>
      <c r="B175" s="457" t="s">
        <v>195</v>
      </c>
      <c r="C175" s="457" t="s">
        <v>190</v>
      </c>
      <c r="D175" s="457" t="s">
        <v>10</v>
      </c>
      <c r="E175" s="418" t="s">
        <v>1334</v>
      </c>
      <c r="F175" s="411" t="s">
        <v>1215</v>
      </c>
      <c r="G175" s="411">
        <f t="shared" si="22"/>
        <v>5813756.4000000004</v>
      </c>
      <c r="H175" s="419">
        <f>'d3'!E212</f>
        <v>5370023</v>
      </c>
      <c r="I175" s="550">
        <f>'d3'!J212</f>
        <v>443733.4</v>
      </c>
      <c r="J175" s="411">
        <f>'d3'!K212</f>
        <v>46333.4</v>
      </c>
      <c r="K175" s="182"/>
      <c r="L175" s="182"/>
      <c r="M175" s="182"/>
    </row>
    <row r="176" spans="1:13" ht="276" thickTop="1" thickBot="1" x14ac:dyDescent="0.25">
      <c r="A176" s="457" t="s">
        <v>357</v>
      </c>
      <c r="B176" s="457" t="s">
        <v>358</v>
      </c>
      <c r="C176" s="457" t="s">
        <v>190</v>
      </c>
      <c r="D176" s="457" t="s">
        <v>359</v>
      </c>
      <c r="E176" s="418" t="s">
        <v>1334</v>
      </c>
      <c r="F176" s="411" t="s">
        <v>1215</v>
      </c>
      <c r="G176" s="411">
        <f t="shared" ref="G176:G180" si="23">H176+I176</f>
        <v>7809980</v>
      </c>
      <c r="H176" s="419">
        <f>'d3'!E213</f>
        <v>7754354</v>
      </c>
      <c r="I176" s="550">
        <f>'d3'!J213</f>
        <v>55626</v>
      </c>
      <c r="J176" s="411">
        <f>'d3'!K213</f>
        <v>55626</v>
      </c>
      <c r="K176" s="182"/>
      <c r="L176" s="182"/>
      <c r="M176" s="182"/>
    </row>
    <row r="177" spans="1:13" ht="276" thickTop="1" thickBot="1" x14ac:dyDescent="0.25">
      <c r="A177" s="457" t="s">
        <v>44</v>
      </c>
      <c r="B177" s="457" t="s">
        <v>191</v>
      </c>
      <c r="C177" s="457" t="s">
        <v>200</v>
      </c>
      <c r="D177" s="457" t="s">
        <v>45</v>
      </c>
      <c r="E177" s="418" t="s">
        <v>1334</v>
      </c>
      <c r="F177" s="411" t="s">
        <v>1215</v>
      </c>
      <c r="G177" s="411">
        <f t="shared" si="23"/>
        <v>25132670</v>
      </c>
      <c r="H177" s="411">
        <f>'d3'!E216</f>
        <v>25132670</v>
      </c>
      <c r="I177" s="550">
        <f>'d3'!J216</f>
        <v>0</v>
      </c>
      <c r="J177" s="411">
        <f>'d3'!K216</f>
        <v>0</v>
      </c>
      <c r="K177" s="182"/>
      <c r="L177" s="182"/>
      <c r="M177" s="182"/>
    </row>
    <row r="178" spans="1:13" ht="276" thickTop="1" thickBot="1" x14ac:dyDescent="0.25">
      <c r="A178" s="457" t="s">
        <v>46</v>
      </c>
      <c r="B178" s="457" t="s">
        <v>192</v>
      </c>
      <c r="C178" s="457" t="s">
        <v>200</v>
      </c>
      <c r="D178" s="457" t="s">
        <v>4</v>
      </c>
      <c r="E178" s="418" t="s">
        <v>1334</v>
      </c>
      <c r="F178" s="411" t="s">
        <v>1215</v>
      </c>
      <c r="G178" s="411">
        <f t="shared" si="23"/>
        <v>4101072</v>
      </c>
      <c r="H178" s="411">
        <f>'d3'!E217</f>
        <v>4101072</v>
      </c>
      <c r="I178" s="550">
        <f>'d3'!J217</f>
        <v>0</v>
      </c>
      <c r="J178" s="411">
        <f>'d3'!K217</f>
        <v>0</v>
      </c>
      <c r="K178" s="182"/>
      <c r="L178" s="182"/>
      <c r="M178" s="182"/>
    </row>
    <row r="179" spans="1:13" ht="276" thickTop="1" thickBot="1" x14ac:dyDescent="0.25">
      <c r="A179" s="457" t="s">
        <v>47</v>
      </c>
      <c r="B179" s="457" t="s">
        <v>193</v>
      </c>
      <c r="C179" s="457" t="s">
        <v>200</v>
      </c>
      <c r="D179" s="457" t="s">
        <v>355</v>
      </c>
      <c r="E179" s="418" t="s">
        <v>1334</v>
      </c>
      <c r="F179" s="411" t="s">
        <v>1215</v>
      </c>
      <c r="G179" s="411">
        <f t="shared" si="23"/>
        <v>53300</v>
      </c>
      <c r="H179" s="411">
        <f>'d3'!E219</f>
        <v>53300</v>
      </c>
      <c r="I179" s="550">
        <f>'d3'!J219</f>
        <v>0</v>
      </c>
      <c r="J179" s="411">
        <f>'d3'!K219</f>
        <v>0</v>
      </c>
      <c r="K179" s="182"/>
      <c r="L179" s="182"/>
      <c r="M179" s="182"/>
    </row>
    <row r="180" spans="1:13" ht="276" thickTop="1" thickBot="1" x14ac:dyDescent="0.25">
      <c r="A180" s="457" t="s">
        <v>28</v>
      </c>
      <c r="B180" s="457" t="s">
        <v>197</v>
      </c>
      <c r="C180" s="457" t="s">
        <v>200</v>
      </c>
      <c r="D180" s="457" t="s">
        <v>48</v>
      </c>
      <c r="E180" s="418" t="s">
        <v>1334</v>
      </c>
      <c r="F180" s="411" t="s">
        <v>1215</v>
      </c>
      <c r="G180" s="411">
        <f t="shared" si="23"/>
        <v>74312975.079999998</v>
      </c>
      <c r="H180" s="411">
        <f>'d3'!E221-H181</f>
        <v>60711152</v>
      </c>
      <c r="I180" s="550">
        <f>'d3'!J221-I181</f>
        <v>13601823.08</v>
      </c>
      <c r="J180" s="411">
        <f>'d3'!K221-J181</f>
        <v>11808201.08</v>
      </c>
      <c r="K180" s="182"/>
      <c r="L180" s="182"/>
      <c r="M180" s="182"/>
    </row>
    <row r="181" spans="1:13" ht="184.5" hidden="1" thickTop="1" thickBot="1" x14ac:dyDescent="0.25">
      <c r="A181" s="171" t="s">
        <v>28</v>
      </c>
      <c r="B181" s="171" t="s">
        <v>197</v>
      </c>
      <c r="C181" s="171" t="s">
        <v>200</v>
      </c>
      <c r="D181" s="171" t="s">
        <v>48</v>
      </c>
      <c r="E181" s="315" t="s">
        <v>456</v>
      </c>
      <c r="F181" s="196" t="s">
        <v>457</v>
      </c>
      <c r="G181" s="244">
        <f>H181+I181</f>
        <v>0</v>
      </c>
      <c r="H181" s="316">
        <v>0</v>
      </c>
      <c r="I181" s="244">
        <v>0</v>
      </c>
      <c r="J181" s="244">
        <v>0</v>
      </c>
      <c r="K181" s="182"/>
      <c r="L181" s="182"/>
      <c r="M181" s="182"/>
    </row>
    <row r="182" spans="1:13" ht="276" thickTop="1" thickBot="1" x14ac:dyDescent="0.25">
      <c r="A182" s="457" t="s">
        <v>29</v>
      </c>
      <c r="B182" s="457" t="s">
        <v>198</v>
      </c>
      <c r="C182" s="457" t="s">
        <v>200</v>
      </c>
      <c r="D182" s="457" t="s">
        <v>49</v>
      </c>
      <c r="E182" s="418" t="s">
        <v>1334</v>
      </c>
      <c r="F182" s="411" t="s">
        <v>1215</v>
      </c>
      <c r="G182" s="411">
        <f t="shared" ref="G182:G191" si="24">H182+I182</f>
        <v>6424339</v>
      </c>
      <c r="H182" s="411">
        <f>'d3'!E222</f>
        <v>6424339</v>
      </c>
      <c r="I182" s="550">
        <f>'d3'!J222</f>
        <v>0</v>
      </c>
      <c r="J182" s="411">
        <f>'d3'!K222</f>
        <v>0</v>
      </c>
      <c r="K182" s="182"/>
      <c r="L182" s="182"/>
      <c r="M182" s="182"/>
    </row>
    <row r="183" spans="1:13" ht="276" thickTop="1" thickBot="1" x14ac:dyDescent="0.25">
      <c r="A183" s="515" t="s">
        <v>30</v>
      </c>
      <c r="B183" s="515" t="s">
        <v>199</v>
      </c>
      <c r="C183" s="515" t="s">
        <v>200</v>
      </c>
      <c r="D183" s="457" t="s">
        <v>31</v>
      </c>
      <c r="E183" s="418" t="s">
        <v>1334</v>
      </c>
      <c r="F183" s="411" t="s">
        <v>1215</v>
      </c>
      <c r="G183" s="411">
        <f t="shared" si="24"/>
        <v>1068095</v>
      </c>
      <c r="H183" s="411">
        <f>'d3'!E224</f>
        <v>1068095</v>
      </c>
      <c r="I183" s="550">
        <f>'d3'!J224</f>
        <v>0</v>
      </c>
      <c r="J183" s="411">
        <f>'d3'!K224</f>
        <v>0</v>
      </c>
      <c r="K183" s="182"/>
      <c r="L183" s="182"/>
      <c r="M183" s="182"/>
    </row>
    <row r="184" spans="1:13" ht="276" thickTop="1" thickBot="1" x14ac:dyDescent="0.25">
      <c r="A184" s="515" t="s">
        <v>519</v>
      </c>
      <c r="B184" s="515" t="s">
        <v>517</v>
      </c>
      <c r="C184" s="515" t="s">
        <v>200</v>
      </c>
      <c r="D184" s="457" t="s">
        <v>518</v>
      </c>
      <c r="E184" s="418" t="s">
        <v>1334</v>
      </c>
      <c r="F184" s="411" t="s">
        <v>1215</v>
      </c>
      <c r="G184" s="411">
        <f t="shared" si="24"/>
        <v>3791300</v>
      </c>
      <c r="H184" s="411">
        <f>'d3'!E225</f>
        <v>3791300</v>
      </c>
      <c r="I184" s="550">
        <f>'d3'!J225</f>
        <v>0</v>
      </c>
      <c r="J184" s="550">
        <f>'d3'!K225</f>
        <v>0</v>
      </c>
      <c r="K184" s="182"/>
      <c r="L184" s="182"/>
      <c r="M184" s="182"/>
    </row>
    <row r="185" spans="1:13" ht="276" thickTop="1" thickBot="1" x14ac:dyDescent="0.25">
      <c r="A185" s="515" t="s">
        <v>32</v>
      </c>
      <c r="B185" s="515" t="s">
        <v>201</v>
      </c>
      <c r="C185" s="515" t="s">
        <v>200</v>
      </c>
      <c r="D185" s="457" t="s">
        <v>33</v>
      </c>
      <c r="E185" s="418" t="s">
        <v>1334</v>
      </c>
      <c r="F185" s="411" t="s">
        <v>1215</v>
      </c>
      <c r="G185" s="411">
        <f t="shared" si="24"/>
        <v>1923774</v>
      </c>
      <c r="H185" s="411">
        <f>'d3'!E226</f>
        <v>1873774</v>
      </c>
      <c r="I185" s="550">
        <f>'d3'!J226</f>
        <v>50000</v>
      </c>
      <c r="J185" s="411">
        <f>'d3'!K226</f>
        <v>0</v>
      </c>
      <c r="K185" s="182"/>
      <c r="L185" s="182"/>
      <c r="M185" s="182"/>
    </row>
    <row r="186" spans="1:13" ht="276" thickTop="1" thickBot="1" x14ac:dyDescent="0.25">
      <c r="A186" s="515" t="s">
        <v>348</v>
      </c>
      <c r="B186" s="515" t="s">
        <v>347</v>
      </c>
      <c r="C186" s="515" t="s">
        <v>346</v>
      </c>
      <c r="D186" s="457" t="s">
        <v>651</v>
      </c>
      <c r="E186" s="418" t="s">
        <v>1334</v>
      </c>
      <c r="F186" s="411" t="s">
        <v>1215</v>
      </c>
      <c r="G186" s="411">
        <f t="shared" si="24"/>
        <v>39000</v>
      </c>
      <c r="H186" s="411">
        <f>'d3'!E229</f>
        <v>39000</v>
      </c>
      <c r="I186" s="550">
        <f>'d3'!J229</f>
        <v>0</v>
      </c>
      <c r="J186" s="550">
        <f>'d3'!K229</f>
        <v>0</v>
      </c>
      <c r="K186" s="182"/>
      <c r="L186" s="182"/>
      <c r="M186" s="182"/>
    </row>
    <row r="187" spans="1:13" ht="276" thickTop="1" thickBot="1" x14ac:dyDescent="0.25">
      <c r="A187" s="457" t="s">
        <v>1144</v>
      </c>
      <c r="B187" s="457" t="s">
        <v>319</v>
      </c>
      <c r="C187" s="457" t="s">
        <v>310</v>
      </c>
      <c r="D187" s="457" t="s">
        <v>1335</v>
      </c>
      <c r="E187" s="418" t="s">
        <v>1334</v>
      </c>
      <c r="F187" s="411" t="s">
        <v>1215</v>
      </c>
      <c r="G187" s="411">
        <f t="shared" si="24"/>
        <v>0</v>
      </c>
      <c r="H187" s="411">
        <f>'d3'!E233</f>
        <v>0</v>
      </c>
      <c r="I187" s="550">
        <f>'d3'!J233</f>
        <v>0</v>
      </c>
      <c r="J187" s="550">
        <f>'d3'!K233</f>
        <v>0</v>
      </c>
      <c r="K187" s="182"/>
      <c r="L187" s="182"/>
      <c r="M187" s="182"/>
    </row>
    <row r="188" spans="1:13" s="761" customFormat="1" ht="276" thickTop="1" thickBot="1" x14ac:dyDescent="0.25">
      <c r="A188" s="757" t="s">
        <v>1470</v>
      </c>
      <c r="B188" s="757" t="s">
        <v>217</v>
      </c>
      <c r="C188" s="757" t="s">
        <v>218</v>
      </c>
      <c r="D188" s="757" t="s">
        <v>41</v>
      </c>
      <c r="E188" s="418" t="s">
        <v>1334</v>
      </c>
      <c r="F188" s="758" t="s">
        <v>1215</v>
      </c>
      <c r="G188" s="758">
        <f t="shared" si="24"/>
        <v>4229000</v>
      </c>
      <c r="H188" s="758">
        <f>'d3'!E235</f>
        <v>0</v>
      </c>
      <c r="I188" s="550">
        <f>'d3'!J235</f>
        <v>4229000</v>
      </c>
      <c r="J188" s="550">
        <f>'d3'!K235</f>
        <v>4229000</v>
      </c>
      <c r="K188" s="182"/>
      <c r="L188" s="182"/>
      <c r="M188" s="182"/>
    </row>
    <row r="189" spans="1:13" ht="276" hidden="1" thickTop="1" thickBot="1" x14ac:dyDescent="0.25">
      <c r="A189" s="171" t="s">
        <v>618</v>
      </c>
      <c r="B189" s="171" t="s">
        <v>202</v>
      </c>
      <c r="C189" s="171" t="s">
        <v>171</v>
      </c>
      <c r="D189" s="171" t="s">
        <v>34</v>
      </c>
      <c r="E189" s="315" t="s">
        <v>1334</v>
      </c>
      <c r="F189" s="244" t="s">
        <v>1215</v>
      </c>
      <c r="G189" s="244">
        <f t="shared" ref="G189" si="25">H189+I189</f>
        <v>0</v>
      </c>
      <c r="H189" s="244">
        <f>'d3'!E236</f>
        <v>0</v>
      </c>
      <c r="I189" s="333">
        <f>'d3'!J236</f>
        <v>0</v>
      </c>
      <c r="J189" s="333">
        <f>'d3'!K236</f>
        <v>0</v>
      </c>
      <c r="K189" s="182"/>
      <c r="L189" s="182"/>
      <c r="M189" s="182"/>
    </row>
    <row r="190" spans="1:13" ht="276" thickTop="1" thickBot="1" x14ac:dyDescent="0.25">
      <c r="A190" s="515" t="s">
        <v>464</v>
      </c>
      <c r="B190" s="515" t="s">
        <v>466</v>
      </c>
      <c r="C190" s="515" t="s">
        <v>50</v>
      </c>
      <c r="D190" s="457" t="s">
        <v>463</v>
      </c>
      <c r="E190" s="418" t="s">
        <v>1334</v>
      </c>
      <c r="F190" s="411" t="s">
        <v>1215</v>
      </c>
      <c r="G190" s="411">
        <f t="shared" si="24"/>
        <v>650000</v>
      </c>
      <c r="H190" s="411">
        <f>'d4'!F17</f>
        <v>390000</v>
      </c>
      <c r="I190" s="550">
        <f>'d4'!G17</f>
        <v>260000</v>
      </c>
      <c r="J190" s="550">
        <f>'d4'!H17</f>
        <v>0</v>
      </c>
      <c r="K190" s="421"/>
      <c r="L190" s="421"/>
      <c r="M190" s="421"/>
    </row>
    <row r="191" spans="1:13" ht="321.75" hidden="1" thickTop="1" thickBot="1" x14ac:dyDescent="0.25">
      <c r="A191" s="44" t="s">
        <v>1153</v>
      </c>
      <c r="B191" s="44" t="s">
        <v>369</v>
      </c>
      <c r="C191" s="44" t="s">
        <v>43</v>
      </c>
      <c r="D191" s="44" t="s">
        <v>370</v>
      </c>
      <c r="E191" s="318" t="s">
        <v>596</v>
      </c>
      <c r="F191" s="77" t="s">
        <v>414</v>
      </c>
      <c r="G191" s="77">
        <f t="shared" si="24"/>
        <v>0</v>
      </c>
      <c r="H191" s="77">
        <f>'d3'!E239</f>
        <v>0</v>
      </c>
      <c r="I191" s="334">
        <f>'d3'!J239</f>
        <v>0</v>
      </c>
      <c r="J191" s="334">
        <f>'d3'!K239</f>
        <v>0</v>
      </c>
      <c r="K191" s="421"/>
      <c r="L191" s="421"/>
      <c r="M191" s="421"/>
    </row>
    <row r="192" spans="1:13" ht="136.5" thickTop="1" thickBot="1" x14ac:dyDescent="0.25">
      <c r="A192" s="472" t="s">
        <v>159</v>
      </c>
      <c r="B192" s="472"/>
      <c r="C192" s="472"/>
      <c r="D192" s="473" t="s">
        <v>569</v>
      </c>
      <c r="E192" s="472"/>
      <c r="F192" s="472"/>
      <c r="G192" s="474">
        <f>G193</f>
        <v>35777784.869999997</v>
      </c>
      <c r="H192" s="474">
        <f t="shared" ref="H192:J192" si="26">H193</f>
        <v>13146470</v>
      </c>
      <c r="I192" s="474">
        <f t="shared" si="26"/>
        <v>22631314.870000001</v>
      </c>
      <c r="J192" s="474">
        <f t="shared" si="26"/>
        <v>22151589</v>
      </c>
      <c r="K192" s="111" t="b">
        <f>H192='d3'!E240-'d3'!E243+'d7'!H194</f>
        <v>1</v>
      </c>
      <c r="L192" s="111" t="b">
        <f>I192='d3'!J240-'d3'!J243+I194</f>
        <v>1</v>
      </c>
      <c r="M192" s="111" t="b">
        <f>J192='d3'!K240-'d3'!K243+J194</f>
        <v>1</v>
      </c>
    </row>
    <row r="193" spans="1:13" ht="136.5" thickTop="1" thickBot="1" x14ac:dyDescent="0.25">
      <c r="A193" s="476" t="s">
        <v>160</v>
      </c>
      <c r="B193" s="476"/>
      <c r="C193" s="476"/>
      <c r="D193" s="477" t="s">
        <v>570</v>
      </c>
      <c r="E193" s="478"/>
      <c r="F193" s="478"/>
      <c r="G193" s="478">
        <f>SUM(G194:G211)</f>
        <v>35777784.869999997</v>
      </c>
      <c r="H193" s="478">
        <f>SUM(H194:H211)</f>
        <v>13146470</v>
      </c>
      <c r="I193" s="478">
        <f>SUM(I194:I211)</f>
        <v>22631314.870000001</v>
      </c>
      <c r="J193" s="478">
        <f>SUM(J194:J211)</f>
        <v>22151589</v>
      </c>
      <c r="K193" s="182"/>
      <c r="L193" s="182"/>
      <c r="M193" s="182"/>
    </row>
    <row r="194" spans="1:13" ht="184.5" hidden="1" thickTop="1" thickBot="1" x14ac:dyDescent="0.25">
      <c r="A194" s="171" t="s">
        <v>427</v>
      </c>
      <c r="B194" s="171" t="s">
        <v>241</v>
      </c>
      <c r="C194" s="171" t="s">
        <v>239</v>
      </c>
      <c r="D194" s="171" t="s">
        <v>240</v>
      </c>
      <c r="E194" s="315" t="s">
        <v>1063</v>
      </c>
      <c r="F194" s="244" t="s">
        <v>870</v>
      </c>
      <c r="G194" s="244">
        <f t="shared" ref="G194:G245" si="27">H194+I194</f>
        <v>0</v>
      </c>
      <c r="H194" s="316">
        <v>0</v>
      </c>
      <c r="I194" s="333"/>
      <c r="J194" s="333"/>
      <c r="K194" s="182"/>
      <c r="L194" s="182"/>
      <c r="M194" s="182"/>
    </row>
    <row r="195" spans="1:13" ht="367.5" thickTop="1" thickBot="1" x14ac:dyDescent="0.25">
      <c r="A195" s="558" t="s">
        <v>639</v>
      </c>
      <c r="B195" s="558" t="s">
        <v>368</v>
      </c>
      <c r="C195" s="558" t="s">
        <v>637</v>
      </c>
      <c r="D195" s="558" t="s">
        <v>638</v>
      </c>
      <c r="E195" s="418" t="s">
        <v>1395</v>
      </c>
      <c r="F195" s="411" t="s">
        <v>1396</v>
      </c>
      <c r="G195" s="411">
        <f t="shared" si="27"/>
        <v>12000</v>
      </c>
      <c r="H195" s="419">
        <f>'d3'!E244</f>
        <v>12000</v>
      </c>
      <c r="I195" s="550">
        <v>0</v>
      </c>
      <c r="J195" s="550">
        <v>0</v>
      </c>
      <c r="K195" s="182"/>
      <c r="L195" s="182"/>
      <c r="M195" s="182"/>
    </row>
    <row r="196" spans="1:13" ht="230.25" hidden="1" thickTop="1" thickBot="1" x14ac:dyDescent="0.25">
      <c r="A196" s="171" t="s">
        <v>1190</v>
      </c>
      <c r="B196" s="171" t="s">
        <v>43</v>
      </c>
      <c r="C196" s="171" t="s">
        <v>42</v>
      </c>
      <c r="D196" s="171" t="s">
        <v>253</v>
      </c>
      <c r="E196" s="315" t="s">
        <v>1287</v>
      </c>
      <c r="F196" s="244" t="s">
        <v>1220</v>
      </c>
      <c r="G196" s="244">
        <f t="shared" ref="G196" si="28">H196+I196</f>
        <v>0</v>
      </c>
      <c r="H196" s="316">
        <f>'d3'!E245</f>
        <v>0</v>
      </c>
      <c r="I196" s="333">
        <v>0</v>
      </c>
      <c r="J196" s="333">
        <v>0</v>
      </c>
      <c r="K196" s="182"/>
      <c r="L196" s="182"/>
      <c r="M196" s="182"/>
    </row>
    <row r="197" spans="1:13" ht="230.25" thickTop="1" thickBot="1" x14ac:dyDescent="0.25">
      <c r="A197" s="497" t="s">
        <v>285</v>
      </c>
      <c r="B197" s="497" t="s">
        <v>286</v>
      </c>
      <c r="C197" s="497" t="s">
        <v>346</v>
      </c>
      <c r="D197" s="497" t="s">
        <v>287</v>
      </c>
      <c r="E197" s="418" t="s">
        <v>1287</v>
      </c>
      <c r="F197" s="411" t="s">
        <v>1220</v>
      </c>
      <c r="G197" s="557">
        <f t="shared" si="27"/>
        <v>4119055</v>
      </c>
      <c r="H197" s="557">
        <f>0+150000</f>
        <v>150000</v>
      </c>
      <c r="I197" s="557">
        <f>(745000)+3224055</f>
        <v>3969055</v>
      </c>
      <c r="J197" s="742">
        <f>(745000)+3224055</f>
        <v>3969055</v>
      </c>
      <c r="K197" s="111" t="b">
        <f>H197+H198='d3'!E248</f>
        <v>1</v>
      </c>
      <c r="L197" s="112" t="b">
        <f>I197+I198='d3'!J248</f>
        <v>1</v>
      </c>
      <c r="M197" s="112" t="b">
        <f>J197+J198='d3'!K248</f>
        <v>1</v>
      </c>
    </row>
    <row r="198" spans="1:13" ht="276" customHeight="1" thickTop="1" thickBot="1" x14ac:dyDescent="0.25">
      <c r="A198" s="497" t="s">
        <v>285</v>
      </c>
      <c r="B198" s="497" t="s">
        <v>286</v>
      </c>
      <c r="C198" s="497" t="s">
        <v>346</v>
      </c>
      <c r="D198" s="497" t="s">
        <v>287</v>
      </c>
      <c r="E198" s="469" t="s">
        <v>1349</v>
      </c>
      <c r="F198" s="469" t="s">
        <v>594</v>
      </c>
      <c r="G198" s="557">
        <f t="shared" si="27"/>
        <v>1833100</v>
      </c>
      <c r="H198" s="419">
        <v>1833100</v>
      </c>
      <c r="I198" s="550">
        <v>0</v>
      </c>
      <c r="J198" s="550">
        <v>0</v>
      </c>
      <c r="K198" s="182"/>
      <c r="L198" s="182"/>
      <c r="M198" s="182"/>
    </row>
    <row r="199" spans="1:13" ht="230.25" thickTop="1" thickBot="1" x14ac:dyDescent="0.25">
      <c r="A199" s="558" t="s">
        <v>307</v>
      </c>
      <c r="B199" s="558" t="s">
        <v>308</v>
      </c>
      <c r="C199" s="558" t="s">
        <v>288</v>
      </c>
      <c r="D199" s="558" t="s">
        <v>309</v>
      </c>
      <c r="E199" s="418" t="s">
        <v>1287</v>
      </c>
      <c r="F199" s="411" t="s">
        <v>1220</v>
      </c>
      <c r="G199" s="411">
        <f t="shared" si="27"/>
        <v>10237500</v>
      </c>
      <c r="H199" s="419">
        <f>'d3'!E249</f>
        <v>0</v>
      </c>
      <c r="I199" s="550">
        <f>'d3'!J249</f>
        <v>10237500</v>
      </c>
      <c r="J199" s="550">
        <f>'d3'!K249</f>
        <v>10237500</v>
      </c>
      <c r="K199" s="182"/>
      <c r="L199" s="182"/>
      <c r="M199" s="182"/>
    </row>
    <row r="200" spans="1:13" ht="230.25" hidden="1" thickTop="1" thickBot="1" x14ac:dyDescent="0.25">
      <c r="A200" s="951" t="s">
        <v>289</v>
      </c>
      <c r="B200" s="951" t="s">
        <v>290</v>
      </c>
      <c r="C200" s="951" t="s">
        <v>288</v>
      </c>
      <c r="D200" s="951" t="s">
        <v>473</v>
      </c>
      <c r="E200" s="315" t="s">
        <v>1287</v>
      </c>
      <c r="F200" s="244" t="s">
        <v>1220</v>
      </c>
      <c r="G200" s="244">
        <f t="shared" si="27"/>
        <v>0</v>
      </c>
      <c r="H200" s="335">
        <f>'d3'!E250-H201</f>
        <v>0</v>
      </c>
      <c r="I200" s="333">
        <f>'d3'!J250-'d7'!I201</f>
        <v>0</v>
      </c>
      <c r="J200" s="333">
        <f>'d3'!K250-'d7'!J201</f>
        <v>0</v>
      </c>
      <c r="K200" s="182"/>
      <c r="L200" s="182"/>
      <c r="M200" s="182"/>
    </row>
    <row r="201" spans="1:13" ht="47.25" hidden="1" thickTop="1" thickBot="1" x14ac:dyDescent="0.25">
      <c r="A201" s="952"/>
      <c r="B201" s="952"/>
      <c r="C201" s="952"/>
      <c r="D201" s="952"/>
      <c r="E201" s="315"/>
      <c r="F201" s="244"/>
      <c r="G201" s="244">
        <f t="shared" si="27"/>
        <v>0</v>
      </c>
      <c r="H201" s="335">
        <v>0</v>
      </c>
      <c r="I201" s="334">
        <v>0</v>
      </c>
      <c r="J201" s="334">
        <v>0</v>
      </c>
      <c r="K201" s="182"/>
      <c r="L201" s="182"/>
      <c r="M201" s="182"/>
    </row>
    <row r="202" spans="1:13" ht="230.25" thickTop="1" thickBot="1" x14ac:dyDescent="0.25">
      <c r="A202" s="743" t="s">
        <v>945</v>
      </c>
      <c r="B202" s="743" t="s">
        <v>303</v>
      </c>
      <c r="C202" s="743" t="s">
        <v>288</v>
      </c>
      <c r="D202" s="743" t="s">
        <v>304</v>
      </c>
      <c r="E202" s="418" t="s">
        <v>1462</v>
      </c>
      <c r="F202" s="411"/>
      <c r="G202" s="411">
        <f t="shared" ref="G202:G204" si="29">H202+I202</f>
        <v>600000</v>
      </c>
      <c r="H202" s="419">
        <f>'d3'!E251</f>
        <v>600000</v>
      </c>
      <c r="I202" s="550">
        <f>'d3'!J251</f>
        <v>0</v>
      </c>
      <c r="J202" s="550">
        <f>'d3'!K251</f>
        <v>0</v>
      </c>
      <c r="K202" s="182"/>
      <c r="L202" s="182"/>
      <c r="M202" s="182"/>
    </row>
    <row r="203" spans="1:13" ht="230.25" thickTop="1" thickBot="1" x14ac:dyDescent="0.25">
      <c r="A203" s="743" t="s">
        <v>293</v>
      </c>
      <c r="B203" s="743" t="s">
        <v>294</v>
      </c>
      <c r="C203" s="743" t="s">
        <v>288</v>
      </c>
      <c r="D203" s="743" t="s">
        <v>295</v>
      </c>
      <c r="E203" s="418" t="s">
        <v>1287</v>
      </c>
      <c r="F203" s="411" t="s">
        <v>1220</v>
      </c>
      <c r="G203" s="411">
        <f t="shared" si="27"/>
        <v>3074000</v>
      </c>
      <c r="H203" s="419">
        <f>'d3'!E252</f>
        <v>0</v>
      </c>
      <c r="I203" s="550">
        <f>'d3'!J252</f>
        <v>3074000</v>
      </c>
      <c r="J203" s="550">
        <f>'d3'!K252</f>
        <v>3074000</v>
      </c>
      <c r="K203" s="182"/>
      <c r="L203" s="182"/>
      <c r="M203" s="182"/>
    </row>
    <row r="204" spans="1:13" s="561" customFormat="1" ht="321.75" thickTop="1" thickBot="1" x14ac:dyDescent="0.25">
      <c r="A204" s="558" t="s">
        <v>1348</v>
      </c>
      <c r="B204" s="558" t="s">
        <v>1196</v>
      </c>
      <c r="C204" s="558" t="s">
        <v>1197</v>
      </c>
      <c r="D204" s="558" t="s">
        <v>1194</v>
      </c>
      <c r="E204" s="418" t="s">
        <v>1383</v>
      </c>
      <c r="F204" s="411" t="s">
        <v>1384</v>
      </c>
      <c r="G204" s="411">
        <f t="shared" si="29"/>
        <v>2000000</v>
      </c>
      <c r="H204" s="571">
        <f>'d3'!E253</f>
        <v>2000000</v>
      </c>
      <c r="I204" s="572">
        <f>'d3'!J253</f>
        <v>0</v>
      </c>
      <c r="J204" s="572">
        <f>'d3'!K253</f>
        <v>0</v>
      </c>
      <c r="K204" s="182"/>
      <c r="L204" s="182"/>
      <c r="M204" s="182"/>
    </row>
    <row r="205" spans="1:13" ht="276" thickTop="1" thickBot="1" x14ac:dyDescent="0.25">
      <c r="A205" s="743" t="s">
        <v>1193</v>
      </c>
      <c r="B205" s="743" t="s">
        <v>311</v>
      </c>
      <c r="C205" s="743" t="s">
        <v>310</v>
      </c>
      <c r="D205" s="743" t="s">
        <v>1350</v>
      </c>
      <c r="E205" s="418" t="s">
        <v>1430</v>
      </c>
      <c r="F205" s="411"/>
      <c r="G205" s="411">
        <f t="shared" si="27"/>
        <v>4700000</v>
      </c>
      <c r="H205" s="571">
        <f>'d3'!E256</f>
        <v>0</v>
      </c>
      <c r="I205" s="572">
        <f>'d3'!J256</f>
        <v>4700000</v>
      </c>
      <c r="J205" s="572">
        <f>'d3'!K256</f>
        <v>4700000</v>
      </c>
      <c r="K205" s="182"/>
      <c r="L205" s="182"/>
      <c r="M205" s="182"/>
    </row>
    <row r="206" spans="1:13" ht="409.6" hidden="1" thickTop="1" thickBot="1" x14ac:dyDescent="0.25">
      <c r="A206" s="171" t="s">
        <v>302</v>
      </c>
      <c r="B206" s="171" t="s">
        <v>217</v>
      </c>
      <c r="C206" s="171" t="s">
        <v>218</v>
      </c>
      <c r="D206" s="171" t="s">
        <v>41</v>
      </c>
      <c r="E206" s="338" t="s">
        <v>1050</v>
      </c>
      <c r="F206" s="244" t="s">
        <v>597</v>
      </c>
      <c r="G206" s="329">
        <f>H206+I206</f>
        <v>0</v>
      </c>
      <c r="H206" s="329"/>
      <c r="I206" s="329">
        <v>0</v>
      </c>
      <c r="J206" s="329">
        <v>0</v>
      </c>
      <c r="K206" s="314" t="b">
        <f>H206+H207='d3'!E258</f>
        <v>1</v>
      </c>
      <c r="L206" s="321" t="b">
        <f>I206+I207='d3'!J258</f>
        <v>1</v>
      </c>
      <c r="M206" s="321" t="b">
        <f>J206+J207='d3'!K258</f>
        <v>1</v>
      </c>
    </row>
    <row r="207" spans="1:13" ht="184.5" thickTop="1" thickBot="1" x14ac:dyDescent="0.25">
      <c r="A207" s="497" t="s">
        <v>302</v>
      </c>
      <c r="B207" s="497" t="s">
        <v>217</v>
      </c>
      <c r="C207" s="497" t="s">
        <v>218</v>
      </c>
      <c r="D207" s="497" t="s">
        <v>41</v>
      </c>
      <c r="E207" s="418" t="s">
        <v>1049</v>
      </c>
      <c r="F207" s="411" t="s">
        <v>598</v>
      </c>
      <c r="G207" s="557">
        <f>H207+I207</f>
        <v>8551370</v>
      </c>
      <c r="H207" s="571">
        <f>(5844220)+2707150</f>
        <v>8551370</v>
      </c>
      <c r="I207" s="572">
        <v>0</v>
      </c>
      <c r="J207" s="572">
        <v>0</v>
      </c>
      <c r="K207" s="182"/>
      <c r="L207" s="182"/>
      <c r="M207" s="182"/>
    </row>
    <row r="208" spans="1:13" ht="230.25" thickTop="1" thickBot="1" x14ac:dyDescent="0.25">
      <c r="A208" s="558" t="s">
        <v>934</v>
      </c>
      <c r="B208" s="558" t="s">
        <v>202</v>
      </c>
      <c r="C208" s="558" t="s">
        <v>171</v>
      </c>
      <c r="D208" s="558" t="s">
        <v>34</v>
      </c>
      <c r="E208" s="418" t="s">
        <v>1287</v>
      </c>
      <c r="F208" s="411" t="s">
        <v>1220</v>
      </c>
      <c r="G208" s="411">
        <f t="shared" si="27"/>
        <v>171034</v>
      </c>
      <c r="H208" s="419">
        <f>'d3'!E259</f>
        <v>0</v>
      </c>
      <c r="I208" s="550">
        <f>'d3'!J259</f>
        <v>171034</v>
      </c>
      <c r="J208" s="550">
        <f>'d3'!K259</f>
        <v>171034</v>
      </c>
      <c r="K208" s="182"/>
      <c r="L208" s="182"/>
      <c r="M208" s="182"/>
    </row>
    <row r="209" spans="1:13" ht="282.75" customHeight="1" thickTop="1" thickBot="1" x14ac:dyDescent="0.7">
      <c r="A209" s="845" t="s">
        <v>430</v>
      </c>
      <c r="B209" s="845" t="s">
        <v>344</v>
      </c>
      <c r="C209" s="845" t="s">
        <v>171</v>
      </c>
      <c r="D209" s="86" t="s">
        <v>446</v>
      </c>
      <c r="E209" s="955" t="s">
        <v>1377</v>
      </c>
      <c r="F209" s="955" t="s">
        <v>1378</v>
      </c>
      <c r="G209" s="843">
        <f t="shared" si="27"/>
        <v>479725.87</v>
      </c>
      <c r="H209" s="843">
        <f>'d3'!E261</f>
        <v>0</v>
      </c>
      <c r="I209" s="843">
        <f>'d3'!J261</f>
        <v>479725.87</v>
      </c>
      <c r="J209" s="843">
        <f>'d3'!K261</f>
        <v>0</v>
      </c>
      <c r="K209" s="182"/>
      <c r="L209" s="182"/>
      <c r="M209" s="182"/>
    </row>
    <row r="210" spans="1:13" ht="184.5" thickTop="1" thickBot="1" x14ac:dyDescent="0.25">
      <c r="A210" s="846"/>
      <c r="B210" s="846"/>
      <c r="C210" s="846"/>
      <c r="D210" s="87" t="s">
        <v>447</v>
      </c>
      <c r="E210" s="956"/>
      <c r="F210" s="956"/>
      <c r="G210" s="941"/>
      <c r="H210" s="941"/>
      <c r="I210" s="941"/>
      <c r="J210" s="941"/>
      <c r="K210" s="182"/>
      <c r="L210" s="182"/>
      <c r="M210" s="182"/>
    </row>
    <row r="211" spans="1:13" ht="409.6" hidden="1" thickTop="1" thickBot="1" x14ac:dyDescent="0.25">
      <c r="A211" s="171" t="s">
        <v>1285</v>
      </c>
      <c r="B211" s="171" t="s">
        <v>1265</v>
      </c>
      <c r="C211" s="171" t="s">
        <v>1239</v>
      </c>
      <c r="D211" s="171" t="s">
        <v>1266</v>
      </c>
      <c r="E211" s="244" t="s">
        <v>1263</v>
      </c>
      <c r="F211" s="244" t="s">
        <v>872</v>
      </c>
      <c r="G211" s="329">
        <f>H211+I211</f>
        <v>0</v>
      </c>
      <c r="H211" s="336">
        <f>'d3'!E265</f>
        <v>0</v>
      </c>
      <c r="I211" s="337">
        <f>'d3'!J265</f>
        <v>0</v>
      </c>
      <c r="J211" s="337">
        <f>'d3'!K265</f>
        <v>0</v>
      </c>
      <c r="K211" s="182"/>
      <c r="L211" s="182"/>
      <c r="M211" s="182"/>
    </row>
    <row r="212" spans="1:13" ht="181.5" thickTop="1" thickBot="1" x14ac:dyDescent="0.25">
      <c r="A212" s="472" t="s">
        <v>548</v>
      </c>
      <c r="B212" s="472"/>
      <c r="C212" s="472"/>
      <c r="D212" s="473" t="s">
        <v>567</v>
      </c>
      <c r="E212" s="472"/>
      <c r="F212" s="472"/>
      <c r="G212" s="474">
        <f>H212+I212</f>
        <v>906287466.60000002</v>
      </c>
      <c r="H212" s="474">
        <f>H213</f>
        <v>528096414</v>
      </c>
      <c r="I212" s="474">
        <f>I213</f>
        <v>378191052.60000002</v>
      </c>
      <c r="J212" s="474">
        <f>J213</f>
        <v>378191052.60000002</v>
      </c>
      <c r="K212" s="111" t="b">
        <f>H212='d3'!E267-'d3'!E269+'d7'!H214</f>
        <v>1</v>
      </c>
      <c r="L212" s="111" t="b">
        <f>I212='d3'!J267-'d3'!J269+'d7'!I214</f>
        <v>1</v>
      </c>
      <c r="M212" s="111" t="b">
        <f>J212='d3'!K267-'d3'!K269+'d7'!J214</f>
        <v>1</v>
      </c>
    </row>
    <row r="213" spans="1:13" ht="207.75" customHeight="1" thickTop="1" thickBot="1" x14ac:dyDescent="0.25">
      <c r="A213" s="476" t="s">
        <v>549</v>
      </c>
      <c r="B213" s="476"/>
      <c r="C213" s="476"/>
      <c r="D213" s="477" t="s">
        <v>568</v>
      </c>
      <c r="E213" s="478"/>
      <c r="F213" s="478"/>
      <c r="G213" s="478">
        <f>SUM(G214:G245)</f>
        <v>906287466.60000002</v>
      </c>
      <c r="H213" s="478">
        <f>SUM(H214:H245)</f>
        <v>528096414</v>
      </c>
      <c r="I213" s="478">
        <f>SUM(I214:I245)</f>
        <v>378191052.60000002</v>
      </c>
      <c r="J213" s="478">
        <f>SUM(J214:J245)</f>
        <v>378191052.60000002</v>
      </c>
      <c r="K213" s="339"/>
      <c r="L213" s="182"/>
      <c r="M213" s="182"/>
    </row>
    <row r="214" spans="1:13" ht="184.5" thickTop="1" thickBot="1" x14ac:dyDescent="0.25">
      <c r="A214" s="733" t="s">
        <v>550</v>
      </c>
      <c r="B214" s="733" t="s">
        <v>241</v>
      </c>
      <c r="C214" s="733" t="s">
        <v>239</v>
      </c>
      <c r="D214" s="733" t="s">
        <v>240</v>
      </c>
      <c r="E214" s="418" t="s">
        <v>1063</v>
      </c>
      <c r="F214" s="411" t="s">
        <v>870</v>
      </c>
      <c r="G214" s="411">
        <f t="shared" si="27"/>
        <v>36120</v>
      </c>
      <c r="H214" s="411">
        <v>0</v>
      </c>
      <c r="I214" s="411">
        <v>36120</v>
      </c>
      <c r="J214" s="411">
        <v>36120</v>
      </c>
      <c r="K214" s="182"/>
      <c r="L214" s="182"/>
      <c r="M214" s="182"/>
    </row>
    <row r="215" spans="1:13" ht="367.5" hidden="1" thickTop="1" thickBot="1" x14ac:dyDescent="0.25">
      <c r="A215" s="171" t="s">
        <v>641</v>
      </c>
      <c r="B215" s="171" t="s">
        <v>368</v>
      </c>
      <c r="C215" s="171" t="s">
        <v>637</v>
      </c>
      <c r="D215" s="171" t="s">
        <v>638</v>
      </c>
      <c r="E215" s="315" t="s">
        <v>1227</v>
      </c>
      <c r="F215" s="244" t="s">
        <v>1228</v>
      </c>
      <c r="G215" s="244">
        <f t="shared" ref="G215" si="30">H215+I215</f>
        <v>0</v>
      </c>
      <c r="H215" s="316">
        <f>'d3'!E270</f>
        <v>0</v>
      </c>
      <c r="I215" s="333">
        <v>0</v>
      </c>
      <c r="J215" s="333">
        <v>0</v>
      </c>
      <c r="K215" s="182"/>
      <c r="L215" s="182"/>
      <c r="M215" s="182"/>
    </row>
    <row r="216" spans="1:13" ht="230.25" thickTop="1" thickBot="1" x14ac:dyDescent="0.25">
      <c r="A216" s="558" t="s">
        <v>551</v>
      </c>
      <c r="B216" s="558" t="s">
        <v>43</v>
      </c>
      <c r="C216" s="558" t="s">
        <v>42</v>
      </c>
      <c r="D216" s="558" t="s">
        <v>253</v>
      </c>
      <c r="E216" s="418" t="s">
        <v>1287</v>
      </c>
      <c r="F216" s="411" t="s">
        <v>1220</v>
      </c>
      <c r="G216" s="411">
        <f t="shared" si="27"/>
        <v>37065</v>
      </c>
      <c r="H216" s="411">
        <f>'d3'!E271</f>
        <v>37065</v>
      </c>
      <c r="I216" s="411">
        <f>'d3'!J271</f>
        <v>0</v>
      </c>
      <c r="J216" s="411">
        <f>'d3'!K271</f>
        <v>0</v>
      </c>
      <c r="K216" s="182"/>
      <c r="L216" s="182"/>
      <c r="M216" s="182"/>
    </row>
    <row r="217" spans="1:13" ht="205.5" customHeight="1" thickTop="1" thickBot="1" x14ac:dyDescent="0.25">
      <c r="A217" s="558" t="s">
        <v>552</v>
      </c>
      <c r="B217" s="558" t="s">
        <v>382</v>
      </c>
      <c r="C217" s="558" t="s">
        <v>288</v>
      </c>
      <c r="D217" s="558" t="s">
        <v>383</v>
      </c>
      <c r="E217" s="418" t="s">
        <v>1455</v>
      </c>
      <c r="F217" s="411"/>
      <c r="G217" s="411">
        <f t="shared" si="27"/>
        <v>100000000</v>
      </c>
      <c r="H217" s="419">
        <f>'d3'!E274</f>
        <v>100000000</v>
      </c>
      <c r="I217" s="550">
        <f>'d3'!J274</f>
        <v>0</v>
      </c>
      <c r="J217" s="550">
        <f>'d3'!K274</f>
        <v>0</v>
      </c>
      <c r="K217" s="182"/>
      <c r="L217" s="182"/>
      <c r="M217" s="182"/>
    </row>
    <row r="218" spans="1:13" ht="230.25" thickTop="1" thickBot="1" x14ac:dyDescent="0.25">
      <c r="A218" s="558" t="s">
        <v>553</v>
      </c>
      <c r="B218" s="558" t="s">
        <v>291</v>
      </c>
      <c r="C218" s="558" t="s">
        <v>288</v>
      </c>
      <c r="D218" s="558" t="s">
        <v>292</v>
      </c>
      <c r="E218" s="418" t="s">
        <v>1287</v>
      </c>
      <c r="F218" s="411" t="s">
        <v>1220</v>
      </c>
      <c r="G218" s="411">
        <f t="shared" si="27"/>
        <v>2000000</v>
      </c>
      <c r="H218" s="419">
        <v>0</v>
      </c>
      <c r="I218" s="550">
        <f>'d3'!J275</f>
        <v>2000000</v>
      </c>
      <c r="J218" s="550">
        <f>'d3'!K275</f>
        <v>2000000</v>
      </c>
      <c r="K218" s="111" t="b">
        <f>'d3'!E275='d7'!H218+'d7'!H219</f>
        <v>1</v>
      </c>
      <c r="L218" s="111" t="b">
        <f>'d3'!J275='d7'!I218+'d7'!I219</f>
        <v>1</v>
      </c>
      <c r="M218" s="111" t="b">
        <f>'d3'!K275='d7'!J218+'d7'!J219</f>
        <v>1</v>
      </c>
    </row>
    <row r="219" spans="1:13" s="745" customFormat="1" ht="230.25" thickTop="1" thickBot="1" x14ac:dyDescent="0.25">
      <c r="A219" s="743" t="s">
        <v>553</v>
      </c>
      <c r="B219" s="743" t="s">
        <v>291</v>
      </c>
      <c r="C219" s="743" t="s">
        <v>288</v>
      </c>
      <c r="D219" s="743" t="s">
        <v>292</v>
      </c>
      <c r="E219" s="418" t="s">
        <v>1456</v>
      </c>
      <c r="F219" s="411"/>
      <c r="G219" s="411">
        <f t="shared" si="27"/>
        <v>25050000</v>
      </c>
      <c r="H219" s="419">
        <v>25050000</v>
      </c>
      <c r="I219" s="550">
        <v>0</v>
      </c>
      <c r="J219" s="550">
        <v>0</v>
      </c>
      <c r="K219" s="182"/>
      <c r="L219" s="182"/>
      <c r="M219" s="182"/>
    </row>
    <row r="220" spans="1:13" ht="230.25" thickTop="1" thickBot="1" x14ac:dyDescent="0.25">
      <c r="A220" s="558" t="s">
        <v>554</v>
      </c>
      <c r="B220" s="558" t="s">
        <v>303</v>
      </c>
      <c r="C220" s="558" t="s">
        <v>288</v>
      </c>
      <c r="D220" s="558" t="s">
        <v>304</v>
      </c>
      <c r="E220" s="418" t="s">
        <v>1287</v>
      </c>
      <c r="F220" s="411" t="s">
        <v>1220</v>
      </c>
      <c r="G220" s="411">
        <f t="shared" si="27"/>
        <v>1300000</v>
      </c>
      <c r="H220" s="419">
        <f>'d3'!E276</f>
        <v>1300000</v>
      </c>
      <c r="I220" s="550">
        <f>'d3'!J276</f>
        <v>0</v>
      </c>
      <c r="J220" s="550">
        <f>'d3'!K276</f>
        <v>0</v>
      </c>
      <c r="K220" s="182"/>
      <c r="L220" s="182"/>
      <c r="M220" s="182"/>
    </row>
    <row r="221" spans="1:13" ht="138.75" hidden="1" customHeight="1" thickTop="1" thickBot="1" x14ac:dyDescent="0.25">
      <c r="A221" s="171"/>
      <c r="B221" s="171"/>
      <c r="C221" s="171"/>
      <c r="D221" s="171"/>
      <c r="E221" s="316" t="s">
        <v>890</v>
      </c>
      <c r="F221" s="244" t="s">
        <v>888</v>
      </c>
      <c r="G221" s="77"/>
      <c r="H221" s="319"/>
      <c r="I221" s="334"/>
      <c r="J221" s="334"/>
      <c r="K221" s="182"/>
      <c r="L221" s="182"/>
      <c r="M221" s="182"/>
    </row>
    <row r="222" spans="1:13" ht="184.5" thickTop="1" thickBot="1" x14ac:dyDescent="0.25">
      <c r="A222" s="497" t="s">
        <v>555</v>
      </c>
      <c r="B222" s="497">
        <v>6030</v>
      </c>
      <c r="C222" s="497" t="s">
        <v>288</v>
      </c>
      <c r="D222" s="497" t="s">
        <v>295</v>
      </c>
      <c r="E222" s="419" t="s">
        <v>1351</v>
      </c>
      <c r="F222" s="469" t="s">
        <v>887</v>
      </c>
      <c r="G222" s="411">
        <f t="shared" si="27"/>
        <v>50000</v>
      </c>
      <c r="H222" s="419">
        <v>50000</v>
      </c>
      <c r="I222" s="550">
        <v>0</v>
      </c>
      <c r="J222" s="550">
        <v>0</v>
      </c>
      <c r="K222" s="182"/>
      <c r="L222" s="182"/>
      <c r="M222" s="182"/>
    </row>
    <row r="223" spans="1:13" ht="230.25" thickTop="1" thickBot="1" x14ac:dyDescent="0.25">
      <c r="A223" s="558" t="s">
        <v>555</v>
      </c>
      <c r="B223" s="558">
        <v>6030</v>
      </c>
      <c r="C223" s="558" t="s">
        <v>288</v>
      </c>
      <c r="D223" s="558" t="s">
        <v>295</v>
      </c>
      <c r="E223" s="418" t="s">
        <v>1287</v>
      </c>
      <c r="F223" s="411" t="s">
        <v>1220</v>
      </c>
      <c r="G223" s="411">
        <f t="shared" si="27"/>
        <v>310134087</v>
      </c>
      <c r="H223" s="419">
        <f>(316010087)-23469000-1000000+15000000</f>
        <v>306541087</v>
      </c>
      <c r="I223" s="550">
        <f>(250000)+1000000+1000000+1343000</f>
        <v>3593000</v>
      </c>
      <c r="J223" s="550">
        <f>(250000)+1000000+1000000+1343000</f>
        <v>3593000</v>
      </c>
      <c r="K223" s="111" t="b">
        <f>H222+H224+H223='d3'!E277</f>
        <v>1</v>
      </c>
      <c r="L223" s="111" t="b">
        <f>I222+I224+I223='d3'!J277</f>
        <v>1</v>
      </c>
      <c r="M223" s="111" t="b">
        <f>J222+J224+J223='d3'!K277</f>
        <v>1</v>
      </c>
    </row>
    <row r="224" spans="1:13" ht="276" thickTop="1" thickBot="1" x14ac:dyDescent="0.25">
      <c r="A224" s="558" t="s">
        <v>555</v>
      </c>
      <c r="B224" s="558">
        <v>6030</v>
      </c>
      <c r="C224" s="558" t="s">
        <v>288</v>
      </c>
      <c r="D224" s="558" t="s">
        <v>295</v>
      </c>
      <c r="E224" s="419" t="s">
        <v>1385</v>
      </c>
      <c r="F224" s="411" t="s">
        <v>1386</v>
      </c>
      <c r="G224" s="411">
        <f>H224+I224</f>
        <v>8787843</v>
      </c>
      <c r="H224" s="550">
        <v>8787843</v>
      </c>
      <c r="I224" s="550">
        <v>0</v>
      </c>
      <c r="J224" s="550">
        <v>0</v>
      </c>
      <c r="K224" s="182"/>
      <c r="L224" s="182"/>
      <c r="M224" s="182"/>
    </row>
    <row r="225" spans="1:13" ht="230.25" thickTop="1" thickBot="1" x14ac:dyDescent="0.25">
      <c r="A225" s="768" t="s">
        <v>1195</v>
      </c>
      <c r="B225" s="768" t="s">
        <v>1196</v>
      </c>
      <c r="C225" s="768" t="s">
        <v>1197</v>
      </c>
      <c r="D225" s="768" t="s">
        <v>1194</v>
      </c>
      <c r="E225" s="418" t="s">
        <v>1287</v>
      </c>
      <c r="F225" s="769" t="s">
        <v>1220</v>
      </c>
      <c r="G225" s="769">
        <f>H225+I225</f>
        <v>4049585</v>
      </c>
      <c r="H225" s="550">
        <f>'d3'!E278</f>
        <v>4049585</v>
      </c>
      <c r="I225" s="550">
        <f>'d3'!J278</f>
        <v>0</v>
      </c>
      <c r="J225" s="550">
        <f>'d3'!K278</f>
        <v>0</v>
      </c>
      <c r="K225" s="182"/>
      <c r="L225" s="182"/>
      <c r="M225" s="182"/>
    </row>
    <row r="226" spans="1:13" ht="230.25" thickTop="1" thickBot="1" x14ac:dyDescent="0.25">
      <c r="A226" s="743" t="s">
        <v>556</v>
      </c>
      <c r="B226" s="743" t="s">
        <v>311</v>
      </c>
      <c r="C226" s="743" t="s">
        <v>310</v>
      </c>
      <c r="D226" s="743" t="s">
        <v>476</v>
      </c>
      <c r="E226" s="418" t="s">
        <v>1287</v>
      </c>
      <c r="F226" s="411" t="s">
        <v>1220</v>
      </c>
      <c r="G226" s="411">
        <f t="shared" si="27"/>
        <v>226400</v>
      </c>
      <c r="H226" s="419">
        <f>'d3'!E281</f>
        <v>0</v>
      </c>
      <c r="I226" s="550">
        <f>'d3'!J281</f>
        <v>226400</v>
      </c>
      <c r="J226" s="550">
        <f>'d3'!K281</f>
        <v>226400</v>
      </c>
      <c r="K226" s="182"/>
      <c r="L226" s="182"/>
      <c r="M226" s="182"/>
    </row>
    <row r="227" spans="1:13" ht="230.25" thickTop="1" thickBot="1" x14ac:dyDescent="0.25">
      <c r="A227" s="558" t="s">
        <v>557</v>
      </c>
      <c r="B227" s="558" t="s">
        <v>299</v>
      </c>
      <c r="C227" s="558" t="s">
        <v>301</v>
      </c>
      <c r="D227" s="926" t="s">
        <v>300</v>
      </c>
      <c r="E227" s="418" t="s">
        <v>1287</v>
      </c>
      <c r="F227" s="411" t="s">
        <v>1220</v>
      </c>
      <c r="G227" s="411">
        <f>H227+I227</f>
        <v>154520290</v>
      </c>
      <c r="H227" s="419">
        <f>'d3'!E284</f>
        <v>78550400</v>
      </c>
      <c r="I227" s="550">
        <f>'d3'!J284</f>
        <v>75969890</v>
      </c>
      <c r="J227" s="550">
        <f>'d3'!K284</f>
        <v>75969890</v>
      </c>
      <c r="K227" s="182"/>
      <c r="L227" s="182"/>
      <c r="M227" s="182"/>
    </row>
    <row r="228" spans="1:13" ht="138.75" hidden="1" customHeight="1" thickTop="1" thickBot="1" x14ac:dyDescent="0.25">
      <c r="A228" s="558" t="s">
        <v>557</v>
      </c>
      <c r="B228" s="558" t="s">
        <v>299</v>
      </c>
      <c r="C228" s="558" t="s">
        <v>301</v>
      </c>
      <c r="D228" s="944"/>
      <c r="E228" s="419" t="s">
        <v>889</v>
      </c>
      <c r="F228" s="419" t="s">
        <v>906</v>
      </c>
      <c r="G228" s="411">
        <f t="shared" si="27"/>
        <v>0</v>
      </c>
      <c r="H228" s="419"/>
      <c r="I228" s="564"/>
      <c r="J228" s="564"/>
      <c r="K228" s="182"/>
      <c r="L228" s="182"/>
      <c r="M228" s="182"/>
    </row>
    <row r="229" spans="1:13" ht="230.25" thickTop="1" thickBot="1" x14ac:dyDescent="0.25">
      <c r="A229" s="558" t="s">
        <v>558</v>
      </c>
      <c r="B229" s="558" t="s">
        <v>217</v>
      </c>
      <c r="C229" s="558" t="s">
        <v>218</v>
      </c>
      <c r="D229" s="558" t="s">
        <v>41</v>
      </c>
      <c r="E229" s="418" t="s">
        <v>1219</v>
      </c>
      <c r="F229" s="411" t="s">
        <v>1220</v>
      </c>
      <c r="G229" s="419">
        <f t="shared" si="27"/>
        <v>16434368</v>
      </c>
      <c r="H229" s="419">
        <f>'d3'!E286</f>
        <v>0</v>
      </c>
      <c r="I229" s="419">
        <f>'d3'!J286</f>
        <v>16434368</v>
      </c>
      <c r="J229" s="419">
        <f>'d3'!K286</f>
        <v>16434368</v>
      </c>
      <c r="K229" s="182"/>
      <c r="L229" s="182"/>
      <c r="M229" s="182"/>
    </row>
    <row r="230" spans="1:13" s="745" customFormat="1" ht="230.25" thickTop="1" thickBot="1" x14ac:dyDescent="0.25">
      <c r="A230" s="743" t="s">
        <v>559</v>
      </c>
      <c r="B230" s="743" t="s">
        <v>202</v>
      </c>
      <c r="C230" s="743" t="s">
        <v>171</v>
      </c>
      <c r="D230" s="743" t="s">
        <v>34</v>
      </c>
      <c r="E230" s="418" t="s">
        <v>1455</v>
      </c>
      <c r="F230" s="411"/>
      <c r="G230" s="419">
        <f t="shared" si="27"/>
        <v>61402602</v>
      </c>
      <c r="H230" s="419">
        <v>0</v>
      </c>
      <c r="I230" s="419">
        <f>54600602+10000000-3198000</f>
        <v>61402602</v>
      </c>
      <c r="J230" s="419">
        <f>54600602+10000000-3198000</f>
        <v>61402602</v>
      </c>
      <c r="K230" s="111" t="b">
        <f>'d3'!E287='d7'!H230+'d7'!H231+'d7'!H232+'d7'!H233+'d7'!H234+'d7'!H235+'d7'!H236+'d7'!H237+'d7'!H238</f>
        <v>1</v>
      </c>
      <c r="L230" s="111" t="b">
        <f>'d3'!J287='d7'!I230+'d7'!I231+'d7'!I232+'d7'!I233+'d7'!I234+'d7'!I235+'d7'!I236+'d7'!I237+'d7'!I238</f>
        <v>1</v>
      </c>
      <c r="M230" s="111" t="b">
        <f>'d3'!K287='d7'!J230+'d7'!J231+'d7'!J232+'d7'!J233+'d7'!J234+'d7'!J235+'d7'!J236+'d7'!J237+'d7'!J238</f>
        <v>1</v>
      </c>
    </row>
    <row r="231" spans="1:13" s="745" customFormat="1" ht="230.25" thickTop="1" thickBot="1" x14ac:dyDescent="0.25">
      <c r="A231" s="743" t="s">
        <v>559</v>
      </c>
      <c r="B231" s="743" t="s">
        <v>202</v>
      </c>
      <c r="C231" s="743" t="s">
        <v>171</v>
      </c>
      <c r="D231" s="743" t="s">
        <v>34</v>
      </c>
      <c r="E231" s="418" t="s">
        <v>1456</v>
      </c>
      <c r="F231" s="411"/>
      <c r="G231" s="419">
        <f t="shared" si="27"/>
        <v>124838434.59999999</v>
      </c>
      <c r="H231" s="419">
        <v>0</v>
      </c>
      <c r="I231" s="419">
        <f>94960282.6+23987000+5891152</f>
        <v>124838434.59999999</v>
      </c>
      <c r="J231" s="419">
        <f>94960282.6+23987000+5891152</f>
        <v>124838434.59999999</v>
      </c>
      <c r="K231" s="182"/>
      <c r="L231" s="182"/>
      <c r="M231" s="182"/>
    </row>
    <row r="232" spans="1:13" s="745" customFormat="1" ht="276" thickTop="1" thickBot="1" x14ac:dyDescent="0.25">
      <c r="A232" s="743" t="s">
        <v>559</v>
      </c>
      <c r="B232" s="743" t="s">
        <v>202</v>
      </c>
      <c r="C232" s="743" t="s">
        <v>171</v>
      </c>
      <c r="D232" s="743" t="s">
        <v>34</v>
      </c>
      <c r="E232" s="418" t="s">
        <v>1457</v>
      </c>
      <c r="F232" s="411"/>
      <c r="G232" s="419">
        <f t="shared" si="27"/>
        <v>66573700</v>
      </c>
      <c r="H232" s="419">
        <v>0</v>
      </c>
      <c r="I232" s="419">
        <f>64481200+2092500</f>
        <v>66573700</v>
      </c>
      <c r="J232" s="419">
        <f>64481200+2092500</f>
        <v>66573700</v>
      </c>
      <c r="K232" s="182"/>
      <c r="L232" s="182"/>
      <c r="M232" s="182"/>
    </row>
    <row r="233" spans="1:13" s="745" customFormat="1" ht="276" thickTop="1" thickBot="1" x14ac:dyDescent="0.25">
      <c r="A233" s="743" t="s">
        <v>559</v>
      </c>
      <c r="B233" s="743" t="s">
        <v>202</v>
      </c>
      <c r="C233" s="743" t="s">
        <v>171</v>
      </c>
      <c r="D233" s="743" t="s">
        <v>34</v>
      </c>
      <c r="E233" s="418" t="s">
        <v>1458</v>
      </c>
      <c r="F233" s="411"/>
      <c r="G233" s="419">
        <f t="shared" si="27"/>
        <v>6525500</v>
      </c>
      <c r="H233" s="419">
        <v>0</v>
      </c>
      <c r="I233" s="419">
        <v>6525500</v>
      </c>
      <c r="J233" s="419">
        <v>6525500</v>
      </c>
      <c r="K233" s="182"/>
      <c r="L233" s="182"/>
      <c r="M233" s="182"/>
    </row>
    <row r="234" spans="1:13" s="745" customFormat="1" ht="230.25" thickTop="1" thickBot="1" x14ac:dyDescent="0.25">
      <c r="A234" s="743" t="s">
        <v>559</v>
      </c>
      <c r="B234" s="743" t="s">
        <v>202</v>
      </c>
      <c r="C234" s="743" t="s">
        <v>171</v>
      </c>
      <c r="D234" s="743" t="s">
        <v>34</v>
      </c>
      <c r="E234" s="418" t="s">
        <v>1459</v>
      </c>
      <c r="F234" s="411"/>
      <c r="G234" s="419">
        <f t="shared" si="27"/>
        <v>1888075</v>
      </c>
      <c r="H234" s="419">
        <v>0</v>
      </c>
      <c r="I234" s="419">
        <f>1258075+630000</f>
        <v>1888075</v>
      </c>
      <c r="J234" s="419">
        <f>1258075+630000</f>
        <v>1888075</v>
      </c>
      <c r="K234" s="182"/>
      <c r="L234" s="182"/>
      <c r="M234" s="182"/>
    </row>
    <row r="235" spans="1:13" s="745" customFormat="1" ht="230.25" thickTop="1" thickBot="1" x14ac:dyDescent="0.25">
      <c r="A235" s="743" t="s">
        <v>559</v>
      </c>
      <c r="B235" s="743" t="s">
        <v>202</v>
      </c>
      <c r="C235" s="743" t="s">
        <v>171</v>
      </c>
      <c r="D235" s="743" t="s">
        <v>34</v>
      </c>
      <c r="E235" s="418" t="s">
        <v>1460</v>
      </c>
      <c r="F235" s="411"/>
      <c r="G235" s="419">
        <f t="shared" si="27"/>
        <v>2323485</v>
      </c>
      <c r="H235" s="419">
        <v>0</v>
      </c>
      <c r="I235" s="419">
        <v>2323485</v>
      </c>
      <c r="J235" s="419">
        <v>2323485</v>
      </c>
      <c r="K235" s="182"/>
      <c r="L235" s="182"/>
      <c r="M235" s="182"/>
    </row>
    <row r="236" spans="1:13" s="745" customFormat="1" ht="230.25" thickTop="1" thickBot="1" x14ac:dyDescent="0.25">
      <c r="A236" s="743" t="s">
        <v>559</v>
      </c>
      <c r="B236" s="743" t="s">
        <v>202</v>
      </c>
      <c r="C236" s="743" t="s">
        <v>171</v>
      </c>
      <c r="D236" s="743" t="s">
        <v>34</v>
      </c>
      <c r="E236" s="418" t="s">
        <v>1461</v>
      </c>
      <c r="F236" s="411"/>
      <c r="G236" s="419">
        <f t="shared" si="27"/>
        <v>3271678</v>
      </c>
      <c r="H236" s="419">
        <v>0</v>
      </c>
      <c r="I236" s="419">
        <v>3271678</v>
      </c>
      <c r="J236" s="419">
        <v>3271678</v>
      </c>
      <c r="K236" s="182"/>
      <c r="L236" s="182"/>
      <c r="M236" s="182"/>
    </row>
    <row r="237" spans="1:13" s="745" customFormat="1" ht="184.5" thickTop="1" thickBot="1" x14ac:dyDescent="0.25">
      <c r="A237" s="743" t="s">
        <v>559</v>
      </c>
      <c r="B237" s="743" t="s">
        <v>202</v>
      </c>
      <c r="C237" s="743" t="s">
        <v>171</v>
      </c>
      <c r="D237" s="743" t="s">
        <v>34</v>
      </c>
      <c r="E237" s="418" t="s">
        <v>1463</v>
      </c>
      <c r="F237" s="411"/>
      <c r="G237" s="419">
        <f t="shared" si="27"/>
        <v>6100000</v>
      </c>
      <c r="H237" s="419">
        <v>0</v>
      </c>
      <c r="I237" s="419">
        <v>6100000</v>
      </c>
      <c r="J237" s="419">
        <v>6100000</v>
      </c>
      <c r="K237" s="182"/>
      <c r="L237" s="182"/>
      <c r="M237" s="182"/>
    </row>
    <row r="238" spans="1:13" s="745" customFormat="1" ht="184.5" thickTop="1" thickBot="1" x14ac:dyDescent="0.25">
      <c r="A238" s="743" t="s">
        <v>559</v>
      </c>
      <c r="B238" s="743" t="s">
        <v>202</v>
      </c>
      <c r="C238" s="743" t="s">
        <v>171</v>
      </c>
      <c r="D238" s="743" t="s">
        <v>34</v>
      </c>
      <c r="E238" s="418" t="s">
        <v>1464</v>
      </c>
      <c r="F238" s="411"/>
      <c r="G238" s="419">
        <f t="shared" si="27"/>
        <v>6007800</v>
      </c>
      <c r="H238" s="419">
        <v>0</v>
      </c>
      <c r="I238" s="419">
        <v>6007800</v>
      </c>
      <c r="J238" s="419">
        <v>6007800</v>
      </c>
      <c r="K238" s="182"/>
      <c r="L238" s="182"/>
      <c r="M238" s="182"/>
    </row>
    <row r="239" spans="1:13" ht="138.75" hidden="1" thickTop="1" thickBot="1" x14ac:dyDescent="0.25">
      <c r="A239" s="171" t="s">
        <v>559</v>
      </c>
      <c r="B239" s="171" t="s">
        <v>202</v>
      </c>
      <c r="C239" s="171" t="s">
        <v>171</v>
      </c>
      <c r="D239" s="171" t="s">
        <v>34</v>
      </c>
      <c r="E239" s="316" t="s">
        <v>890</v>
      </c>
      <c r="F239" s="244" t="s">
        <v>888</v>
      </c>
      <c r="G239" s="333">
        <f t="shared" si="27"/>
        <v>0</v>
      </c>
      <c r="H239" s="316">
        <v>0</v>
      </c>
      <c r="I239" s="333"/>
      <c r="J239" s="333"/>
      <c r="K239" s="182"/>
      <c r="L239" s="182"/>
      <c r="M239" s="182"/>
    </row>
    <row r="240" spans="1:13" ht="283.5" hidden="1" customHeight="1" thickTop="1" thickBot="1" x14ac:dyDescent="0.7">
      <c r="A240" s="838" t="s">
        <v>560</v>
      </c>
      <c r="B240" s="838" t="s">
        <v>344</v>
      </c>
      <c r="C240" s="838" t="s">
        <v>171</v>
      </c>
      <c r="D240" s="185" t="s">
        <v>446</v>
      </c>
      <c r="E240" s="838" t="s">
        <v>1211</v>
      </c>
      <c r="F240" s="838" t="s">
        <v>1212</v>
      </c>
      <c r="G240" s="823">
        <f t="shared" si="27"/>
        <v>0</v>
      </c>
      <c r="H240" s="823">
        <f>'d3'!E289</f>
        <v>0</v>
      </c>
      <c r="I240" s="823">
        <f>'d3'!J289</f>
        <v>0</v>
      </c>
      <c r="J240" s="823">
        <f>'d3'!K289</f>
        <v>0</v>
      </c>
      <c r="K240" s="182"/>
      <c r="L240" s="182"/>
      <c r="M240" s="182"/>
    </row>
    <row r="241" spans="1:13" ht="184.5" hidden="1" thickTop="1" thickBot="1" x14ac:dyDescent="0.25">
      <c r="A241" s="848"/>
      <c r="B241" s="848"/>
      <c r="C241" s="848"/>
      <c r="D241" s="187" t="s">
        <v>447</v>
      </c>
      <c r="E241" s="848" t="s">
        <v>1211</v>
      </c>
      <c r="F241" s="848" t="s">
        <v>1212</v>
      </c>
      <c r="G241" s="848">
        <f t="shared" si="27"/>
        <v>0</v>
      </c>
      <c r="H241" s="848"/>
      <c r="I241" s="848"/>
      <c r="J241" s="848"/>
      <c r="K241" s="182"/>
      <c r="L241" s="182"/>
      <c r="M241" s="182"/>
    </row>
    <row r="242" spans="1:13" ht="230.25" hidden="1" thickTop="1" thickBot="1" x14ac:dyDescent="0.25">
      <c r="A242" s="171" t="s">
        <v>1234</v>
      </c>
      <c r="B242" s="171" t="s">
        <v>262</v>
      </c>
      <c r="C242" s="171" t="s">
        <v>171</v>
      </c>
      <c r="D242" s="171" t="s">
        <v>260</v>
      </c>
      <c r="E242" s="315" t="s">
        <v>1287</v>
      </c>
      <c r="F242" s="244" t="s">
        <v>1220</v>
      </c>
      <c r="G242" s="333">
        <f t="shared" ref="G242" si="31">H242+I242</f>
        <v>0</v>
      </c>
      <c r="H242" s="316"/>
      <c r="I242" s="333"/>
      <c r="J242" s="333"/>
      <c r="K242" s="182"/>
      <c r="L242" s="182"/>
      <c r="M242" s="182"/>
    </row>
    <row r="243" spans="1:13" ht="409.6" thickTop="1" thickBot="1" x14ac:dyDescent="0.25">
      <c r="A243" s="558" t="s">
        <v>561</v>
      </c>
      <c r="B243" s="558" t="s">
        <v>525</v>
      </c>
      <c r="C243" s="558" t="s">
        <v>256</v>
      </c>
      <c r="D243" s="482" t="s">
        <v>526</v>
      </c>
      <c r="E243" s="419" t="s">
        <v>1268</v>
      </c>
      <c r="F243" s="411" t="s">
        <v>872</v>
      </c>
      <c r="G243" s="411">
        <f t="shared" si="27"/>
        <v>2500000</v>
      </c>
      <c r="H243" s="419">
        <f>'d3'!E294</f>
        <v>1500000</v>
      </c>
      <c r="I243" s="550">
        <f>'d3'!J294</f>
        <v>1000000</v>
      </c>
      <c r="J243" s="550">
        <f>'d3'!K294</f>
        <v>1000000</v>
      </c>
      <c r="K243" s="182"/>
      <c r="L243" s="182"/>
      <c r="M243" s="182"/>
    </row>
    <row r="244" spans="1:13" ht="409.6" thickTop="1" thickBot="1" x14ac:dyDescent="0.25">
      <c r="A244" s="558" t="s">
        <v>562</v>
      </c>
      <c r="B244" s="558" t="s">
        <v>255</v>
      </c>
      <c r="C244" s="558" t="s">
        <v>256</v>
      </c>
      <c r="D244" s="558" t="s">
        <v>254</v>
      </c>
      <c r="E244" s="419" t="s">
        <v>1268</v>
      </c>
      <c r="F244" s="411" t="s">
        <v>872</v>
      </c>
      <c r="G244" s="411">
        <f t="shared" si="27"/>
        <v>2230434</v>
      </c>
      <c r="H244" s="419">
        <f>'d3'!E295</f>
        <v>2230434</v>
      </c>
      <c r="I244" s="550">
        <f>'d3'!J295</f>
        <v>0</v>
      </c>
      <c r="J244" s="550">
        <f>'d3'!K295</f>
        <v>0</v>
      </c>
      <c r="K244" s="182"/>
      <c r="L244" s="182"/>
      <c r="M244" s="182"/>
    </row>
    <row r="245" spans="1:13" ht="409.6" hidden="1" thickTop="1" thickBot="1" x14ac:dyDescent="0.25">
      <c r="A245" s="44" t="s">
        <v>563</v>
      </c>
      <c r="B245" s="44" t="s">
        <v>564</v>
      </c>
      <c r="C245" s="44" t="s">
        <v>256</v>
      </c>
      <c r="D245" s="44" t="s">
        <v>565</v>
      </c>
      <c r="E245" s="319" t="s">
        <v>871</v>
      </c>
      <c r="F245" s="77" t="s">
        <v>872</v>
      </c>
      <c r="G245" s="77">
        <f t="shared" si="27"/>
        <v>0</v>
      </c>
      <c r="H245" s="319">
        <f>'d3'!E296</f>
        <v>0</v>
      </c>
      <c r="I245" s="334">
        <f>'d3'!J296</f>
        <v>0</v>
      </c>
      <c r="J245" s="334">
        <f>'d3'!K296</f>
        <v>0</v>
      </c>
      <c r="K245" s="182"/>
      <c r="L245" s="182"/>
      <c r="M245" s="182"/>
    </row>
    <row r="246" spans="1:13" ht="136.5" thickTop="1" thickBot="1" x14ac:dyDescent="0.25">
      <c r="A246" s="472" t="s">
        <v>25</v>
      </c>
      <c r="B246" s="472"/>
      <c r="C246" s="472"/>
      <c r="D246" s="473" t="s">
        <v>907</v>
      </c>
      <c r="E246" s="472"/>
      <c r="F246" s="472"/>
      <c r="G246" s="474">
        <f>G247</f>
        <v>73824701</v>
      </c>
      <c r="H246" s="474">
        <f>H247</f>
        <v>10000</v>
      </c>
      <c r="I246" s="474">
        <f>I247</f>
        <v>73814701</v>
      </c>
      <c r="J246" s="474">
        <f>J247</f>
        <v>73814701</v>
      </c>
      <c r="K246" s="182"/>
      <c r="L246" s="182"/>
      <c r="M246" s="182"/>
    </row>
    <row r="247" spans="1:13" ht="181.5" thickTop="1" thickBot="1" x14ac:dyDescent="0.25">
      <c r="A247" s="476" t="s">
        <v>26</v>
      </c>
      <c r="B247" s="476"/>
      <c r="C247" s="476"/>
      <c r="D247" s="477" t="s">
        <v>908</v>
      </c>
      <c r="E247" s="478"/>
      <c r="F247" s="478"/>
      <c r="G247" s="478">
        <f>SUM(G248:G261)</f>
        <v>73824701</v>
      </c>
      <c r="H247" s="478">
        <f>SUM(H248:H261)</f>
        <v>10000</v>
      </c>
      <c r="I247" s="478">
        <f t="shared" ref="I247:J247" si="32">SUM(I248:I261)</f>
        <v>73814701</v>
      </c>
      <c r="J247" s="478">
        <f t="shared" si="32"/>
        <v>73814701</v>
      </c>
      <c r="K247" s="111" t="b">
        <f>H247='d3'!E298-'d3'!E300</f>
        <v>1</v>
      </c>
      <c r="L247" s="112" t="b">
        <f>I247='d3'!J298</f>
        <v>1</v>
      </c>
      <c r="M247" s="112" t="b">
        <f>J247='d3'!K298</f>
        <v>1</v>
      </c>
    </row>
    <row r="248" spans="1:13" ht="367.5" thickTop="1" thickBot="1" x14ac:dyDescent="0.25">
      <c r="A248" s="558" t="s">
        <v>642</v>
      </c>
      <c r="B248" s="558" t="s">
        <v>368</v>
      </c>
      <c r="C248" s="558" t="s">
        <v>637</v>
      </c>
      <c r="D248" s="558" t="s">
        <v>638</v>
      </c>
      <c r="E248" s="418" t="s">
        <v>1395</v>
      </c>
      <c r="F248" s="411" t="s">
        <v>1396</v>
      </c>
      <c r="G248" s="411">
        <f t="shared" ref="G248:G250" si="33">H248+I248</f>
        <v>10000</v>
      </c>
      <c r="H248" s="419">
        <f>'d3'!E301</f>
        <v>10000</v>
      </c>
      <c r="I248" s="550">
        <v>0</v>
      </c>
      <c r="J248" s="550">
        <v>0</v>
      </c>
      <c r="K248" s="317"/>
      <c r="L248" s="317"/>
      <c r="M248" s="317"/>
    </row>
    <row r="249" spans="1:13" ht="184.5" hidden="1" thickTop="1" thickBot="1" x14ac:dyDescent="0.25">
      <c r="A249" s="171" t="s">
        <v>944</v>
      </c>
      <c r="B249" s="171" t="s">
        <v>43</v>
      </c>
      <c r="C249" s="171" t="s">
        <v>42</v>
      </c>
      <c r="D249" s="171" t="s">
        <v>253</v>
      </c>
      <c r="E249" s="315" t="s">
        <v>1191</v>
      </c>
      <c r="F249" s="244"/>
      <c r="G249" s="244">
        <f t="shared" si="33"/>
        <v>0</v>
      </c>
      <c r="H249" s="316">
        <f>'d3'!E302</f>
        <v>0</v>
      </c>
      <c r="I249" s="333">
        <f>'d3'!J302</f>
        <v>0</v>
      </c>
      <c r="J249" s="333">
        <f>'d3'!K302</f>
        <v>0</v>
      </c>
      <c r="K249" s="317"/>
      <c r="L249" s="317"/>
      <c r="M249" s="317"/>
    </row>
    <row r="250" spans="1:13" ht="184.5" thickTop="1" thickBot="1" x14ac:dyDescent="0.25">
      <c r="A250" s="558" t="s">
        <v>1289</v>
      </c>
      <c r="B250" s="558" t="s">
        <v>1252</v>
      </c>
      <c r="C250" s="558" t="s">
        <v>211</v>
      </c>
      <c r="D250" s="482" t="s">
        <v>1253</v>
      </c>
      <c r="E250" s="418" t="s">
        <v>1377</v>
      </c>
      <c r="F250" s="411" t="s">
        <v>1378</v>
      </c>
      <c r="G250" s="411">
        <f t="shared" si="33"/>
        <v>6050000</v>
      </c>
      <c r="H250" s="419">
        <f>'d3'!E304</f>
        <v>0</v>
      </c>
      <c r="I250" s="550">
        <f>'d3'!J304</f>
        <v>6050000</v>
      </c>
      <c r="J250" s="550">
        <f>'d3'!K304</f>
        <v>6050000</v>
      </c>
      <c r="K250" s="317"/>
      <c r="L250" s="317"/>
      <c r="M250" s="317"/>
    </row>
    <row r="251" spans="1:13" ht="321.75" thickTop="1" thickBot="1" x14ac:dyDescent="0.25">
      <c r="A251" s="558" t="s">
        <v>439</v>
      </c>
      <c r="B251" s="558" t="s">
        <v>440</v>
      </c>
      <c r="C251" s="558" t="s">
        <v>200</v>
      </c>
      <c r="D251" s="558" t="s">
        <v>1229</v>
      </c>
      <c r="E251" s="418" t="s">
        <v>1377</v>
      </c>
      <c r="F251" s="411" t="s">
        <v>1378</v>
      </c>
      <c r="G251" s="411">
        <f>H251+I251</f>
        <v>3000000</v>
      </c>
      <c r="H251" s="411">
        <f>'d3'!E307</f>
        <v>0</v>
      </c>
      <c r="I251" s="411">
        <f>'d3'!J307</f>
        <v>3000000</v>
      </c>
      <c r="J251" s="411">
        <f>'d3'!K307</f>
        <v>3000000</v>
      </c>
      <c r="K251" s="182"/>
      <c r="L251" s="182"/>
      <c r="M251" s="182"/>
    </row>
    <row r="252" spans="1:13" ht="184.5" thickTop="1" thickBot="1" x14ac:dyDescent="0.25">
      <c r="A252" s="558" t="s">
        <v>943</v>
      </c>
      <c r="B252" s="558" t="s">
        <v>311</v>
      </c>
      <c r="C252" s="558" t="s">
        <v>310</v>
      </c>
      <c r="D252" s="558" t="s">
        <v>1350</v>
      </c>
      <c r="E252" s="418" t="s">
        <v>1377</v>
      </c>
      <c r="F252" s="411" t="s">
        <v>1378</v>
      </c>
      <c r="G252" s="411">
        <f t="shared" ref="G252:G261" si="34">H252+I252</f>
        <v>1100000</v>
      </c>
      <c r="H252" s="411">
        <f>'d3'!E310</f>
        <v>0</v>
      </c>
      <c r="I252" s="411">
        <f>'d3'!J310</f>
        <v>1100000</v>
      </c>
      <c r="J252" s="411">
        <f>'d3'!K310</f>
        <v>1100000</v>
      </c>
      <c r="K252" s="182"/>
      <c r="L252" s="182"/>
      <c r="M252" s="182"/>
    </row>
    <row r="253" spans="1:13" ht="184.5" thickTop="1" thickBot="1" x14ac:dyDescent="0.25">
      <c r="A253" s="558" t="s">
        <v>316</v>
      </c>
      <c r="B253" s="558" t="s">
        <v>317</v>
      </c>
      <c r="C253" s="558" t="s">
        <v>310</v>
      </c>
      <c r="D253" s="558" t="s">
        <v>1326</v>
      </c>
      <c r="E253" s="418" t="s">
        <v>1377</v>
      </c>
      <c r="F253" s="411" t="s">
        <v>1378</v>
      </c>
      <c r="G253" s="411">
        <f t="shared" si="34"/>
        <v>51633650</v>
      </c>
      <c r="H253" s="411">
        <f>'d3'!E312</f>
        <v>0</v>
      </c>
      <c r="I253" s="411">
        <f>'d3'!J312</f>
        <v>51633650</v>
      </c>
      <c r="J253" s="411">
        <f>I253</f>
        <v>51633650</v>
      </c>
      <c r="K253" s="182"/>
      <c r="L253" s="182"/>
      <c r="M253" s="182"/>
    </row>
    <row r="254" spans="1:13" ht="184.5" thickTop="1" thickBot="1" x14ac:dyDescent="0.25">
      <c r="A254" s="558" t="s">
        <v>523</v>
      </c>
      <c r="B254" s="558" t="s">
        <v>524</v>
      </c>
      <c r="C254" s="558" t="s">
        <v>310</v>
      </c>
      <c r="D254" s="558" t="s">
        <v>1356</v>
      </c>
      <c r="E254" s="418" t="s">
        <v>1377</v>
      </c>
      <c r="F254" s="411" t="s">
        <v>1378</v>
      </c>
      <c r="G254" s="411">
        <f t="shared" si="34"/>
        <v>1400000</v>
      </c>
      <c r="H254" s="411">
        <f>'d3'!E313</f>
        <v>0</v>
      </c>
      <c r="I254" s="411">
        <f>'d3'!J313</f>
        <v>1400000</v>
      </c>
      <c r="J254" s="411">
        <f>I254</f>
        <v>1400000</v>
      </c>
      <c r="K254" s="182"/>
      <c r="L254" s="182"/>
      <c r="M254" s="182"/>
    </row>
    <row r="255" spans="1:13" ht="184.5" hidden="1" thickTop="1" thickBot="1" x14ac:dyDescent="0.25">
      <c r="A255" s="171" t="s">
        <v>318</v>
      </c>
      <c r="B255" s="171" t="s">
        <v>319</v>
      </c>
      <c r="C255" s="171" t="s">
        <v>310</v>
      </c>
      <c r="D255" s="171" t="s">
        <v>1292</v>
      </c>
      <c r="E255" s="315" t="s">
        <v>1211</v>
      </c>
      <c r="F255" s="244" t="s">
        <v>1212</v>
      </c>
      <c r="G255" s="244">
        <f t="shared" si="34"/>
        <v>0</v>
      </c>
      <c r="H255" s="244">
        <f>'d3'!E314</f>
        <v>0</v>
      </c>
      <c r="I255" s="244">
        <f>'d3'!J314</f>
        <v>0</v>
      </c>
      <c r="J255" s="244">
        <f>I255</f>
        <v>0</v>
      </c>
      <c r="K255" s="182"/>
      <c r="L255" s="182"/>
      <c r="M255" s="182"/>
    </row>
    <row r="256" spans="1:13" ht="184.5" thickTop="1" thickBot="1" x14ac:dyDescent="0.25">
      <c r="A256" s="558" t="s">
        <v>320</v>
      </c>
      <c r="B256" s="558" t="s">
        <v>321</v>
      </c>
      <c r="C256" s="558" t="s">
        <v>310</v>
      </c>
      <c r="D256" s="558" t="s">
        <v>1357</v>
      </c>
      <c r="E256" s="418" t="s">
        <v>1377</v>
      </c>
      <c r="F256" s="411" t="s">
        <v>1378</v>
      </c>
      <c r="G256" s="411">
        <f t="shared" si="34"/>
        <v>10631051</v>
      </c>
      <c r="H256" s="411">
        <f>'d3'!E315-H257</f>
        <v>0</v>
      </c>
      <c r="I256" s="411">
        <f>'d3'!J315-I257</f>
        <v>10631051</v>
      </c>
      <c r="J256" s="411">
        <f>'d3'!K315-J257</f>
        <v>10631051</v>
      </c>
      <c r="K256" s="182"/>
      <c r="L256" s="182"/>
      <c r="M256" s="182"/>
    </row>
    <row r="257" spans="1:13" ht="138.75" hidden="1" customHeight="1" thickTop="1" thickBot="1" x14ac:dyDescent="0.25">
      <c r="A257" s="171" t="s">
        <v>320</v>
      </c>
      <c r="B257" s="171" t="s">
        <v>321</v>
      </c>
      <c r="C257" s="171" t="s">
        <v>310</v>
      </c>
      <c r="D257" s="171" t="s">
        <v>1293</v>
      </c>
      <c r="E257" s="315" t="s">
        <v>455</v>
      </c>
      <c r="F257" s="196" t="s">
        <v>431</v>
      </c>
      <c r="G257" s="244">
        <f t="shared" si="34"/>
        <v>0</v>
      </c>
      <c r="H257" s="244">
        <v>0</v>
      </c>
      <c r="I257" s="244">
        <v>0</v>
      </c>
      <c r="J257" s="244">
        <v>0</v>
      </c>
      <c r="K257" s="182"/>
      <c r="L257" s="182"/>
      <c r="M257" s="182"/>
    </row>
    <row r="258" spans="1:13" ht="184.5" hidden="1" customHeight="1" thickTop="1" thickBot="1" x14ac:dyDescent="0.25">
      <c r="A258" s="171" t="s">
        <v>443</v>
      </c>
      <c r="B258" s="171" t="s">
        <v>356</v>
      </c>
      <c r="C258" s="171" t="s">
        <v>171</v>
      </c>
      <c r="D258" s="171" t="s">
        <v>267</v>
      </c>
      <c r="E258" s="315" t="s">
        <v>1191</v>
      </c>
      <c r="F258" s="244"/>
      <c r="G258" s="244">
        <f t="shared" si="34"/>
        <v>0</v>
      </c>
      <c r="H258" s="244">
        <f>'d3'!E316</f>
        <v>0</v>
      </c>
      <c r="I258" s="244">
        <f>'d3'!J316</f>
        <v>0</v>
      </c>
      <c r="J258" s="244">
        <f>'d3'!K316</f>
        <v>0</v>
      </c>
      <c r="K258" s="182"/>
      <c r="L258" s="182"/>
      <c r="M258" s="182"/>
    </row>
    <row r="259" spans="1:13" ht="409.6" hidden="1" customHeight="1" thickTop="1" thickBot="1" x14ac:dyDescent="0.7">
      <c r="A259" s="838" t="s">
        <v>1010</v>
      </c>
      <c r="B259" s="838" t="s">
        <v>344</v>
      </c>
      <c r="C259" s="838" t="s">
        <v>171</v>
      </c>
      <c r="D259" s="200" t="s">
        <v>446</v>
      </c>
      <c r="E259" s="838" t="s">
        <v>1191</v>
      </c>
      <c r="F259" s="838"/>
      <c r="G259" s="244">
        <f t="shared" si="34"/>
        <v>0</v>
      </c>
      <c r="H259" s="823">
        <f>'d3'!E319</f>
        <v>0</v>
      </c>
      <c r="I259" s="823">
        <f>'d3'!J319</f>
        <v>0</v>
      </c>
      <c r="J259" s="823">
        <f>'d3'!K319</f>
        <v>0</v>
      </c>
      <c r="K259" s="182"/>
      <c r="L259" s="182"/>
      <c r="M259" s="182"/>
    </row>
    <row r="260" spans="1:13" ht="138.75" hidden="1" customHeight="1" thickTop="1" thickBot="1" x14ac:dyDescent="0.25">
      <c r="A260" s="838"/>
      <c r="B260" s="838"/>
      <c r="C260" s="838"/>
      <c r="D260" s="201" t="s">
        <v>447</v>
      </c>
      <c r="E260" s="838"/>
      <c r="F260" s="838"/>
      <c r="G260" s="244">
        <f t="shared" si="34"/>
        <v>0</v>
      </c>
      <c r="H260" s="848"/>
      <c r="I260" s="848"/>
      <c r="J260" s="848"/>
      <c r="K260" s="182"/>
      <c r="L260" s="182"/>
      <c r="M260" s="182"/>
    </row>
    <row r="261" spans="1:13" ht="184.5" hidden="1" thickTop="1" thickBot="1" x14ac:dyDescent="0.25">
      <c r="A261" s="171" t="s">
        <v>1245</v>
      </c>
      <c r="B261" s="171" t="s">
        <v>262</v>
      </c>
      <c r="C261" s="171" t="s">
        <v>171</v>
      </c>
      <c r="D261" s="201" t="s">
        <v>260</v>
      </c>
      <c r="E261" s="315" t="s">
        <v>1211</v>
      </c>
      <c r="F261" s="244" t="s">
        <v>1212</v>
      </c>
      <c r="G261" s="244">
        <f t="shared" si="34"/>
        <v>0</v>
      </c>
      <c r="H261" s="244"/>
      <c r="I261" s="244">
        <v>0</v>
      </c>
      <c r="J261" s="244">
        <v>0</v>
      </c>
      <c r="K261" s="182"/>
      <c r="L261" s="182"/>
      <c r="M261" s="182"/>
    </row>
    <row r="262" spans="1:13" ht="181.5" thickTop="1" thickBot="1" x14ac:dyDescent="0.25">
      <c r="A262" s="472" t="s">
        <v>161</v>
      </c>
      <c r="B262" s="472"/>
      <c r="C262" s="472"/>
      <c r="D262" s="473" t="s">
        <v>909</v>
      </c>
      <c r="E262" s="472"/>
      <c r="F262" s="472"/>
      <c r="G262" s="474">
        <f>G263</f>
        <v>2294100</v>
      </c>
      <c r="H262" s="474">
        <f t="shared" ref="H262:J262" si="35">H263</f>
        <v>1264100</v>
      </c>
      <c r="I262" s="474">
        <f t="shared" si="35"/>
        <v>1030000</v>
      </c>
      <c r="J262" s="474">
        <f t="shared" si="35"/>
        <v>1030000</v>
      </c>
      <c r="K262" s="111" t="b">
        <f>H262='d3'!E323-'d3'!E325+H264+H267</f>
        <v>1</v>
      </c>
      <c r="L262" s="112" t="b">
        <f>I262='d3'!J323-'d3'!J325+'d7'!I264</f>
        <v>1</v>
      </c>
      <c r="M262" s="112" t="b">
        <f>J262='d3'!K323-'d3'!K325+'d7'!J264</f>
        <v>1</v>
      </c>
    </row>
    <row r="263" spans="1:13" ht="181.5" thickTop="1" thickBot="1" x14ac:dyDescent="0.25">
      <c r="A263" s="476" t="s">
        <v>162</v>
      </c>
      <c r="B263" s="476"/>
      <c r="C263" s="476"/>
      <c r="D263" s="477" t="s">
        <v>914</v>
      </c>
      <c r="E263" s="478"/>
      <c r="F263" s="478"/>
      <c r="G263" s="478">
        <f>SUM(G264:G267)</f>
        <v>2294100</v>
      </c>
      <c r="H263" s="478">
        <f>SUM(H264:H267)</f>
        <v>1264100</v>
      </c>
      <c r="I263" s="478">
        <f>SUM(I264:I267)</f>
        <v>1030000</v>
      </c>
      <c r="J263" s="478">
        <f>SUM(J264:J267)</f>
        <v>1030000</v>
      </c>
      <c r="K263" s="182"/>
      <c r="L263" s="182"/>
      <c r="M263" s="182"/>
    </row>
    <row r="264" spans="1:13" ht="184.5" thickTop="1" thickBot="1" x14ac:dyDescent="0.25">
      <c r="A264" s="733" t="s">
        <v>425</v>
      </c>
      <c r="B264" s="733" t="s">
        <v>241</v>
      </c>
      <c r="C264" s="733" t="s">
        <v>239</v>
      </c>
      <c r="D264" s="733" t="s">
        <v>240</v>
      </c>
      <c r="E264" s="418" t="s">
        <v>1063</v>
      </c>
      <c r="F264" s="411" t="s">
        <v>870</v>
      </c>
      <c r="G264" s="411">
        <f>H264+I264</f>
        <v>30000</v>
      </c>
      <c r="H264" s="411">
        <v>0</v>
      </c>
      <c r="I264" s="411">
        <v>30000</v>
      </c>
      <c r="J264" s="411">
        <v>30000</v>
      </c>
      <c r="K264" s="182"/>
      <c r="L264" s="182"/>
      <c r="M264" s="182"/>
    </row>
    <row r="265" spans="1:13" ht="367.5" thickTop="1" thickBot="1" x14ac:dyDescent="0.25">
      <c r="A265" s="558" t="s">
        <v>643</v>
      </c>
      <c r="B265" s="558" t="s">
        <v>368</v>
      </c>
      <c r="C265" s="558" t="s">
        <v>637</v>
      </c>
      <c r="D265" s="558" t="s">
        <v>638</v>
      </c>
      <c r="E265" s="418" t="s">
        <v>1395</v>
      </c>
      <c r="F265" s="411" t="s">
        <v>1396</v>
      </c>
      <c r="G265" s="411">
        <f t="shared" ref="G265:G267" si="36">H265+I265</f>
        <v>10000</v>
      </c>
      <c r="H265" s="419">
        <f>'d3'!E326</f>
        <v>10000</v>
      </c>
      <c r="I265" s="550">
        <v>0</v>
      </c>
      <c r="J265" s="550">
        <v>0</v>
      </c>
      <c r="K265" s="182"/>
      <c r="L265" s="182"/>
      <c r="M265" s="182"/>
    </row>
    <row r="266" spans="1:13" s="561" customFormat="1" ht="184.5" thickTop="1" thickBot="1" x14ac:dyDescent="0.25">
      <c r="A266" s="558" t="s">
        <v>1347</v>
      </c>
      <c r="B266" s="558" t="s">
        <v>43</v>
      </c>
      <c r="C266" s="558" t="s">
        <v>42</v>
      </c>
      <c r="D266" s="558" t="s">
        <v>253</v>
      </c>
      <c r="E266" s="418" t="s">
        <v>1377</v>
      </c>
      <c r="F266" s="411" t="s">
        <v>1378</v>
      </c>
      <c r="G266" s="411">
        <f t="shared" si="36"/>
        <v>1254100</v>
      </c>
      <c r="H266" s="419">
        <f>'d3'!E327</f>
        <v>1254100</v>
      </c>
      <c r="I266" s="550">
        <f>'d3'!J327</f>
        <v>0</v>
      </c>
      <c r="J266" s="550">
        <f>'d3'!K327</f>
        <v>0</v>
      </c>
      <c r="K266" s="182"/>
      <c r="L266" s="182"/>
      <c r="M266" s="182"/>
    </row>
    <row r="267" spans="1:13" ht="184.5" thickTop="1" thickBot="1" x14ac:dyDescent="0.25">
      <c r="A267" s="722" t="s">
        <v>927</v>
      </c>
      <c r="B267" s="722" t="s">
        <v>928</v>
      </c>
      <c r="C267" s="722" t="s">
        <v>310</v>
      </c>
      <c r="D267" s="722" t="s">
        <v>929</v>
      </c>
      <c r="E267" s="418" t="s">
        <v>1377</v>
      </c>
      <c r="F267" s="411" t="s">
        <v>1378</v>
      </c>
      <c r="G267" s="411">
        <f t="shared" si="36"/>
        <v>1000000</v>
      </c>
      <c r="H267" s="419">
        <f>'d3'!E330</f>
        <v>0</v>
      </c>
      <c r="I267" s="550">
        <f>'d3'!J330</f>
        <v>1000000</v>
      </c>
      <c r="J267" s="550">
        <f>'d3'!K330</f>
        <v>1000000</v>
      </c>
      <c r="K267" s="182"/>
      <c r="L267" s="182"/>
      <c r="M267" s="182"/>
    </row>
    <row r="268" spans="1:13" ht="136.5" thickTop="1" thickBot="1" x14ac:dyDescent="0.25">
      <c r="A268" s="472" t="s">
        <v>450</v>
      </c>
      <c r="B268" s="472"/>
      <c r="C268" s="472"/>
      <c r="D268" s="473" t="s">
        <v>452</v>
      </c>
      <c r="E268" s="472"/>
      <c r="F268" s="472"/>
      <c r="G268" s="474">
        <f>G269</f>
        <v>172663221</v>
      </c>
      <c r="H268" s="474">
        <f t="shared" ref="H268:J268" si="37">H269</f>
        <v>133603221</v>
      </c>
      <c r="I268" s="474">
        <f t="shared" si="37"/>
        <v>39060000</v>
      </c>
      <c r="J268" s="474">
        <f t="shared" si="37"/>
        <v>39060000</v>
      </c>
      <c r="K268" s="182"/>
      <c r="L268" s="182"/>
      <c r="M268" s="182"/>
    </row>
    <row r="269" spans="1:13" ht="136.5" thickTop="1" thickBot="1" x14ac:dyDescent="0.25">
      <c r="A269" s="476" t="s">
        <v>451</v>
      </c>
      <c r="B269" s="476"/>
      <c r="C269" s="476"/>
      <c r="D269" s="477" t="s">
        <v>453</v>
      </c>
      <c r="E269" s="478"/>
      <c r="F269" s="478"/>
      <c r="G269" s="478">
        <f>SUM(G270:G279)</f>
        <v>172663221</v>
      </c>
      <c r="H269" s="478">
        <f t="shared" ref="H269:J269" si="38">SUM(H270:H279)</f>
        <v>133603221</v>
      </c>
      <c r="I269" s="478">
        <f t="shared" si="38"/>
        <v>39060000</v>
      </c>
      <c r="J269" s="478">
        <f t="shared" si="38"/>
        <v>39060000</v>
      </c>
      <c r="K269" s="111" t="b">
        <f>H269='d3'!E332-'d3'!E334+'d7'!H270</f>
        <v>1</v>
      </c>
      <c r="L269" s="112" t="b">
        <f>I269='d3'!J332-'d3'!J334+'d7'!I270</f>
        <v>1</v>
      </c>
      <c r="M269" s="112" t="b">
        <f>J269='d3'!K332-'d3'!K334+'d7'!J270</f>
        <v>1</v>
      </c>
    </row>
    <row r="270" spans="1:13" ht="184.5" hidden="1" thickTop="1" thickBot="1" x14ac:dyDescent="0.25">
      <c r="A270" s="171" t="s">
        <v>454</v>
      </c>
      <c r="B270" s="171" t="s">
        <v>241</v>
      </c>
      <c r="C270" s="171" t="s">
        <v>239</v>
      </c>
      <c r="D270" s="171" t="s">
        <v>240</v>
      </c>
      <c r="E270" s="315" t="s">
        <v>1063</v>
      </c>
      <c r="F270" s="244" t="s">
        <v>870</v>
      </c>
      <c r="G270" s="244">
        <f>H270+I270</f>
        <v>0</v>
      </c>
      <c r="H270" s="316">
        <v>0</v>
      </c>
      <c r="I270" s="244"/>
      <c r="J270" s="244"/>
      <c r="K270" s="182"/>
      <c r="L270" s="182"/>
      <c r="M270" s="182"/>
    </row>
    <row r="271" spans="1:13" ht="367.5" hidden="1" thickTop="1" thickBot="1" x14ac:dyDescent="0.25">
      <c r="A271" s="171" t="s">
        <v>644</v>
      </c>
      <c r="B271" s="171" t="s">
        <v>368</v>
      </c>
      <c r="C271" s="171" t="s">
        <v>637</v>
      </c>
      <c r="D271" s="171" t="s">
        <v>638</v>
      </c>
      <c r="E271" s="315" t="s">
        <v>898</v>
      </c>
      <c r="F271" s="244" t="s">
        <v>899</v>
      </c>
      <c r="G271" s="244">
        <f t="shared" ref="G271:G273" si="39">H271+I271</f>
        <v>0</v>
      </c>
      <c r="H271" s="316">
        <f>'d3'!E335</f>
        <v>0</v>
      </c>
      <c r="I271" s="333"/>
      <c r="J271" s="333"/>
      <c r="K271" s="182"/>
      <c r="L271" s="182"/>
      <c r="M271" s="182"/>
    </row>
    <row r="272" spans="1:13" ht="230.25" hidden="1" thickTop="1" thickBot="1" x14ac:dyDescent="0.25">
      <c r="A272" s="171" t="s">
        <v>474</v>
      </c>
      <c r="B272" s="171" t="s">
        <v>418</v>
      </c>
      <c r="C272" s="171" t="s">
        <v>419</v>
      </c>
      <c r="D272" s="171" t="s">
        <v>420</v>
      </c>
      <c r="E272" s="315" t="s">
        <v>1037</v>
      </c>
      <c r="F272" s="244" t="s">
        <v>496</v>
      </c>
      <c r="G272" s="244">
        <f t="shared" si="39"/>
        <v>0</v>
      </c>
      <c r="H272" s="316">
        <f>'d3'!E339</f>
        <v>0</v>
      </c>
      <c r="I272" s="333">
        <f>'d3'!J339</f>
        <v>0</v>
      </c>
      <c r="J272" s="333">
        <f>'d3'!K339</f>
        <v>0</v>
      </c>
      <c r="K272" s="182"/>
      <c r="L272" s="182"/>
      <c r="M272" s="182"/>
    </row>
    <row r="273" spans="1:13" ht="184.5" thickTop="1" thickBot="1" x14ac:dyDescent="0.25">
      <c r="A273" s="558" t="s">
        <v>475</v>
      </c>
      <c r="B273" s="558" t="s">
        <v>296</v>
      </c>
      <c r="C273" s="558" t="s">
        <v>298</v>
      </c>
      <c r="D273" s="558" t="s">
        <v>297</v>
      </c>
      <c r="E273" s="418" t="s">
        <v>1355</v>
      </c>
      <c r="F273" s="411" t="s">
        <v>955</v>
      </c>
      <c r="G273" s="411">
        <f t="shared" si="39"/>
        <v>131683221</v>
      </c>
      <c r="H273" s="419">
        <f>'d3'!E341</f>
        <v>131683221</v>
      </c>
      <c r="I273" s="550">
        <f>'d3'!J341</f>
        <v>0</v>
      </c>
      <c r="J273" s="550">
        <f>'d3'!K341</f>
        <v>0</v>
      </c>
      <c r="K273" s="182"/>
      <c r="L273" s="182"/>
      <c r="M273" s="182"/>
    </row>
    <row r="274" spans="1:13" ht="230.25" hidden="1" thickTop="1" thickBot="1" x14ac:dyDescent="0.25">
      <c r="A274" s="951" t="s">
        <v>1140</v>
      </c>
      <c r="B274" s="951" t="s">
        <v>1141</v>
      </c>
      <c r="C274" s="951" t="s">
        <v>301</v>
      </c>
      <c r="D274" s="951" t="s">
        <v>1139</v>
      </c>
      <c r="E274" s="315" t="s">
        <v>1037</v>
      </c>
      <c r="F274" s="244" t="s">
        <v>496</v>
      </c>
      <c r="G274" s="942">
        <f>H274+I274</f>
        <v>0</v>
      </c>
      <c r="H274" s="959"/>
      <c r="I274" s="961">
        <v>0</v>
      </c>
      <c r="J274" s="961">
        <v>0</v>
      </c>
      <c r="K274" s="182"/>
      <c r="L274" s="182"/>
      <c r="M274" s="182"/>
    </row>
    <row r="275" spans="1:13" ht="184.5" hidden="1" thickTop="1" thickBot="1" x14ac:dyDescent="0.25">
      <c r="A275" s="960"/>
      <c r="B275" s="960" t="s">
        <v>1141</v>
      </c>
      <c r="C275" s="960"/>
      <c r="D275" s="960"/>
      <c r="E275" s="315" t="s">
        <v>1211</v>
      </c>
      <c r="F275" s="244" t="s">
        <v>1212</v>
      </c>
      <c r="G275" s="960"/>
      <c r="H275" s="960"/>
      <c r="I275" s="960"/>
      <c r="J275" s="960"/>
      <c r="K275" s="182"/>
      <c r="L275" s="182"/>
      <c r="M275" s="182"/>
    </row>
    <row r="276" spans="1:13" ht="230.25" thickTop="1" thickBot="1" x14ac:dyDescent="0.25">
      <c r="A276" s="738" t="s">
        <v>1225</v>
      </c>
      <c r="B276" s="738" t="s">
        <v>202</v>
      </c>
      <c r="C276" s="738" t="s">
        <v>171</v>
      </c>
      <c r="D276" s="738" t="s">
        <v>1226</v>
      </c>
      <c r="E276" s="418" t="s">
        <v>1037</v>
      </c>
      <c r="F276" s="411" t="s">
        <v>496</v>
      </c>
      <c r="G276" s="411">
        <f t="shared" ref="G276:G277" si="40">H276+I276</f>
        <v>31000000</v>
      </c>
      <c r="H276" s="419">
        <f>'d3'!E344-H277</f>
        <v>0</v>
      </c>
      <c r="I276" s="550">
        <v>31000000</v>
      </c>
      <c r="J276" s="550">
        <v>31000000</v>
      </c>
      <c r="K276" s="111" t="b">
        <f>H276+H277='d3'!E344</f>
        <v>1</v>
      </c>
      <c r="L276" s="112" t="b">
        <f>I276+I277='d3'!J344</f>
        <v>1</v>
      </c>
      <c r="M276" s="112" t="b">
        <f>J276+J277='d3'!K344</f>
        <v>1</v>
      </c>
    </row>
    <row r="277" spans="1:13" ht="184.5" thickTop="1" thickBot="1" x14ac:dyDescent="0.25">
      <c r="A277" s="738" t="s">
        <v>1225</v>
      </c>
      <c r="B277" s="738" t="s">
        <v>202</v>
      </c>
      <c r="C277" s="738" t="s">
        <v>171</v>
      </c>
      <c r="D277" s="738" t="s">
        <v>1226</v>
      </c>
      <c r="E277" s="418" t="s">
        <v>954</v>
      </c>
      <c r="F277" s="411" t="s">
        <v>955</v>
      </c>
      <c r="G277" s="411">
        <f t="shared" si="40"/>
        <v>8060000</v>
      </c>
      <c r="H277" s="419">
        <v>0</v>
      </c>
      <c r="I277" s="550">
        <f>2260000+5800000</f>
        <v>8060000</v>
      </c>
      <c r="J277" s="550">
        <f>2260000+5800000</f>
        <v>8060000</v>
      </c>
      <c r="K277" s="182"/>
      <c r="L277" s="182"/>
      <c r="M277" s="182"/>
    </row>
    <row r="278" spans="1:13" ht="138.75" thickTop="1" thickBot="1" x14ac:dyDescent="0.25">
      <c r="A278" s="558" t="s">
        <v>1273</v>
      </c>
      <c r="B278" s="558" t="s">
        <v>1274</v>
      </c>
      <c r="C278" s="558" t="s">
        <v>1239</v>
      </c>
      <c r="D278" s="558" t="s">
        <v>1275</v>
      </c>
      <c r="E278" s="714" t="s">
        <v>1381</v>
      </c>
      <c r="F278" s="411" t="s">
        <v>1382</v>
      </c>
      <c r="G278" s="411">
        <f>H278+I278</f>
        <v>1800000</v>
      </c>
      <c r="H278" s="419">
        <v>1800000</v>
      </c>
      <c r="I278" s="550">
        <v>0</v>
      </c>
      <c r="J278" s="550">
        <v>0</v>
      </c>
      <c r="K278" s="182"/>
      <c r="L278" s="182"/>
      <c r="M278" s="182"/>
    </row>
    <row r="279" spans="1:13" s="761" customFormat="1" ht="184.5" thickTop="1" thickBot="1" x14ac:dyDescent="0.25">
      <c r="A279" s="757" t="s">
        <v>1468</v>
      </c>
      <c r="B279" s="757" t="s">
        <v>521</v>
      </c>
      <c r="C279" s="757" t="s">
        <v>43</v>
      </c>
      <c r="D279" s="757" t="s">
        <v>522</v>
      </c>
      <c r="E279" s="757" t="s">
        <v>1469</v>
      </c>
      <c r="F279" s="758"/>
      <c r="G279" s="758">
        <f>H279+I279</f>
        <v>120000</v>
      </c>
      <c r="H279" s="419">
        <v>120000</v>
      </c>
      <c r="I279" s="550">
        <v>0</v>
      </c>
      <c r="J279" s="550">
        <v>0</v>
      </c>
      <c r="K279" s="182"/>
      <c r="L279" s="182"/>
      <c r="M279" s="182"/>
    </row>
    <row r="280" spans="1:13" ht="160.5" customHeight="1" thickTop="1" thickBot="1" x14ac:dyDescent="0.25">
      <c r="A280" s="472" t="s">
        <v>167</v>
      </c>
      <c r="B280" s="472"/>
      <c r="C280" s="472"/>
      <c r="D280" s="473" t="s">
        <v>360</v>
      </c>
      <c r="E280" s="472"/>
      <c r="F280" s="472"/>
      <c r="G280" s="474">
        <f>G281</f>
        <v>8695970</v>
      </c>
      <c r="H280" s="474">
        <f t="shared" ref="H280:J280" si="41">H281</f>
        <v>8193238</v>
      </c>
      <c r="I280" s="474">
        <f t="shared" si="41"/>
        <v>502732</v>
      </c>
      <c r="J280" s="474">
        <f t="shared" si="41"/>
        <v>502732</v>
      </c>
      <c r="K280" s="111" t="b">
        <f>H280='d3'!E350</f>
        <v>1</v>
      </c>
      <c r="L280" s="112" t="b">
        <f>I280='d3'!J350</f>
        <v>1</v>
      </c>
      <c r="M280" s="112" t="b">
        <f>J280='d3'!K350</f>
        <v>1</v>
      </c>
    </row>
    <row r="281" spans="1:13" ht="136.5" thickTop="1" thickBot="1" x14ac:dyDescent="0.25">
      <c r="A281" s="476" t="s">
        <v>168</v>
      </c>
      <c r="B281" s="476"/>
      <c r="C281" s="476"/>
      <c r="D281" s="477" t="s">
        <v>361</v>
      </c>
      <c r="E281" s="478"/>
      <c r="F281" s="478"/>
      <c r="G281" s="478">
        <f>SUM(G282:G292)</f>
        <v>8695970</v>
      </c>
      <c r="H281" s="478">
        <f>SUM(H282:H292)</f>
        <v>8193238</v>
      </c>
      <c r="I281" s="478">
        <f>SUM(I282:I292)</f>
        <v>502732</v>
      </c>
      <c r="J281" s="478">
        <f>SUM(J282:J292)</f>
        <v>502732</v>
      </c>
      <c r="K281" s="182"/>
      <c r="L281" s="182"/>
      <c r="M281" s="182"/>
    </row>
    <row r="282" spans="1:13" s="725" customFormat="1" ht="184.5" thickTop="1" thickBot="1" x14ac:dyDescent="0.25">
      <c r="A282" s="722" t="s">
        <v>1410</v>
      </c>
      <c r="B282" s="722" t="s">
        <v>1252</v>
      </c>
      <c r="C282" s="722" t="s">
        <v>211</v>
      </c>
      <c r="D282" s="482" t="s">
        <v>1253</v>
      </c>
      <c r="E282" s="411" t="s">
        <v>1204</v>
      </c>
      <c r="F282" s="411" t="s">
        <v>1405</v>
      </c>
      <c r="G282" s="419">
        <f>H282+I282</f>
        <v>951800</v>
      </c>
      <c r="H282" s="411">
        <f>'d3'!E353</f>
        <v>794919</v>
      </c>
      <c r="I282" s="411">
        <f>'d3'!J353</f>
        <v>156881</v>
      </c>
      <c r="J282" s="411">
        <f>'d3'!K353</f>
        <v>156881</v>
      </c>
      <c r="K282" s="182"/>
      <c r="L282" s="182"/>
      <c r="M282" s="182"/>
    </row>
    <row r="283" spans="1:13" ht="184.5" thickTop="1" thickBot="1" x14ac:dyDescent="0.25">
      <c r="A283" s="558" t="s">
        <v>1033</v>
      </c>
      <c r="B283" s="558" t="s">
        <v>356</v>
      </c>
      <c r="C283" s="558" t="s">
        <v>171</v>
      </c>
      <c r="D283" s="558" t="s">
        <v>267</v>
      </c>
      <c r="E283" s="418" t="s">
        <v>1377</v>
      </c>
      <c r="F283" s="411" t="s">
        <v>1378</v>
      </c>
      <c r="G283" s="419">
        <f>H283+I283</f>
        <v>50000</v>
      </c>
      <c r="H283" s="411">
        <v>50000</v>
      </c>
      <c r="I283" s="411">
        <v>0</v>
      </c>
      <c r="J283" s="411">
        <v>0</v>
      </c>
      <c r="K283" s="111" t="b">
        <f>H283='d3'!E356</f>
        <v>1</v>
      </c>
      <c r="L283" s="112" t="b">
        <f>I283='d3'!J356</f>
        <v>1</v>
      </c>
      <c r="M283" s="112" t="b">
        <f>J283='d3'!K356</f>
        <v>1</v>
      </c>
    </row>
    <row r="284" spans="1:13" ht="184.5" thickTop="1" thickBot="1" x14ac:dyDescent="0.25">
      <c r="A284" s="558" t="s">
        <v>265</v>
      </c>
      <c r="B284" s="558" t="s">
        <v>266</v>
      </c>
      <c r="C284" s="558" t="s">
        <v>264</v>
      </c>
      <c r="D284" s="558" t="s">
        <v>263</v>
      </c>
      <c r="E284" s="418" t="s">
        <v>1397</v>
      </c>
      <c r="F284" s="411" t="s">
        <v>1213</v>
      </c>
      <c r="G284" s="419">
        <f>H284+I284</f>
        <v>6105000</v>
      </c>
      <c r="H284" s="411">
        <f>((2455000)+3000000)+650000</f>
        <v>6105000</v>
      </c>
      <c r="I284" s="411">
        <v>0</v>
      </c>
      <c r="J284" s="411">
        <v>0</v>
      </c>
      <c r="K284" s="111" t="b">
        <f>H284+H285='d3'!E358</f>
        <v>1</v>
      </c>
      <c r="L284" s="112" t="b">
        <f>I284+I285='d3'!J358</f>
        <v>1</v>
      </c>
      <c r="M284" s="112" t="b">
        <f>J284+J285='d3'!K358</f>
        <v>1</v>
      </c>
    </row>
    <row r="285" spans="1:13" ht="184.5" thickTop="1" thickBot="1" x14ac:dyDescent="0.25">
      <c r="A285" s="558" t="s">
        <v>265</v>
      </c>
      <c r="B285" s="558" t="s">
        <v>266</v>
      </c>
      <c r="C285" s="558" t="s">
        <v>264</v>
      </c>
      <c r="D285" s="558" t="s">
        <v>263</v>
      </c>
      <c r="E285" s="418" t="s">
        <v>455</v>
      </c>
      <c r="F285" s="469" t="s">
        <v>431</v>
      </c>
      <c r="G285" s="419">
        <f t="shared" ref="G285:G292" si="42">H285+I285</f>
        <v>100000</v>
      </c>
      <c r="H285" s="411">
        <v>100000</v>
      </c>
      <c r="I285" s="411">
        <v>0</v>
      </c>
      <c r="J285" s="411">
        <v>0</v>
      </c>
      <c r="K285" s="182"/>
      <c r="L285" s="182"/>
      <c r="M285" s="321"/>
    </row>
    <row r="286" spans="1:13" ht="276" thickTop="1" thickBot="1" x14ac:dyDescent="0.25">
      <c r="A286" s="558" t="s">
        <v>257</v>
      </c>
      <c r="B286" s="558" t="s">
        <v>259</v>
      </c>
      <c r="C286" s="558" t="s">
        <v>218</v>
      </c>
      <c r="D286" s="558" t="s">
        <v>258</v>
      </c>
      <c r="E286" s="411" t="s">
        <v>1365</v>
      </c>
      <c r="F286" s="411" t="s">
        <v>875</v>
      </c>
      <c r="G286" s="419">
        <f t="shared" si="42"/>
        <v>615000</v>
      </c>
      <c r="H286" s="411">
        <v>615000</v>
      </c>
      <c r="I286" s="411">
        <v>0</v>
      </c>
      <c r="J286" s="411">
        <v>0</v>
      </c>
      <c r="K286" s="111" t="b">
        <f>H286='d3'!E359</f>
        <v>1</v>
      </c>
      <c r="L286" s="112" t="b">
        <f>I286='d3'!J359</f>
        <v>1</v>
      </c>
      <c r="M286" s="112" t="b">
        <f>J286='d3'!K359</f>
        <v>1</v>
      </c>
    </row>
    <row r="287" spans="1:13" s="725" customFormat="1" ht="184.5" thickTop="1" thickBot="1" x14ac:dyDescent="0.25">
      <c r="A287" s="722" t="s">
        <v>1404</v>
      </c>
      <c r="B287" s="722" t="s">
        <v>217</v>
      </c>
      <c r="C287" s="722" t="s">
        <v>218</v>
      </c>
      <c r="D287" s="722" t="s">
        <v>41</v>
      </c>
      <c r="E287" s="411" t="s">
        <v>1204</v>
      </c>
      <c r="F287" s="411" t="s">
        <v>1405</v>
      </c>
      <c r="G287" s="419">
        <f t="shared" si="42"/>
        <v>237650</v>
      </c>
      <c r="H287" s="411">
        <f>'d3'!E360</f>
        <v>42254</v>
      </c>
      <c r="I287" s="411">
        <f>'d3'!J360</f>
        <v>195396</v>
      </c>
      <c r="J287" s="411">
        <f>'d3'!K360</f>
        <v>195396</v>
      </c>
      <c r="K287" s="111"/>
      <c r="L287" s="112"/>
      <c r="M287" s="112"/>
    </row>
    <row r="288" spans="1:13" ht="184.5" hidden="1" thickTop="1" thickBot="1" x14ac:dyDescent="0.25">
      <c r="A288" s="171" t="s">
        <v>261</v>
      </c>
      <c r="B288" s="171" t="s">
        <v>262</v>
      </c>
      <c r="C288" s="171" t="s">
        <v>171</v>
      </c>
      <c r="D288" s="171" t="s">
        <v>260</v>
      </c>
      <c r="E288" s="244" t="s">
        <v>1204</v>
      </c>
      <c r="F288" s="244" t="s">
        <v>599</v>
      </c>
      <c r="G288" s="316">
        <f t="shared" si="42"/>
        <v>0</v>
      </c>
      <c r="H288" s="244"/>
      <c r="I288" s="244"/>
      <c r="J288" s="244"/>
    </row>
    <row r="289" spans="1:13" ht="230.25" hidden="1" thickTop="1" thickBot="1" x14ac:dyDescent="0.25">
      <c r="A289" s="44" t="s">
        <v>261</v>
      </c>
      <c r="B289" s="44" t="s">
        <v>262</v>
      </c>
      <c r="C289" s="44" t="s">
        <v>171</v>
      </c>
      <c r="D289" s="44" t="s">
        <v>260</v>
      </c>
      <c r="E289" s="318" t="s">
        <v>976</v>
      </c>
      <c r="F289" s="77" t="s">
        <v>977</v>
      </c>
      <c r="G289" s="319">
        <f t="shared" si="42"/>
        <v>0</v>
      </c>
      <c r="H289" s="77">
        <v>0</v>
      </c>
      <c r="I289" s="77">
        <v>0</v>
      </c>
      <c r="J289" s="77">
        <v>0</v>
      </c>
      <c r="K289" s="314"/>
      <c r="L289" s="321"/>
      <c r="M289" s="322"/>
    </row>
    <row r="290" spans="1:13" ht="184.5" thickTop="1" thickBot="1" x14ac:dyDescent="0.25">
      <c r="A290" s="722" t="s">
        <v>261</v>
      </c>
      <c r="B290" s="722" t="s">
        <v>262</v>
      </c>
      <c r="C290" s="722" t="s">
        <v>171</v>
      </c>
      <c r="D290" s="722" t="s">
        <v>260</v>
      </c>
      <c r="E290" s="418" t="s">
        <v>1411</v>
      </c>
      <c r="F290" s="411"/>
      <c r="G290" s="419">
        <f t="shared" si="42"/>
        <v>300000</v>
      </c>
      <c r="H290" s="411">
        <v>300000</v>
      </c>
      <c r="I290" s="411">
        <v>0</v>
      </c>
      <c r="J290" s="411">
        <v>0</v>
      </c>
      <c r="K290" s="111" t="b">
        <f>'d3'!E362=H288+H289+H290</f>
        <v>1</v>
      </c>
      <c r="L290" s="112" t="b">
        <f>'d3'!J362=I288+I289+I290</f>
        <v>1</v>
      </c>
      <c r="M290" s="112" t="b">
        <f>'d3'!K362=J288+J289+J290</f>
        <v>1</v>
      </c>
    </row>
    <row r="291" spans="1:13" s="725" customFormat="1" ht="184.5" thickTop="1" thickBot="1" x14ac:dyDescent="0.25">
      <c r="A291" s="722" t="s">
        <v>1408</v>
      </c>
      <c r="B291" s="722" t="s">
        <v>1241</v>
      </c>
      <c r="C291" s="722" t="s">
        <v>1239</v>
      </c>
      <c r="D291" s="722" t="s">
        <v>1238</v>
      </c>
      <c r="E291" s="411" t="s">
        <v>1204</v>
      </c>
      <c r="F291" s="411" t="s">
        <v>1405</v>
      </c>
      <c r="G291" s="419">
        <f t="shared" ref="G291" si="43">H291+I291</f>
        <v>336520</v>
      </c>
      <c r="H291" s="411">
        <f>'d3'!E365</f>
        <v>186065</v>
      </c>
      <c r="I291" s="411">
        <f>'d3'!J365</f>
        <v>150455</v>
      </c>
      <c r="J291" s="411">
        <f>'d3'!K365</f>
        <v>150455</v>
      </c>
      <c r="K291" s="314"/>
      <c r="L291" s="321"/>
      <c r="M291" s="322"/>
    </row>
    <row r="292" spans="1:13" ht="184.5" hidden="1" thickTop="1" thickBot="1" x14ac:dyDescent="0.25">
      <c r="A292" s="44" t="s">
        <v>924</v>
      </c>
      <c r="B292" s="44" t="s">
        <v>369</v>
      </c>
      <c r="C292" s="44" t="s">
        <v>43</v>
      </c>
      <c r="D292" s="44" t="s">
        <v>370</v>
      </c>
      <c r="E292" s="318" t="s">
        <v>873</v>
      </c>
      <c r="F292" s="77" t="s">
        <v>874</v>
      </c>
      <c r="G292" s="319">
        <f t="shared" si="42"/>
        <v>0</v>
      </c>
      <c r="H292" s="77">
        <f>'d3'!E368</f>
        <v>0</v>
      </c>
      <c r="I292" s="77">
        <f>'d3'!J368</f>
        <v>0</v>
      </c>
      <c r="J292" s="77">
        <f>'d3'!K368</f>
        <v>0</v>
      </c>
      <c r="K292" s="314"/>
      <c r="L292" s="321"/>
      <c r="M292" s="322"/>
    </row>
    <row r="293" spans="1:13" ht="181.5" thickTop="1" thickBot="1" x14ac:dyDescent="0.25">
      <c r="A293" s="472" t="s">
        <v>165</v>
      </c>
      <c r="B293" s="472"/>
      <c r="C293" s="472"/>
      <c r="D293" s="473" t="s">
        <v>902</v>
      </c>
      <c r="E293" s="472"/>
      <c r="F293" s="472"/>
      <c r="G293" s="474">
        <f>G294</f>
        <v>4145434</v>
      </c>
      <c r="H293" s="474">
        <f t="shared" ref="H293:J293" si="44">H294</f>
        <v>32000</v>
      </c>
      <c r="I293" s="474">
        <f t="shared" si="44"/>
        <v>4113434</v>
      </c>
      <c r="J293" s="474">
        <f t="shared" si="44"/>
        <v>157000</v>
      </c>
      <c r="K293" s="111" t="b">
        <f>H293='d3'!E370-'d3'!E372+H295</f>
        <v>1</v>
      </c>
      <c r="L293" s="112" t="b">
        <f>I293='d3'!J370-'d3'!J372+'d7'!I295</f>
        <v>1</v>
      </c>
      <c r="M293" s="112" t="b">
        <f>J293='d3'!K370-'d3'!K372+'d7'!J295</f>
        <v>1</v>
      </c>
    </row>
    <row r="294" spans="1:13" ht="181.5" thickTop="1" thickBot="1" x14ac:dyDescent="0.25">
      <c r="A294" s="476" t="s">
        <v>166</v>
      </c>
      <c r="B294" s="476"/>
      <c r="C294" s="476"/>
      <c r="D294" s="477" t="s">
        <v>903</v>
      </c>
      <c r="E294" s="478"/>
      <c r="F294" s="478"/>
      <c r="G294" s="478">
        <f>SUM(G295:G299)</f>
        <v>4145434</v>
      </c>
      <c r="H294" s="478">
        <f>SUM(H295:H299)</f>
        <v>32000</v>
      </c>
      <c r="I294" s="478">
        <f>SUM(I295:I299)</f>
        <v>4113434</v>
      </c>
      <c r="J294" s="478">
        <f>SUM(J295:J299)</f>
        <v>157000</v>
      </c>
      <c r="K294" s="182"/>
      <c r="L294" s="182"/>
      <c r="M294" s="182"/>
    </row>
    <row r="295" spans="1:13" ht="184.5" hidden="1" thickTop="1" thickBot="1" x14ac:dyDescent="0.25">
      <c r="A295" s="171" t="s">
        <v>428</v>
      </c>
      <c r="B295" s="171" t="s">
        <v>241</v>
      </c>
      <c r="C295" s="171" t="s">
        <v>239</v>
      </c>
      <c r="D295" s="171" t="s">
        <v>240</v>
      </c>
      <c r="E295" s="315" t="s">
        <v>1063</v>
      </c>
      <c r="F295" s="244" t="s">
        <v>870</v>
      </c>
      <c r="G295" s="244">
        <f>H295+I295</f>
        <v>0</v>
      </c>
      <c r="H295" s="316"/>
      <c r="I295" s="244"/>
      <c r="J295" s="244"/>
      <c r="K295" s="182"/>
      <c r="L295" s="182"/>
      <c r="M295" s="182"/>
    </row>
    <row r="296" spans="1:13" ht="391.7" hidden="1" customHeight="1" thickTop="1" thickBot="1" x14ac:dyDescent="0.25">
      <c r="A296" s="171" t="s">
        <v>645</v>
      </c>
      <c r="B296" s="171" t="s">
        <v>368</v>
      </c>
      <c r="C296" s="171" t="s">
        <v>637</v>
      </c>
      <c r="D296" s="171" t="s">
        <v>638</v>
      </c>
      <c r="E296" s="325" t="s">
        <v>898</v>
      </c>
      <c r="F296" s="326" t="s">
        <v>899</v>
      </c>
      <c r="G296" s="244">
        <f t="shared" ref="G296" si="45">H296+I296</f>
        <v>0</v>
      </c>
      <c r="H296" s="316">
        <f>'d3'!E373</f>
        <v>0</v>
      </c>
      <c r="I296" s="333"/>
      <c r="J296" s="333"/>
      <c r="K296" s="182"/>
      <c r="L296" s="182"/>
      <c r="M296" s="182"/>
    </row>
    <row r="297" spans="1:13" ht="184.5" thickTop="1" thickBot="1" x14ac:dyDescent="0.25">
      <c r="A297" s="132" t="s">
        <v>1173</v>
      </c>
      <c r="B297" s="132" t="s">
        <v>1174</v>
      </c>
      <c r="C297" s="132" t="s">
        <v>51</v>
      </c>
      <c r="D297" s="132" t="s">
        <v>1175</v>
      </c>
      <c r="E297" s="418" t="s">
        <v>1259</v>
      </c>
      <c r="F297" s="411" t="s">
        <v>975</v>
      </c>
      <c r="G297" s="419">
        <f t="shared" ref="G297:G299" si="46">H297+I297</f>
        <v>3178434</v>
      </c>
      <c r="H297" s="411">
        <f>'d3'!E376</f>
        <v>0</v>
      </c>
      <c r="I297" s="411">
        <f>(572000)+46434+40000+13000+520000+100000+420000+78000+1200000+189000</f>
        <v>3178434</v>
      </c>
      <c r="J297" s="411">
        <f>'d3'!K376</f>
        <v>0</v>
      </c>
      <c r="K297" s="111" t="b">
        <f>H297+H298='d3'!E376</f>
        <v>1</v>
      </c>
      <c r="L297" s="111" t="b">
        <f>I297+I298='d3'!J376</f>
        <v>1</v>
      </c>
      <c r="M297" s="111" t="b">
        <f>J297+J298='d3'!K376</f>
        <v>1</v>
      </c>
    </row>
    <row r="298" spans="1:13" s="136" customFormat="1" ht="230.25" thickTop="1" thickBot="1" x14ac:dyDescent="0.25">
      <c r="A298" s="132" t="s">
        <v>1173</v>
      </c>
      <c r="B298" s="132" t="s">
        <v>1174</v>
      </c>
      <c r="C298" s="132" t="s">
        <v>51</v>
      </c>
      <c r="D298" s="132" t="s">
        <v>1175</v>
      </c>
      <c r="E298" s="418" t="s">
        <v>1370</v>
      </c>
      <c r="F298" s="411" t="s">
        <v>1316</v>
      </c>
      <c r="G298" s="419">
        <f t="shared" si="46"/>
        <v>778000</v>
      </c>
      <c r="H298" s="411">
        <v>0</v>
      </c>
      <c r="I298" s="411">
        <v>778000</v>
      </c>
      <c r="J298" s="411">
        <v>0</v>
      </c>
      <c r="K298" s="182"/>
      <c r="L298" s="182"/>
      <c r="M298" s="182"/>
    </row>
    <row r="299" spans="1:13" s="136" customFormat="1" ht="230.25" thickTop="1" thickBot="1" x14ac:dyDescent="0.25">
      <c r="A299" s="132" t="s">
        <v>1311</v>
      </c>
      <c r="B299" s="132" t="s">
        <v>521</v>
      </c>
      <c r="C299" s="132" t="s">
        <v>43</v>
      </c>
      <c r="D299" s="132" t="s">
        <v>522</v>
      </c>
      <c r="E299" s="418" t="s">
        <v>1315</v>
      </c>
      <c r="F299" s="411" t="s">
        <v>1316</v>
      </c>
      <c r="G299" s="419">
        <f t="shared" si="46"/>
        <v>189000</v>
      </c>
      <c r="H299" s="411">
        <f>'d3'!E378</f>
        <v>32000</v>
      </c>
      <c r="I299" s="411">
        <f>'d3'!J378</f>
        <v>157000</v>
      </c>
      <c r="J299" s="411">
        <f>'d3'!K378</f>
        <v>157000</v>
      </c>
      <c r="K299" s="182"/>
      <c r="L299" s="182"/>
      <c r="M299" s="182"/>
    </row>
    <row r="300" spans="1:13" ht="181.5" thickTop="1" thickBot="1" x14ac:dyDescent="0.25">
      <c r="A300" s="472" t="s">
        <v>163</v>
      </c>
      <c r="B300" s="472"/>
      <c r="C300" s="472"/>
      <c r="D300" s="473" t="s">
        <v>915</v>
      </c>
      <c r="E300" s="472"/>
      <c r="F300" s="472"/>
      <c r="G300" s="474">
        <f>G301</f>
        <v>598000</v>
      </c>
      <c r="H300" s="474">
        <f t="shared" ref="H300:J300" si="47">H301</f>
        <v>190000</v>
      </c>
      <c r="I300" s="474">
        <f t="shared" si="47"/>
        <v>408000</v>
      </c>
      <c r="J300" s="474">
        <f t="shared" si="47"/>
        <v>408000</v>
      </c>
      <c r="K300" s="111" t="b">
        <f>H300='d3'!E380-'d3'!E382+H302</f>
        <v>1</v>
      </c>
      <c r="L300" s="112" t="b">
        <f>I300='d3'!J380-'d3'!J382+I302</f>
        <v>1</v>
      </c>
      <c r="M300" s="112" t="b">
        <f>J300='d3'!K380-'d3'!K382+J302</f>
        <v>1</v>
      </c>
    </row>
    <row r="301" spans="1:13" ht="181.5" thickTop="1" thickBot="1" x14ac:dyDescent="0.25">
      <c r="A301" s="476" t="s">
        <v>164</v>
      </c>
      <c r="B301" s="476"/>
      <c r="C301" s="476"/>
      <c r="D301" s="477" t="s">
        <v>916</v>
      </c>
      <c r="E301" s="478"/>
      <c r="F301" s="478"/>
      <c r="G301" s="478">
        <f>SUM(G302:G305)</f>
        <v>598000</v>
      </c>
      <c r="H301" s="478">
        <f>SUM(H302:H305)</f>
        <v>190000</v>
      </c>
      <c r="I301" s="478">
        <f>SUM(I302:I305)</f>
        <v>408000</v>
      </c>
      <c r="J301" s="478">
        <f>SUM(J302:J305)</f>
        <v>408000</v>
      </c>
      <c r="K301" s="182"/>
      <c r="L301" s="182"/>
      <c r="M301" s="182"/>
    </row>
    <row r="302" spans="1:13" ht="184.5" thickTop="1" thickBot="1" x14ac:dyDescent="0.25">
      <c r="A302" s="733" t="s">
        <v>424</v>
      </c>
      <c r="B302" s="733" t="s">
        <v>241</v>
      </c>
      <c r="C302" s="733" t="s">
        <v>239</v>
      </c>
      <c r="D302" s="733" t="s">
        <v>240</v>
      </c>
      <c r="E302" s="418" t="s">
        <v>1063</v>
      </c>
      <c r="F302" s="411" t="s">
        <v>870</v>
      </c>
      <c r="G302" s="411">
        <f>H302+I302</f>
        <v>85500</v>
      </c>
      <c r="H302" s="419">
        <v>0</v>
      </c>
      <c r="I302" s="411">
        <v>85500</v>
      </c>
      <c r="J302" s="411">
        <v>85500</v>
      </c>
      <c r="K302" s="182"/>
      <c r="L302" s="182"/>
      <c r="M302" s="182"/>
    </row>
    <row r="303" spans="1:13" ht="184.5" thickTop="1" thickBot="1" x14ac:dyDescent="0.25">
      <c r="A303" s="558" t="s">
        <v>312</v>
      </c>
      <c r="B303" s="558" t="s">
        <v>313</v>
      </c>
      <c r="C303" s="558" t="s">
        <v>314</v>
      </c>
      <c r="D303" s="558" t="s">
        <v>468</v>
      </c>
      <c r="E303" s="418" t="s">
        <v>1377</v>
      </c>
      <c r="F303" s="411" t="s">
        <v>1378</v>
      </c>
      <c r="G303" s="419">
        <f t="shared" ref="G303:G305" si="48">H303+I303</f>
        <v>210000</v>
      </c>
      <c r="H303" s="411">
        <v>0</v>
      </c>
      <c r="I303" s="411">
        <f>'d3'!J385</f>
        <v>210000</v>
      </c>
      <c r="J303" s="411">
        <f>'d3'!K385</f>
        <v>210000</v>
      </c>
      <c r="K303" s="182"/>
      <c r="L303" s="182"/>
      <c r="M303" s="182"/>
    </row>
    <row r="304" spans="1:13" ht="184.5" thickTop="1" thickBot="1" x14ac:dyDescent="0.25">
      <c r="A304" s="558" t="s">
        <v>312</v>
      </c>
      <c r="B304" s="558" t="s">
        <v>313</v>
      </c>
      <c r="C304" s="558" t="s">
        <v>314</v>
      </c>
      <c r="D304" s="558" t="s">
        <v>468</v>
      </c>
      <c r="E304" s="418" t="s">
        <v>1259</v>
      </c>
      <c r="F304" s="411" t="s">
        <v>975</v>
      </c>
      <c r="G304" s="419">
        <f t="shared" si="48"/>
        <v>190000</v>
      </c>
      <c r="H304" s="411">
        <v>190000</v>
      </c>
      <c r="I304" s="411">
        <v>0</v>
      </c>
      <c r="J304" s="411">
        <v>0</v>
      </c>
      <c r="K304" s="182"/>
      <c r="L304" s="182"/>
      <c r="M304" s="182"/>
    </row>
    <row r="305" spans="1:17" ht="184.5" thickTop="1" thickBot="1" x14ac:dyDescent="1.2">
      <c r="A305" s="558" t="s">
        <v>374</v>
      </c>
      <c r="B305" s="558" t="s">
        <v>375</v>
      </c>
      <c r="C305" s="558" t="s">
        <v>171</v>
      </c>
      <c r="D305" s="558" t="s">
        <v>376</v>
      </c>
      <c r="E305" s="418" t="s">
        <v>1377</v>
      </c>
      <c r="F305" s="411" t="s">
        <v>1378</v>
      </c>
      <c r="G305" s="419">
        <f t="shared" si="48"/>
        <v>112500</v>
      </c>
      <c r="H305" s="411">
        <f>'d3'!E387</f>
        <v>0</v>
      </c>
      <c r="I305" s="411">
        <f>'d3'!J387</f>
        <v>112500</v>
      </c>
      <c r="J305" s="411">
        <f>'d3'!K387</f>
        <v>112500</v>
      </c>
      <c r="K305" s="420" t="b">
        <f>G310=G305+G304+G303+G298+G297+G286+G285+G284+G283+G278+G273+G266+G265+G256+G254+G253+G252+G251+G250+G248+G244+G243+G229+G227+G224+G223+G222+G220+G218+G217+G216+G208+G207+G204+G199+G198+G197+G195+G190+G187+G186+G185+G184+G183+G182+G180+G179+G178+G177+G176+G175+G169+G168+G167+G166+G165+G164+G163+G160+G159+G156+G155+G154+G146+G143+G142+G141+G139+G138+G137+G136+G134+G133+G131+G129+G128+G127+G126+G125+G124+G123+G122+G121+G120+G119+G118+G117+G108+G106+G105+G104+G103+G101+G98+G97+G96+G95+G94+G89+G87+G86+G85+G82+G74+G72+G70+G69+G67+G66+G65+G64+G60+G58+G57+G54+G53+G51+G39+G38+G37+G36+G35+G34+G33+G32+G30+G29+G27+G25+G24+G23+G22+G21+G20+G17+G26+G93+G132+G68+G62+G61+G73+G80+G43+G42+G41+G40+G48+G302+G299+G291+G290+G287+G282+G277+G276+G267+G264+G238+G237+G236+G235+G234+G233+G232+G231+G230+G226+G219+G214+G209+G205+G203+G202+G162+G149+G116+G88+G46+G44+G279+G188+G144+G47+G225+G145+G135</f>
        <v>1</v>
      </c>
      <c r="L305" s="420" t="b">
        <f>H310=H305+H304+H303+H298+H297+H286+H285+H284+H283+H278+H273+H266+H265+H256+H254+H253+H252+H251+H250+H248+H244+H243+H229+H227+H224+H223+H222+H220+H218+H217+H216+H208+H207+H204+H199+H198+H197+H195+H190+H187+H186+H185+H184+H183+H182+H180+H179+H178+H177+H176+H175+H169+H168+H167+H166+H165+H164+H163+H160+H159+H156+H155+H154+H146+H143+H142+H141+H139+H138+H137+H136+H134+H133+H131+H129+H128+H127+H126+H125+H124+H123+H122+H121+H120+H119+H118+H117+H108+H106+H105+H104+H103+H101+H98+H97+H96+H95+H94+H89+H87+H86+H85+H82+H74+H72+H70+H69+H67+H66+H65+H64+H60+H58+H57+H54+H53+H51+H39+H38+H37+H36+H35+H34+H33+H32+H30+H29+H27+H25+H24+H23+H22+H21+H20+H17+H26+H93+H132+H68+H62+H61+H73+H80+H43+H42+H41+H40+H48+H302+H299+H291+H290+H287+H282+H277+H276+H267+H264+H238+H237+H236+H235+H234+H233+H232+H231+H230+H226+H219+H214+H209+H205+H203+H202+H162+H149+H116+H88+H46+H44+H279+H188+H144+H47+H225+H145+H135</f>
        <v>1</v>
      </c>
      <c r="M305" s="420" t="b">
        <f>I310=I305+I304+I303+I298+I297+I286+I285+I284+I283+I278+I273+I266+I265+I256+I254+I253+I252+I251+I250+I248+I244+I243+I229+I227+I224+I223+I222+I220+I218+I217+I216+I208+I207+I204+I199+I198+I197+I195+I190+I187+I186+I185+I184+I183+I182+I180+I179+I178+I177+I176+I175+I169+I168+I167+I166+I165+I164+I163+I160+I159+I156+I155+I154+I146+I143+I142+I141+I139+I138+I137+I136+I134+I133+I131+I129+I128+I127+I126+I125+I124+I123+I122+I121+I120+I119+I118+I117+I108+I106+I105+I104+I103+I101+I98+I97+I96+I95+I94+I89+I87+I86+I85+I82+I74+I72+I70+I69+I67+I66+I65+I64+I60+I58+I57+I54+I53+I51+I39+I38+I37+I36+I35+I34+I33+I32+I30+I29+I27+I25+I24+I23+I22+I21+I20+I17+I26+I93+I132+I68+I62+I61+I73+I80+I43+I42+I41+I40+I48+I302+I299+I291+I290+I287+I282+I277+I276+I267+I264+I238+I237+I236+I235+I234+I233+I232+I231+I230+I226+I219+I214+I209+I205+I203+I202+I162+I149+I116+I88+I46+I44+I279+I188+I144+I47+I225+I145+I135</f>
        <v>1</v>
      </c>
      <c r="N305" s="420" t="b">
        <f>J310=J305+J304+J303+J298+J297+J286+J285+J284+J283+J278+J273+J266+J265+J256+J254+J253+J252+J251+J250+J248+J244+J243+J229+J227+J224+J223+J222+J220+J218+J217+J216+J208+J207+J204+J199+J198+J197+J195+J190+J187+J186+J185+J184+J183+J182+J180+J179+J178+J177+J176+J175+J169+J168+J167+J166+J165+J164+J163+J160+J159+J156+J155+J154+J146+J143+J142+J141+J139+J138+J137+J136+J134+J133+J131+J129+J128+J127+J126+J125+J124+J123+J122+J121+J120+J119+J118+J117+J108+J106+J105+J104+J103+J101+J98+J97+J96+J95+J94+J89+J87+J86+J85+J82+J74+J72+J70+J69+J67+J66+J65+J64+J60+J58+J57+J54+J53+J51+J39+J38+J37+J36+J35+J34+J33+J32+J30+J29+J27+J25+J24+J23+J22+J21+J20+J17+J26+J93+J132+J68+J62+J61+J73+J80+J43+J42+J41+J40+J48+J302+J299+J291+J290+J287+J282+J277+J276+J267+J264+J238+J237+J236+J235+J234+J233+J232+J231+J230+J226+J219+J214+J209+J205+J203+J202+J162+J149+J116+J88+J46+J44+J279+J188+J144+J47+J225+J145+J135</f>
        <v>1</v>
      </c>
    </row>
    <row r="306" spans="1:17" ht="136.5" hidden="1" thickTop="1" thickBot="1" x14ac:dyDescent="0.25">
      <c r="A306" s="164" t="s">
        <v>169</v>
      </c>
      <c r="B306" s="164"/>
      <c r="C306" s="164"/>
      <c r="D306" s="165" t="s">
        <v>27</v>
      </c>
      <c r="E306" s="164"/>
      <c r="F306" s="164"/>
      <c r="G306" s="166">
        <f>G307</f>
        <v>0</v>
      </c>
      <c r="H306" s="166">
        <f t="shared" ref="H306:J306" si="49">H307</f>
        <v>0</v>
      </c>
      <c r="I306" s="166">
        <f t="shared" si="49"/>
        <v>0</v>
      </c>
      <c r="J306" s="166">
        <f t="shared" si="49"/>
        <v>0</v>
      </c>
      <c r="K306" s="182"/>
      <c r="L306" s="182"/>
      <c r="M306" s="182"/>
    </row>
    <row r="307" spans="1:17" ht="136.5" hidden="1" thickTop="1" thickBot="1" x14ac:dyDescent="0.25">
      <c r="A307" s="167" t="s">
        <v>170</v>
      </c>
      <c r="B307" s="167"/>
      <c r="C307" s="167"/>
      <c r="D307" s="168" t="s">
        <v>40</v>
      </c>
      <c r="E307" s="169"/>
      <c r="F307" s="169"/>
      <c r="G307" s="169">
        <f>SUM(G308:G309)</f>
        <v>0</v>
      </c>
      <c r="H307" s="169">
        <f>SUM(H308:H309)</f>
        <v>0</v>
      </c>
      <c r="I307" s="169">
        <f>SUM(I308:I309)</f>
        <v>0</v>
      </c>
      <c r="J307" s="169">
        <f>SUM(J308:J309)</f>
        <v>0</v>
      </c>
      <c r="K307" s="182"/>
      <c r="L307" s="182"/>
      <c r="M307" s="182"/>
    </row>
    <row r="308" spans="1:17" ht="184.5" hidden="1" thickTop="1" thickBot="1" x14ac:dyDescent="0.25">
      <c r="A308" s="44" t="s">
        <v>426</v>
      </c>
      <c r="B308" s="44" t="s">
        <v>241</v>
      </c>
      <c r="C308" s="44" t="s">
        <v>239</v>
      </c>
      <c r="D308" s="44" t="s">
        <v>240</v>
      </c>
      <c r="E308" s="318" t="s">
        <v>1063</v>
      </c>
      <c r="F308" s="77" t="s">
        <v>870</v>
      </c>
      <c r="G308" s="77">
        <f t="shared" ref="G308:G309" si="50">H308+I308</f>
        <v>0</v>
      </c>
      <c r="H308" s="319">
        <f>0</f>
        <v>0</v>
      </c>
      <c r="I308" s="334">
        <v>0</v>
      </c>
      <c r="J308" s="334">
        <v>0</v>
      </c>
      <c r="K308" s="182"/>
      <c r="L308" s="182"/>
      <c r="M308" s="182"/>
    </row>
    <row r="309" spans="1:17" ht="367.5" hidden="1" thickTop="1" thickBot="1" x14ac:dyDescent="1.2">
      <c r="A309" s="171" t="s">
        <v>646</v>
      </c>
      <c r="B309" s="171" t="s">
        <v>368</v>
      </c>
      <c r="C309" s="171" t="s">
        <v>637</v>
      </c>
      <c r="D309" s="171" t="s">
        <v>638</v>
      </c>
      <c r="E309" s="315" t="s">
        <v>1227</v>
      </c>
      <c r="F309" s="244" t="s">
        <v>1228</v>
      </c>
      <c r="G309" s="244">
        <f t="shared" si="50"/>
        <v>0</v>
      </c>
      <c r="H309" s="316">
        <f>'d3'!E392</f>
        <v>0</v>
      </c>
      <c r="I309" s="333">
        <v>0</v>
      </c>
      <c r="J309" s="333">
        <v>0</v>
      </c>
      <c r="O309" s="340"/>
    </row>
    <row r="310" spans="1:17" ht="91.5" thickTop="1" thickBot="1" x14ac:dyDescent="1.2">
      <c r="A310" s="677" t="s">
        <v>387</v>
      </c>
      <c r="B310" s="677" t="s">
        <v>387</v>
      </c>
      <c r="C310" s="677" t="s">
        <v>387</v>
      </c>
      <c r="D310" s="678" t="s">
        <v>397</v>
      </c>
      <c r="E310" s="677" t="s">
        <v>387</v>
      </c>
      <c r="F310" s="677" t="s">
        <v>387</v>
      </c>
      <c r="G310" s="679">
        <f>G16+G50+G173+G92+G114+G153+G247+G281+G294+G301+G269+G263+G213+G193+G307</f>
        <v>4556939066.5299997</v>
      </c>
      <c r="H310" s="679">
        <f>H16+H50+H173+H92+H114+H153+H247+H281+H294+H301+H269+H263+H213+H193+H307</f>
        <v>3414294987.8400002</v>
      </c>
      <c r="I310" s="679">
        <f>I16+I50+I173+I92+I114+I153+I247+I281+I294+I301+I269+I263+I213+I193+I307</f>
        <v>1142644078.6900001</v>
      </c>
      <c r="J310" s="679">
        <f>J16+J50+J173+J92+J114+J153+J247+J281+J294+J301+J269+J263+J213+J193+J307</f>
        <v>939215514.61000001</v>
      </c>
      <c r="K310" s="420" t="b">
        <f>G310=H310+I310</f>
        <v>1</v>
      </c>
      <c r="L310" s="421"/>
      <c r="M310" s="421"/>
      <c r="N310" s="422"/>
    </row>
    <row r="311" spans="1:17" s="15" customFormat="1" ht="31.7" customHeight="1" thickTop="1" x14ac:dyDescent="0.2">
      <c r="A311" s="957" t="s">
        <v>1366</v>
      </c>
      <c r="B311" s="958"/>
      <c r="C311" s="958"/>
      <c r="D311" s="958"/>
      <c r="E311" s="958"/>
      <c r="F311" s="958"/>
      <c r="G311" s="958"/>
      <c r="H311" s="958"/>
      <c r="I311" s="958"/>
      <c r="J311" s="958"/>
      <c r="K311" s="341"/>
      <c r="L311" s="341"/>
      <c r="M311" s="341"/>
    </row>
    <row r="312" spans="1:17" ht="31.7" customHeight="1" x14ac:dyDescent="0.2">
      <c r="A312" s="617"/>
      <c r="B312" s="618"/>
      <c r="C312" s="618"/>
      <c r="D312" s="618"/>
      <c r="E312" s="618"/>
      <c r="F312" s="618"/>
      <c r="G312" s="618"/>
      <c r="H312" s="618"/>
      <c r="I312" s="618"/>
      <c r="J312" s="618"/>
    </row>
    <row r="313" spans="1:17" ht="45" customHeight="1" x14ac:dyDescent="0.65">
      <c r="A313" s="617"/>
      <c r="B313" s="618"/>
      <c r="C313" s="618"/>
      <c r="D313" s="906" t="s">
        <v>1481</v>
      </c>
      <c r="E313" s="812"/>
      <c r="F313" s="778"/>
      <c r="G313" s="778" t="s">
        <v>1482</v>
      </c>
      <c r="H313" s="19"/>
      <c r="I313" s="19"/>
      <c r="J313" s="19"/>
      <c r="K313" s="343"/>
      <c r="L313" s="250"/>
      <c r="M313" s="344"/>
      <c r="N313" s="345"/>
      <c r="O313" s="250"/>
      <c r="P313" s="250"/>
      <c r="Q313" s="346"/>
    </row>
    <row r="314" spans="1:17" ht="46.5" customHeight="1" x14ac:dyDescent="0.65">
      <c r="A314" s="563"/>
      <c r="B314" s="563"/>
      <c r="C314" s="563"/>
      <c r="D314" s="3"/>
      <c r="E314" s="3"/>
      <c r="F314" s="3"/>
      <c r="G314" s="3"/>
      <c r="H314" s="2"/>
      <c r="I314" s="2"/>
      <c r="J314" s="2"/>
      <c r="K314" s="251"/>
      <c r="L314" s="250"/>
      <c r="M314" s="344"/>
      <c r="N314" s="345"/>
      <c r="O314" s="250"/>
      <c r="P314" s="250"/>
      <c r="Q314" s="346"/>
    </row>
    <row r="315" spans="1:17" ht="45.75" x14ac:dyDescent="0.65">
      <c r="A315" s="413"/>
      <c r="B315" s="413"/>
      <c r="C315" s="413"/>
      <c r="D315" s="906" t="s">
        <v>531</v>
      </c>
      <c r="E315" s="812"/>
      <c r="F315" s="3"/>
      <c r="G315" s="3" t="s">
        <v>1483</v>
      </c>
      <c r="H315" s="619"/>
      <c r="I315" s="620"/>
      <c r="J315" s="621"/>
      <c r="K315" s="161"/>
      <c r="L315" s="161"/>
      <c r="M315" s="161"/>
      <c r="N315" s="6"/>
      <c r="O315" s="6"/>
      <c r="P315" s="6"/>
      <c r="Q315" s="6"/>
    </row>
    <row r="316" spans="1:17" ht="45.75" x14ac:dyDescent="0.65">
      <c r="D316" s="798"/>
      <c r="E316" s="798"/>
      <c r="F316" s="798"/>
      <c r="G316" s="798"/>
      <c r="H316" s="798"/>
      <c r="I316" s="798"/>
      <c r="J316" s="798"/>
      <c r="K316" s="161"/>
      <c r="L316" s="161"/>
      <c r="M316" s="161"/>
      <c r="N316" s="6"/>
      <c r="O316" s="6"/>
      <c r="P316" s="6"/>
      <c r="Q316" s="6"/>
    </row>
    <row r="317" spans="1:17" x14ac:dyDescent="0.2">
      <c r="E317" s="348"/>
      <c r="F317" s="349"/>
    </row>
    <row r="318" spans="1:17" x14ac:dyDescent="0.2">
      <c r="E318" s="348"/>
      <c r="F318" s="349"/>
    </row>
    <row r="319" spans="1:17" ht="62.25" x14ac:dyDescent="0.8">
      <c r="A319" s="127"/>
      <c r="B319" s="127"/>
      <c r="C319" s="127"/>
      <c r="D319" s="127"/>
      <c r="E319" s="346"/>
      <c r="F319" s="345"/>
      <c r="I319" s="127"/>
      <c r="J319" s="351"/>
    </row>
    <row r="320" spans="1:17" ht="45.75" x14ac:dyDescent="0.2">
      <c r="E320" s="352"/>
      <c r="F320" s="347"/>
    </row>
    <row r="321" spans="1:10" ht="45.75" x14ac:dyDescent="0.2">
      <c r="A321" s="127"/>
      <c r="B321" s="127"/>
      <c r="C321" s="127"/>
      <c r="D321" s="127"/>
      <c r="E321" s="346"/>
      <c r="F321" s="345"/>
      <c r="I321" s="127"/>
      <c r="J321" s="127"/>
    </row>
    <row r="322" spans="1:10" ht="45.75" x14ac:dyDescent="0.2">
      <c r="E322" s="352"/>
      <c r="F322" s="347"/>
    </row>
    <row r="323" spans="1:10" ht="45.75" x14ac:dyDescent="0.2">
      <c r="E323" s="352"/>
      <c r="F323" s="347"/>
    </row>
    <row r="324" spans="1:10" ht="45.75" x14ac:dyDescent="0.2">
      <c r="E324" s="352"/>
      <c r="F324" s="347"/>
    </row>
    <row r="325" spans="1:10" ht="45.75" x14ac:dyDescent="0.2">
      <c r="A325" s="127"/>
      <c r="B325" s="127"/>
      <c r="C325" s="127"/>
      <c r="D325" s="127"/>
      <c r="E325" s="352"/>
      <c r="F325" s="347"/>
      <c r="G325" s="127"/>
      <c r="H325" s="127"/>
      <c r="I325" s="127"/>
      <c r="J325" s="127"/>
    </row>
    <row r="326" spans="1:10" ht="45.75" x14ac:dyDescent="0.2">
      <c r="A326" s="127"/>
      <c r="B326" s="127"/>
      <c r="C326" s="127"/>
      <c r="D326" s="127"/>
      <c r="E326" s="352"/>
      <c r="F326" s="347"/>
      <c r="G326" s="127"/>
      <c r="H326" s="127"/>
      <c r="I326" s="127"/>
      <c r="J326" s="127"/>
    </row>
    <row r="327" spans="1:10" ht="45.75" x14ac:dyDescent="0.2">
      <c r="A327" s="127"/>
      <c r="B327" s="127"/>
      <c r="C327" s="127"/>
      <c r="D327" s="127"/>
      <c r="E327" s="352"/>
      <c r="F327" s="347"/>
      <c r="G327" s="127"/>
      <c r="H327" s="127"/>
      <c r="I327" s="127"/>
      <c r="J327" s="127"/>
    </row>
    <row r="328" spans="1:10" ht="45.75" x14ac:dyDescent="0.2">
      <c r="A328" s="127"/>
      <c r="B328" s="127"/>
      <c r="C328" s="127"/>
      <c r="D328" s="127"/>
      <c r="E328" s="352"/>
      <c r="F328" s="347"/>
      <c r="G328" s="127"/>
      <c r="H328" s="127"/>
      <c r="I328" s="127"/>
      <c r="J328" s="127"/>
    </row>
  </sheetData>
  <mergeCells count="97">
    <mergeCell ref="A209:A210"/>
    <mergeCell ref="J78:J79"/>
    <mergeCell ref="A78:A79"/>
    <mergeCell ref="B78:B79"/>
    <mergeCell ref="C78:C79"/>
    <mergeCell ref="D78:D79"/>
    <mergeCell ref="G78:G79"/>
    <mergeCell ref="H78:H79"/>
    <mergeCell ref="I78:I79"/>
    <mergeCell ref="B209:B210"/>
    <mergeCell ref="G109:G110"/>
    <mergeCell ref="H109:H110"/>
    <mergeCell ref="I109:I110"/>
    <mergeCell ref="J109:J110"/>
    <mergeCell ref="G150:G151"/>
    <mergeCell ref="H150:H151"/>
    <mergeCell ref="D316:J316"/>
    <mergeCell ref="A311:J311"/>
    <mergeCell ref="H274:H275"/>
    <mergeCell ref="I274:I275"/>
    <mergeCell ref="J274:J275"/>
    <mergeCell ref="D274:D275"/>
    <mergeCell ref="A274:A275"/>
    <mergeCell ref="B274:B275"/>
    <mergeCell ref="C274:C275"/>
    <mergeCell ref="G274:G275"/>
    <mergeCell ref="D313:E313"/>
    <mergeCell ref="D315:E315"/>
    <mergeCell ref="C209:C210"/>
    <mergeCell ref="E209:E210"/>
    <mergeCell ref="F209:F210"/>
    <mergeCell ref="G209:G210"/>
    <mergeCell ref="H209:H210"/>
    <mergeCell ref="A150:A151"/>
    <mergeCell ref="B150:B151"/>
    <mergeCell ref="C150:C151"/>
    <mergeCell ref="E150:E151"/>
    <mergeCell ref="F150:F151"/>
    <mergeCell ref="A200:A201"/>
    <mergeCell ref="B200:B201"/>
    <mergeCell ref="C200:C201"/>
    <mergeCell ref="D200:D201"/>
    <mergeCell ref="I1:J1"/>
    <mergeCell ref="I2:J2"/>
    <mergeCell ref="I3:J3"/>
    <mergeCell ref="A5:J5"/>
    <mergeCell ref="A8:J8"/>
    <mergeCell ref="A30:A31"/>
    <mergeCell ref="B30:B31"/>
    <mergeCell ref="C30:C31"/>
    <mergeCell ref="E30:E31"/>
    <mergeCell ref="F30:F31"/>
    <mergeCell ref="H30:H31"/>
    <mergeCell ref="I30:I31"/>
    <mergeCell ref="L23:L25"/>
    <mergeCell ref="M23:M25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3:K25"/>
    <mergeCell ref="D227:D228"/>
    <mergeCell ref="A259:A260"/>
    <mergeCell ref="B259:B260"/>
    <mergeCell ref="C259:C260"/>
    <mergeCell ref="E259:E260"/>
    <mergeCell ref="F259:F260"/>
    <mergeCell ref="A240:A241"/>
    <mergeCell ref="B240:B241"/>
    <mergeCell ref="C240:C241"/>
    <mergeCell ref="E240:E241"/>
    <mergeCell ref="F240:F241"/>
    <mergeCell ref="G240:G241"/>
    <mergeCell ref="K141:K143"/>
    <mergeCell ref="J30:J31"/>
    <mergeCell ref="G30:G31"/>
    <mergeCell ref="L141:L143"/>
    <mergeCell ref="I150:I151"/>
    <mergeCell ref="J150:J151"/>
    <mergeCell ref="I209:I210"/>
    <mergeCell ref="J209:J210"/>
    <mergeCell ref="M141:M143"/>
    <mergeCell ref="I259:I260"/>
    <mergeCell ref="J259:J260"/>
    <mergeCell ref="H240:H241"/>
    <mergeCell ref="I240:I241"/>
    <mergeCell ref="J240:J241"/>
    <mergeCell ref="H259:H260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31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6"/>
  <sheetViews>
    <sheetView view="pageBreakPreview" topLeftCell="A35" zoomScale="85" zoomScaleNormal="85" zoomScaleSheetLayoutView="85" workbookViewId="0">
      <selection activeCell="A5" sqref="A5:D5"/>
    </sheetView>
  </sheetViews>
  <sheetFormatPr defaultColWidth="9.140625" defaultRowHeight="12.75" x14ac:dyDescent="0.2"/>
  <cols>
    <col min="1" max="1" width="18.140625" style="126" customWidth="1"/>
    <col min="2" max="2" width="108" style="126" customWidth="1"/>
    <col min="3" max="3" width="4" style="126" hidden="1" customWidth="1"/>
    <col min="4" max="4" width="17" style="126" customWidth="1"/>
    <col min="5" max="5" width="14.7109375" style="126" customWidth="1"/>
    <col min="6" max="6" width="21.85546875" style="126" bestFit="1" customWidth="1"/>
    <col min="7" max="7" width="18.85546875" style="126" bestFit="1" customWidth="1"/>
    <col min="8" max="9" width="9.140625" style="126"/>
    <col min="10" max="10" width="52.5703125" style="126" customWidth="1"/>
    <col min="11" max="16384" width="9.140625" style="126"/>
  </cols>
  <sheetData>
    <row r="1" spans="1:9" ht="16.5" customHeight="1" x14ac:dyDescent="0.2">
      <c r="A1" s="378"/>
      <c r="B1" s="378"/>
      <c r="C1" s="791" t="s">
        <v>603</v>
      </c>
      <c r="D1" s="791"/>
      <c r="E1" s="379"/>
      <c r="F1" s="379"/>
      <c r="G1" s="378"/>
      <c r="H1" s="378"/>
      <c r="I1" s="378"/>
    </row>
    <row r="2" spans="1:9" ht="16.5" customHeight="1" x14ac:dyDescent="0.2">
      <c r="A2" s="378"/>
      <c r="B2" s="378"/>
      <c r="C2" s="976" t="s">
        <v>1494</v>
      </c>
      <c r="D2" s="977"/>
      <c r="E2" s="977"/>
      <c r="F2" s="977"/>
      <c r="G2" s="378"/>
      <c r="H2" s="378"/>
      <c r="I2" s="378"/>
    </row>
    <row r="3" spans="1:9" ht="12.75" customHeight="1" x14ac:dyDescent="0.2">
      <c r="A3" s="378"/>
      <c r="B3" s="378"/>
      <c r="C3" s="791" t="s">
        <v>1495</v>
      </c>
      <c r="D3" s="967"/>
      <c r="E3" s="378"/>
      <c r="F3" s="378"/>
      <c r="G3" s="378"/>
      <c r="H3" s="378"/>
      <c r="I3" s="378"/>
    </row>
    <row r="4" spans="1:9" ht="12.75" customHeight="1" x14ac:dyDescent="0.2">
      <c r="A4" s="378"/>
      <c r="B4" s="378"/>
      <c r="C4" s="791"/>
      <c r="D4" s="793"/>
      <c r="E4" s="378"/>
      <c r="F4" s="378"/>
      <c r="G4" s="378"/>
      <c r="H4" s="378"/>
      <c r="I4" s="378"/>
    </row>
    <row r="5" spans="1:9" ht="16.5" x14ac:dyDescent="0.25">
      <c r="A5" s="992" t="s">
        <v>577</v>
      </c>
      <c r="B5" s="992"/>
      <c r="C5" s="992"/>
      <c r="D5" s="793"/>
      <c r="E5" s="978"/>
      <c r="F5" s="979"/>
      <c r="G5" s="979"/>
      <c r="H5" s="979"/>
      <c r="I5" s="980"/>
    </row>
    <row r="6" spans="1:9" ht="16.5" x14ac:dyDescent="0.25">
      <c r="A6" s="992" t="s">
        <v>576</v>
      </c>
      <c r="B6" s="992"/>
      <c r="C6" s="992"/>
      <c r="D6" s="793"/>
      <c r="E6" s="129"/>
      <c r="F6" s="130"/>
      <c r="G6" s="130"/>
      <c r="H6" s="130"/>
      <c r="I6" s="380"/>
    </row>
    <row r="7" spans="1:9" ht="16.5" x14ac:dyDescent="0.25">
      <c r="A7" s="983" t="s">
        <v>127</v>
      </c>
      <c r="B7" s="983"/>
      <c r="C7" s="983"/>
      <c r="D7" s="984"/>
      <c r="E7" s="978"/>
      <c r="F7" s="978"/>
      <c r="G7" s="978"/>
      <c r="H7" s="978"/>
      <c r="I7" s="792"/>
    </row>
    <row r="8" spans="1:9" ht="16.5" x14ac:dyDescent="0.2">
      <c r="A8" s="983" t="s">
        <v>1297</v>
      </c>
      <c r="B8" s="983"/>
      <c r="C8" s="983"/>
      <c r="D8" s="984"/>
      <c r="E8" s="981"/>
      <c r="F8" s="981"/>
      <c r="G8" s="981"/>
      <c r="H8" s="981"/>
      <c r="I8" s="982"/>
    </row>
    <row r="9" spans="1:9" ht="16.5" x14ac:dyDescent="0.2">
      <c r="A9" s="125"/>
      <c r="B9" s="125"/>
      <c r="C9" s="125"/>
      <c r="D9" s="381"/>
      <c r="E9" s="131"/>
      <c r="F9" s="131"/>
      <c r="G9" s="131"/>
      <c r="H9" s="131"/>
      <c r="I9" s="382"/>
    </row>
    <row r="10" spans="1:9" ht="16.5" x14ac:dyDescent="0.2">
      <c r="A10" s="383">
        <v>2256400000</v>
      </c>
      <c r="B10" s="89"/>
      <c r="C10" s="90"/>
      <c r="D10" s="384"/>
      <c r="E10" s="78"/>
      <c r="F10" s="78"/>
      <c r="G10" s="78"/>
      <c r="H10" s="131"/>
      <c r="I10" s="382"/>
    </row>
    <row r="11" spans="1:9" ht="16.5" x14ac:dyDescent="0.2">
      <c r="A11" s="385" t="s">
        <v>497</v>
      </c>
      <c r="B11" s="128"/>
      <c r="C11" s="90"/>
      <c r="D11" s="384"/>
      <c r="E11" s="78"/>
      <c r="F11" s="78"/>
      <c r="G11" s="78"/>
      <c r="H11" s="131"/>
      <c r="I11" s="382"/>
    </row>
    <row r="12" spans="1:9" ht="17.25" thickBot="1" x14ac:dyDescent="0.25">
      <c r="A12" s="386"/>
      <c r="B12" s="386"/>
      <c r="C12" s="91"/>
      <c r="D12" s="91" t="s">
        <v>410</v>
      </c>
      <c r="E12" s="78"/>
      <c r="F12" s="78"/>
      <c r="G12" s="79"/>
      <c r="H12" s="378"/>
      <c r="I12" s="378"/>
    </row>
    <row r="13" spans="1:9" s="353" customFormat="1" ht="50.25" customHeight="1" thickTop="1" thickBot="1" x14ac:dyDescent="0.25">
      <c r="A13" s="694" t="s">
        <v>128</v>
      </c>
      <c r="B13" s="972" t="s">
        <v>129</v>
      </c>
      <c r="C13" s="973"/>
      <c r="D13" s="973"/>
      <c r="E13" s="80"/>
      <c r="F13" s="80"/>
      <c r="G13" s="80"/>
    </row>
    <row r="14" spans="1:9" s="353" customFormat="1" ht="39.75" customHeight="1" thickTop="1" thickBot="1" x14ac:dyDescent="0.25">
      <c r="A14" s="115" t="s">
        <v>130</v>
      </c>
      <c r="B14" s="968" t="s">
        <v>131</v>
      </c>
      <c r="C14" s="969"/>
      <c r="D14" s="88">
        <v>100</v>
      </c>
      <c r="E14" s="80"/>
      <c r="F14" s="80"/>
      <c r="G14" s="80"/>
    </row>
    <row r="15" spans="1:9" s="353" customFormat="1" ht="40.700000000000003" customHeight="1" thickTop="1" thickBot="1" x14ac:dyDescent="0.25">
      <c r="A15" s="115" t="s">
        <v>132</v>
      </c>
      <c r="B15" s="968" t="s">
        <v>133</v>
      </c>
      <c r="C15" s="969"/>
      <c r="D15" s="88">
        <v>2200000</v>
      </c>
      <c r="E15" s="80"/>
      <c r="F15" s="80"/>
      <c r="G15" s="80"/>
    </row>
    <row r="16" spans="1:9" s="353" customFormat="1" ht="66" customHeight="1" thickTop="1" thickBot="1" x14ac:dyDescent="0.25">
      <c r="A16" s="115" t="s">
        <v>134</v>
      </c>
      <c r="B16" s="968" t="s">
        <v>1299</v>
      </c>
      <c r="C16" s="969"/>
      <c r="D16" s="88">
        <v>150000</v>
      </c>
      <c r="E16" s="80"/>
      <c r="F16" s="80"/>
      <c r="G16" s="80"/>
    </row>
    <row r="17" spans="1:7" s="353" customFormat="1" ht="41.25" customHeight="1" thickTop="1" thickBot="1" x14ac:dyDescent="0.25">
      <c r="A17" s="115" t="s">
        <v>1030</v>
      </c>
      <c r="B17" s="968" t="s">
        <v>1031</v>
      </c>
      <c r="C17" s="969"/>
      <c r="D17" s="88">
        <v>200000</v>
      </c>
      <c r="E17" s="80"/>
      <c r="F17" s="80"/>
      <c r="G17" s="80"/>
    </row>
    <row r="18" spans="1:7" s="353" customFormat="1" ht="41.25" customHeight="1" thickTop="1" thickBot="1" x14ac:dyDescent="0.25">
      <c r="A18" s="115" t="s">
        <v>135</v>
      </c>
      <c r="B18" s="968" t="s">
        <v>136</v>
      </c>
      <c r="C18" s="969"/>
      <c r="D18" s="88">
        <v>600</v>
      </c>
      <c r="E18" s="80"/>
      <c r="F18" s="80"/>
      <c r="G18" s="80"/>
    </row>
    <row r="19" spans="1:7" s="353" customFormat="1" ht="41.25" customHeight="1" thickTop="1" thickBot="1" x14ac:dyDescent="0.25">
      <c r="A19" s="115" t="s">
        <v>1300</v>
      </c>
      <c r="B19" s="968" t="s">
        <v>1301</v>
      </c>
      <c r="C19" s="969"/>
      <c r="D19" s="88">
        <v>300000</v>
      </c>
      <c r="E19" s="80"/>
      <c r="F19" s="80"/>
      <c r="G19" s="80"/>
    </row>
    <row r="20" spans="1:7" s="353" customFormat="1" ht="41.25" customHeight="1" thickTop="1" thickBot="1" x14ac:dyDescent="0.25">
      <c r="A20" s="115" t="s">
        <v>1302</v>
      </c>
      <c r="B20" s="968" t="s">
        <v>1303</v>
      </c>
      <c r="C20" s="969"/>
      <c r="D20" s="88">
        <v>100000</v>
      </c>
      <c r="E20" s="993" t="s">
        <v>1388</v>
      </c>
      <c r="F20" s="994"/>
      <c r="G20" s="80"/>
    </row>
    <row r="21" spans="1:7" s="353" customFormat="1" ht="18.75" thickTop="1" thickBot="1" x14ac:dyDescent="0.25">
      <c r="A21" s="354"/>
      <c r="B21" s="988" t="s">
        <v>137</v>
      </c>
      <c r="C21" s="969"/>
      <c r="D21" s="92">
        <f>SUM(D14:D20)</f>
        <v>2950700</v>
      </c>
      <c r="E21" s="80"/>
      <c r="F21" s="80"/>
      <c r="G21" s="80"/>
    </row>
    <row r="22" spans="1:7" s="353" customFormat="1" ht="18.75" hidden="1" thickTop="1" thickBot="1" x14ac:dyDescent="0.25">
      <c r="A22" s="354"/>
      <c r="B22" s="988" t="s">
        <v>445</v>
      </c>
      <c r="C22" s="969"/>
      <c r="D22" s="92"/>
      <c r="E22" s="80"/>
      <c r="F22" s="80"/>
      <c r="G22" s="80"/>
    </row>
    <row r="23" spans="1:7" s="353" customFormat="1" ht="18.75" thickTop="1" thickBot="1" x14ac:dyDescent="0.25">
      <c r="A23" s="354"/>
      <c r="B23" s="988" t="s">
        <v>1298</v>
      </c>
      <c r="C23" s="969"/>
      <c r="D23" s="92">
        <v>1286664.08</v>
      </c>
      <c r="E23" s="80"/>
      <c r="F23" s="80"/>
      <c r="G23" s="80"/>
    </row>
    <row r="24" spans="1:7" s="353" customFormat="1" ht="26.45" customHeight="1" thickTop="1" thickBot="1" x14ac:dyDescent="0.25">
      <c r="A24" s="680" t="s">
        <v>387</v>
      </c>
      <c r="B24" s="974" t="s">
        <v>501</v>
      </c>
      <c r="C24" s="975"/>
      <c r="D24" s="681">
        <f>D21+D23</f>
        <v>4237364.08</v>
      </c>
      <c r="E24" s="93" t="b">
        <f>D24='d1'!E102+D23</f>
        <v>1</v>
      </c>
      <c r="G24" s="80"/>
    </row>
    <row r="25" spans="1:7" s="353" customFormat="1" ht="47.25" customHeight="1" thickTop="1" thickBot="1" x14ac:dyDescent="0.25">
      <c r="A25" s="694" t="s">
        <v>128</v>
      </c>
      <c r="B25" s="972" t="s">
        <v>138</v>
      </c>
      <c r="C25" s="973"/>
      <c r="D25" s="973"/>
      <c r="E25" s="80"/>
      <c r="F25" s="80"/>
      <c r="G25" s="80"/>
    </row>
    <row r="26" spans="1:7" s="353" customFormat="1" ht="43.5" customHeight="1" thickTop="1" thickBot="1" x14ac:dyDescent="0.25">
      <c r="A26" s="115" t="s">
        <v>139</v>
      </c>
      <c r="B26" s="968" t="s">
        <v>140</v>
      </c>
      <c r="C26" s="969"/>
      <c r="D26" s="88">
        <v>20000</v>
      </c>
      <c r="E26" s="80"/>
      <c r="F26" s="80"/>
      <c r="G26" s="80"/>
    </row>
    <row r="27" spans="1:7" s="353" customFormat="1" ht="44.45" customHeight="1" thickTop="1" thickBot="1" x14ac:dyDescent="0.25">
      <c r="A27" s="115" t="s">
        <v>141</v>
      </c>
      <c r="B27" s="968" t="s">
        <v>142</v>
      </c>
      <c r="C27" s="969"/>
      <c r="D27" s="88">
        <f>((153400)-30000)+6360</f>
        <v>129760</v>
      </c>
      <c r="E27" s="80"/>
      <c r="F27" s="80"/>
      <c r="G27" s="80"/>
    </row>
    <row r="28" spans="1:7" s="353" customFormat="1" ht="44.45" hidden="1" customHeight="1" thickTop="1" thickBot="1" x14ac:dyDescent="0.25">
      <c r="A28" s="354" t="s">
        <v>477</v>
      </c>
      <c r="B28" s="970" t="s">
        <v>415</v>
      </c>
      <c r="C28" s="971"/>
      <c r="D28" s="355">
        <v>0</v>
      </c>
      <c r="E28" s="80"/>
      <c r="F28" s="80"/>
      <c r="G28" s="80"/>
    </row>
    <row r="29" spans="1:7" s="353" customFormat="1" ht="32.25" customHeight="1" thickTop="1" thickBot="1" x14ac:dyDescent="0.25">
      <c r="A29" s="115" t="s">
        <v>143</v>
      </c>
      <c r="B29" s="968" t="s">
        <v>145</v>
      </c>
      <c r="C29" s="969"/>
      <c r="D29" s="88">
        <v>322000</v>
      </c>
      <c r="E29" s="80"/>
      <c r="F29" s="80"/>
      <c r="G29" s="80"/>
    </row>
    <row r="30" spans="1:7" s="353" customFormat="1" ht="55.5" customHeight="1" thickTop="1" thickBot="1" x14ac:dyDescent="0.25">
      <c r="A30" s="115" t="s">
        <v>144</v>
      </c>
      <c r="B30" s="968" t="s">
        <v>1208</v>
      </c>
      <c r="C30" s="991"/>
      <c r="D30" s="88">
        <f>(1425300)+500578.21+300000</f>
        <v>2225878.21</v>
      </c>
      <c r="E30" s="80"/>
      <c r="F30" s="80"/>
      <c r="G30" s="80"/>
    </row>
    <row r="31" spans="1:7" s="353" customFormat="1" ht="104.25" customHeight="1" thickTop="1" thickBot="1" x14ac:dyDescent="0.25">
      <c r="A31" s="115" t="s">
        <v>146</v>
      </c>
      <c r="B31" s="968" t="s">
        <v>1262</v>
      </c>
      <c r="C31" s="969"/>
      <c r="D31" s="88">
        <f>141725.87+338000</f>
        <v>479725.87</v>
      </c>
      <c r="E31" s="80"/>
      <c r="F31" s="80"/>
      <c r="G31" s="80"/>
    </row>
    <row r="32" spans="1:7" s="353" customFormat="1" ht="51" hidden="1" thickTop="1" thickBot="1" x14ac:dyDescent="0.25">
      <c r="A32" s="356" t="s">
        <v>1011</v>
      </c>
      <c r="B32" s="357" t="s">
        <v>1012</v>
      </c>
      <c r="C32" s="358"/>
      <c r="D32" s="359">
        <v>0</v>
      </c>
      <c r="E32" s="80"/>
      <c r="F32" s="80"/>
      <c r="G32" s="80"/>
    </row>
    <row r="33" spans="1:7" s="353" customFormat="1" ht="17.25" hidden="1" thickTop="1" thickBot="1" x14ac:dyDescent="0.25">
      <c r="A33" s="354" t="s">
        <v>478</v>
      </c>
      <c r="B33" s="970" t="s">
        <v>147</v>
      </c>
      <c r="C33" s="971"/>
      <c r="D33" s="355">
        <f>(20000)-20000</f>
        <v>0</v>
      </c>
      <c r="E33" s="80"/>
      <c r="F33" s="80"/>
      <c r="G33" s="80"/>
    </row>
    <row r="34" spans="1:7" s="353" customFormat="1" ht="17.25" hidden="1" thickTop="1" thickBot="1" x14ac:dyDescent="0.25">
      <c r="A34" s="115" t="s">
        <v>478</v>
      </c>
      <c r="B34" s="968" t="s">
        <v>147</v>
      </c>
      <c r="C34" s="991"/>
      <c r="D34" s="88"/>
      <c r="E34" s="80"/>
      <c r="F34" s="80"/>
      <c r="G34" s="80"/>
    </row>
    <row r="35" spans="1:7" s="353" customFormat="1" ht="157.5" customHeight="1" thickTop="1" thickBot="1" x14ac:dyDescent="0.25">
      <c r="A35" s="115" t="s">
        <v>479</v>
      </c>
      <c r="B35" s="989" t="s">
        <v>1304</v>
      </c>
      <c r="C35" s="990"/>
      <c r="D35" s="116">
        <v>1060000</v>
      </c>
      <c r="E35" s="80"/>
      <c r="F35" s="80"/>
      <c r="G35" s="80"/>
    </row>
    <row r="36" spans="1:7" s="353" customFormat="1" ht="27.75" customHeight="1" thickTop="1" thickBot="1" x14ac:dyDescent="0.25">
      <c r="A36" s="680" t="s">
        <v>387</v>
      </c>
      <c r="B36" s="974" t="s">
        <v>501</v>
      </c>
      <c r="C36" s="975"/>
      <c r="D36" s="681">
        <f>SUM(D26:D35)</f>
        <v>4237364.08</v>
      </c>
      <c r="E36" s="93" t="b">
        <f>D24=D36</f>
        <v>1</v>
      </c>
      <c r="F36" s="93" t="b">
        <f>D36='d3'!J29+'d3'!J182+'d3'!J261+'d3'!J289+'d3'!J319</f>
        <v>1</v>
      </c>
      <c r="G36" s="93" t="b">
        <f>D36='d7'!G240+'d7'!G209+'d7'!G150+'d7'!G30+'d7'!G259</f>
        <v>1</v>
      </c>
    </row>
    <row r="37" spans="1:7" s="364" customFormat="1" ht="27.75" customHeight="1" thickTop="1" x14ac:dyDescent="0.2">
      <c r="A37" s="360"/>
      <c r="B37" s="361"/>
      <c r="C37" s="362"/>
      <c r="D37" s="363"/>
      <c r="E37" s="12"/>
      <c r="F37" s="12"/>
    </row>
    <row r="38" spans="1:7" ht="19.5" customHeight="1" x14ac:dyDescent="0.25">
      <c r="B38" s="891" t="s">
        <v>1481</v>
      </c>
      <c r="C38" s="927"/>
      <c r="D38" s="781" t="s">
        <v>1482</v>
      </c>
      <c r="E38" s="365"/>
      <c r="F38" s="11"/>
    </row>
    <row r="39" spans="1:7" ht="15" x14ac:dyDescent="0.25">
      <c r="B39" s="544"/>
      <c r="C39" s="544"/>
      <c r="D39" s="544"/>
      <c r="E39" s="13"/>
    </row>
    <row r="40" spans="1:7" ht="22.5" customHeight="1" x14ac:dyDescent="0.65">
      <c r="A40" s="366" t="s">
        <v>533</v>
      </c>
      <c r="B40" s="891" t="s">
        <v>531</v>
      </c>
      <c r="C40" s="927"/>
      <c r="D40" s="544" t="s">
        <v>1483</v>
      </c>
      <c r="E40" s="3"/>
    </row>
    <row r="41" spans="1:7" ht="18.75" x14ac:dyDescent="0.2">
      <c r="A41" s="366"/>
      <c r="B41" s="366"/>
      <c r="C41" s="366"/>
    </row>
    <row r="42" spans="1:7" ht="18.75" x14ac:dyDescent="0.2">
      <c r="A42" s="987"/>
      <c r="B42" s="987"/>
      <c r="C42" s="367"/>
    </row>
    <row r="48" spans="1:7" ht="16.5" x14ac:dyDescent="0.2">
      <c r="A48" s="986"/>
      <c r="B48" s="368"/>
      <c r="C48" s="369"/>
      <c r="D48" s="370"/>
    </row>
    <row r="49" spans="1:4" ht="16.5" x14ac:dyDescent="0.2">
      <c r="A49" s="986"/>
      <c r="B49" s="371"/>
      <c r="C49" s="369"/>
      <c r="D49" s="370"/>
    </row>
    <row r="50" spans="1:4" ht="16.5" x14ac:dyDescent="0.2">
      <c r="A50" s="986"/>
      <c r="B50" s="372"/>
      <c r="C50" s="369"/>
      <c r="D50" s="370"/>
    </row>
    <row r="51" spans="1:4" ht="16.5" x14ac:dyDescent="0.2">
      <c r="A51" s="986"/>
      <c r="B51" s="368"/>
      <c r="C51" s="369"/>
      <c r="D51" s="370"/>
    </row>
    <row r="52" spans="1:4" ht="16.5" x14ac:dyDescent="0.2">
      <c r="A52" s="986"/>
      <c r="B52" s="368"/>
      <c r="C52" s="369"/>
      <c r="D52" s="370"/>
    </row>
    <row r="83" spans="6:6" x14ac:dyDescent="0.2">
      <c r="F83" s="985"/>
    </row>
    <row r="84" spans="6:6" x14ac:dyDescent="0.2">
      <c r="F84" s="887"/>
    </row>
    <row r="120" spans="6:6" x14ac:dyDescent="0.2">
      <c r="F120" s="126">
        <f>G120+H120</f>
        <v>0</v>
      </c>
    </row>
    <row r="122" spans="6:6" x14ac:dyDescent="0.2">
      <c r="F122" s="126">
        <f t="shared" ref="F122:F132" si="0">G122+H122</f>
        <v>0</v>
      </c>
    </row>
    <row r="123" spans="6:6" x14ac:dyDescent="0.2">
      <c r="F123" s="126">
        <f t="shared" si="0"/>
        <v>0</v>
      </c>
    </row>
    <row r="124" spans="6:6" x14ac:dyDescent="0.2">
      <c r="F124" s="126">
        <f t="shared" si="0"/>
        <v>0</v>
      </c>
    </row>
    <row r="125" spans="6:6" x14ac:dyDescent="0.2">
      <c r="F125" s="126">
        <f t="shared" si="0"/>
        <v>0</v>
      </c>
    </row>
    <row r="126" spans="6:6" x14ac:dyDescent="0.2">
      <c r="F126" s="126">
        <f t="shared" si="0"/>
        <v>0</v>
      </c>
    </row>
    <row r="127" spans="6:6" x14ac:dyDescent="0.2">
      <c r="F127" s="126">
        <f t="shared" si="0"/>
        <v>0</v>
      </c>
    </row>
    <row r="128" spans="6:6" x14ac:dyDescent="0.2">
      <c r="F128" s="126">
        <f t="shared" si="0"/>
        <v>0</v>
      </c>
    </row>
    <row r="129" spans="6:9" x14ac:dyDescent="0.2">
      <c r="F129" s="126">
        <f t="shared" si="0"/>
        <v>0</v>
      </c>
    </row>
    <row r="130" spans="6:9" x14ac:dyDescent="0.2">
      <c r="F130" s="126">
        <f t="shared" si="0"/>
        <v>0</v>
      </c>
    </row>
    <row r="131" spans="6:9" x14ac:dyDescent="0.2">
      <c r="F131" s="126">
        <f t="shared" si="0"/>
        <v>0</v>
      </c>
    </row>
    <row r="132" spans="6:9" x14ac:dyDescent="0.2">
      <c r="F132" s="126">
        <f t="shared" si="0"/>
        <v>0</v>
      </c>
    </row>
    <row r="134" spans="6:9" x14ac:dyDescent="0.2">
      <c r="F134" s="126">
        <f>G135+H135</f>
        <v>0</v>
      </c>
    </row>
    <row r="135" spans="6:9" x14ac:dyDescent="0.2">
      <c r="F135" s="126">
        <f t="shared" ref="F135" si="1">G135+H135</f>
        <v>0</v>
      </c>
    </row>
    <row r="136" spans="6:9" x14ac:dyDescent="0.2">
      <c r="F136" s="126">
        <f>G136+H136</f>
        <v>0</v>
      </c>
    </row>
    <row r="137" spans="6:9" x14ac:dyDescent="0.2">
      <c r="F137" s="126">
        <f>G137+H137</f>
        <v>0</v>
      </c>
    </row>
    <row r="138" spans="6:9" x14ac:dyDescent="0.2">
      <c r="F138" s="126">
        <f>G138+H138</f>
        <v>0</v>
      </c>
    </row>
    <row r="139" spans="6:9" x14ac:dyDescent="0.2">
      <c r="F139" s="126">
        <f>G139+H139</f>
        <v>0</v>
      </c>
    </row>
    <row r="144" spans="6:9" ht="46.5" x14ac:dyDescent="0.2">
      <c r="I144" s="14"/>
    </row>
    <row r="147" spans="6:9" ht="46.5" x14ac:dyDescent="0.2">
      <c r="F147" s="14">
        <f>G147+H147</f>
        <v>0</v>
      </c>
      <c r="I147" s="14"/>
    </row>
    <row r="166" spans="10:10" ht="90" x14ac:dyDescent="0.2">
      <c r="J166" s="373" t="b">
        <f>F166=G166+H166</f>
        <v>1</v>
      </c>
    </row>
  </sheetData>
  <mergeCells count="40">
    <mergeCell ref="E20:F20"/>
    <mergeCell ref="B17:C17"/>
    <mergeCell ref="B19:C19"/>
    <mergeCell ref="B20:C20"/>
    <mergeCell ref="B34:C34"/>
    <mergeCell ref="B16:C16"/>
    <mergeCell ref="B15:C15"/>
    <mergeCell ref="B14:C14"/>
    <mergeCell ref="A5:D5"/>
    <mergeCell ref="A7:D7"/>
    <mergeCell ref="A6:D6"/>
    <mergeCell ref="F83:F84"/>
    <mergeCell ref="A48:A52"/>
    <mergeCell ref="A42:B42"/>
    <mergeCell ref="B22:C22"/>
    <mergeCell ref="B21:C21"/>
    <mergeCell ref="B36:C36"/>
    <mergeCell ref="B35:C35"/>
    <mergeCell ref="B33:C33"/>
    <mergeCell ref="B31:C31"/>
    <mergeCell ref="B30:C30"/>
    <mergeCell ref="B23:C23"/>
    <mergeCell ref="B38:C38"/>
    <mergeCell ref="B40:C40"/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tabSelected="1" view="pageBreakPreview" topLeftCell="A28" zoomScale="85" zoomScaleNormal="85" zoomScaleSheetLayoutView="85" workbookViewId="0">
      <selection activeCell="A6" sqref="A6:F6"/>
    </sheetView>
  </sheetViews>
  <sheetFormatPr defaultColWidth="9.140625" defaultRowHeight="12.75" x14ac:dyDescent="0.2"/>
  <cols>
    <col min="1" max="1" width="6.85546875" style="728" customWidth="1"/>
    <col min="2" max="2" width="15.140625" style="728" customWidth="1"/>
    <col min="3" max="3" width="15.28515625" style="728" customWidth="1"/>
    <col min="4" max="4" width="10.85546875" style="728" customWidth="1"/>
    <col min="5" max="5" width="62" style="728" customWidth="1"/>
    <col min="6" max="6" width="15.85546875" style="728" customWidth="1"/>
    <col min="7" max="7" width="10.85546875" style="728" bestFit="1" customWidth="1"/>
    <col min="8" max="10" width="9.140625" style="728"/>
    <col min="11" max="11" width="52.5703125" style="728" customWidth="1"/>
    <col min="12" max="16384" width="9.140625" style="728"/>
  </cols>
  <sheetData>
    <row r="1" spans="1:10" x14ac:dyDescent="0.2">
      <c r="A1" s="387"/>
      <c r="B1" s="387"/>
      <c r="C1" s="387"/>
      <c r="D1" s="387"/>
      <c r="E1" s="387"/>
      <c r="F1" s="387" t="s">
        <v>604</v>
      </c>
      <c r="G1" s="388"/>
      <c r="H1" s="388"/>
      <c r="I1" s="388"/>
    </row>
    <row r="2" spans="1:10" x14ac:dyDescent="0.2">
      <c r="A2" s="387"/>
      <c r="B2" s="387"/>
      <c r="C2" s="387"/>
      <c r="D2" s="387"/>
      <c r="E2" s="387"/>
      <c r="F2" s="387" t="s">
        <v>1494</v>
      </c>
      <c r="G2" s="388"/>
      <c r="H2" s="388"/>
      <c r="I2" s="388"/>
    </row>
    <row r="3" spans="1:10" x14ac:dyDescent="0.2">
      <c r="A3" s="387"/>
      <c r="B3" s="387"/>
      <c r="C3" s="387"/>
      <c r="D3" s="387"/>
      <c r="E3" s="387"/>
      <c r="F3" s="998" t="s">
        <v>1496</v>
      </c>
      <c r="G3" s="999"/>
      <c r="H3" s="999"/>
      <c r="I3" s="999"/>
    </row>
    <row r="4" spans="1:10" ht="15.75" x14ac:dyDescent="0.25">
      <c r="A4" s="1000" t="s">
        <v>579</v>
      </c>
      <c r="B4" s="1001"/>
      <c r="C4" s="1001"/>
      <c r="D4" s="1001"/>
      <c r="E4" s="1001"/>
      <c r="F4" s="1001"/>
      <c r="G4" s="388"/>
      <c r="H4" s="388"/>
      <c r="I4" s="388"/>
    </row>
    <row r="5" spans="1:10" ht="15.75" x14ac:dyDescent="0.25">
      <c r="A5" s="1000" t="s">
        <v>578</v>
      </c>
      <c r="B5" s="1001"/>
      <c r="C5" s="1001"/>
      <c r="D5" s="1001"/>
      <c r="E5" s="1001"/>
      <c r="F5" s="1001"/>
      <c r="G5" s="388"/>
      <c r="H5" s="388"/>
      <c r="I5" s="388"/>
    </row>
    <row r="6" spans="1:10" ht="15.75" x14ac:dyDescent="0.25">
      <c r="A6" s="1000" t="s">
        <v>913</v>
      </c>
      <c r="B6" s="1001"/>
      <c r="C6" s="1001"/>
      <c r="D6" s="1001"/>
      <c r="E6" s="1001"/>
      <c r="F6" s="1001"/>
      <c r="G6" s="388"/>
      <c r="H6" s="388"/>
      <c r="I6" s="388"/>
    </row>
    <row r="7" spans="1:10" ht="15.75" x14ac:dyDescent="0.25">
      <c r="A7" s="388"/>
      <c r="B7" s="388"/>
      <c r="C7" s="1000" t="s">
        <v>1305</v>
      </c>
      <c r="D7" s="1001"/>
      <c r="E7" s="1001"/>
      <c r="F7" s="388"/>
      <c r="G7" s="388"/>
      <c r="H7" s="388"/>
      <c r="I7" s="388"/>
    </row>
    <row r="8" spans="1:10" ht="12.75" customHeight="1" x14ac:dyDescent="0.25">
      <c r="A8" s="389"/>
      <c r="B8" s="389"/>
      <c r="C8" s="389"/>
      <c r="D8" s="389"/>
      <c r="E8" s="389"/>
      <c r="F8" s="389"/>
      <c r="G8" s="390"/>
      <c r="H8" s="390"/>
      <c r="I8" s="390"/>
      <c r="J8" s="374"/>
    </row>
    <row r="9" spans="1:10" x14ac:dyDescent="0.2">
      <c r="A9" s="1002">
        <v>2256400000</v>
      </c>
      <c r="B9" s="804"/>
      <c r="C9" s="727"/>
      <c r="D9" s="727"/>
      <c r="E9" s="727"/>
      <c r="F9" s="727"/>
      <c r="G9" s="388"/>
      <c r="H9" s="388"/>
      <c r="I9" s="388"/>
    </row>
    <row r="10" spans="1:10" x14ac:dyDescent="0.2">
      <c r="A10" s="995" t="s">
        <v>497</v>
      </c>
      <c r="B10" s="996"/>
      <c r="C10" s="727"/>
      <c r="D10" s="727"/>
      <c r="E10" s="727"/>
      <c r="F10" s="727"/>
      <c r="G10" s="388"/>
      <c r="H10" s="388"/>
      <c r="I10" s="388"/>
    </row>
    <row r="11" spans="1:10" ht="13.5" thickBot="1" x14ac:dyDescent="0.25">
      <c r="A11" s="730"/>
      <c r="B11" s="730"/>
      <c r="C11" s="727"/>
      <c r="D11" s="727"/>
      <c r="E11" s="727"/>
      <c r="F11" s="727"/>
      <c r="G11" s="388"/>
      <c r="H11" s="388"/>
      <c r="I11" s="388"/>
    </row>
    <row r="12" spans="1:10" ht="48" customHeight="1" thickTop="1" thickBot="1" x14ac:dyDescent="0.25">
      <c r="A12" s="391" t="s">
        <v>322</v>
      </c>
      <c r="B12" s="392" t="s">
        <v>323</v>
      </c>
      <c r="C12" s="392" t="s">
        <v>20</v>
      </c>
      <c r="D12" s="392" t="s">
        <v>16</v>
      </c>
      <c r="E12" s="391" t="s">
        <v>324</v>
      </c>
      <c r="F12" s="393" t="s">
        <v>411</v>
      </c>
      <c r="G12" s="37"/>
      <c r="H12" s="388"/>
      <c r="I12" s="388"/>
    </row>
    <row r="13" spans="1:10" ht="17.25" thickTop="1" thickBot="1" x14ac:dyDescent="0.25">
      <c r="A13" s="423">
        <v>1</v>
      </c>
      <c r="B13" s="396" t="s">
        <v>1173</v>
      </c>
      <c r="C13" s="396" t="s">
        <v>1174</v>
      </c>
      <c r="D13" s="396" t="s">
        <v>51</v>
      </c>
      <c r="E13" s="424" t="s">
        <v>1306</v>
      </c>
      <c r="F13" s="425">
        <f>80000+46434</f>
        <v>126434</v>
      </c>
      <c r="G13" s="22"/>
    </row>
    <row r="14" spans="1:10" ht="64.5" thickTop="1" thickBot="1" x14ac:dyDescent="0.25">
      <c r="A14" s="423">
        <v>2</v>
      </c>
      <c r="B14" s="396" t="s">
        <v>1173</v>
      </c>
      <c r="C14" s="396" t="s">
        <v>1174</v>
      </c>
      <c r="D14" s="396" t="s">
        <v>51</v>
      </c>
      <c r="E14" s="424" t="s">
        <v>1317</v>
      </c>
      <c r="F14" s="425">
        <v>81000</v>
      </c>
      <c r="G14" s="22"/>
    </row>
    <row r="15" spans="1:10" ht="48.75" thickTop="1" thickBot="1" x14ac:dyDescent="0.25">
      <c r="A15" s="423">
        <v>3</v>
      </c>
      <c r="B15" s="396" t="s">
        <v>1173</v>
      </c>
      <c r="C15" s="396" t="s">
        <v>1174</v>
      </c>
      <c r="D15" s="396" t="s">
        <v>51</v>
      </c>
      <c r="E15" s="424" t="s">
        <v>1318</v>
      </c>
      <c r="F15" s="425">
        <v>50000</v>
      </c>
      <c r="G15" s="22"/>
    </row>
    <row r="16" spans="1:10" ht="33" thickTop="1" thickBot="1" x14ac:dyDescent="0.25">
      <c r="A16" s="423">
        <v>4</v>
      </c>
      <c r="B16" s="396" t="s">
        <v>1173</v>
      </c>
      <c r="C16" s="396" t="s">
        <v>1174</v>
      </c>
      <c r="D16" s="396" t="s">
        <v>51</v>
      </c>
      <c r="E16" s="734" t="s">
        <v>1412</v>
      </c>
      <c r="F16" s="425">
        <v>10000</v>
      </c>
      <c r="G16" s="22"/>
    </row>
    <row r="17" spans="1:7" ht="17.25" thickTop="1" thickBot="1" x14ac:dyDescent="0.25">
      <c r="A17" s="423">
        <v>5</v>
      </c>
      <c r="B17" s="396" t="s">
        <v>1173</v>
      </c>
      <c r="C17" s="396" t="s">
        <v>1174</v>
      </c>
      <c r="D17" s="396" t="s">
        <v>51</v>
      </c>
      <c r="E17" s="426" t="s">
        <v>1307</v>
      </c>
      <c r="F17" s="425">
        <v>60000</v>
      </c>
      <c r="G17" s="22"/>
    </row>
    <row r="18" spans="1:7" ht="33" thickTop="1" thickBot="1" x14ac:dyDescent="0.25">
      <c r="A18" s="423">
        <v>6</v>
      </c>
      <c r="B18" s="396" t="s">
        <v>1173</v>
      </c>
      <c r="C18" s="396" t="s">
        <v>1174</v>
      </c>
      <c r="D18" s="396" t="s">
        <v>51</v>
      </c>
      <c r="E18" s="426" t="s">
        <v>1308</v>
      </c>
      <c r="F18" s="425">
        <f>40000+40000</f>
        <v>80000</v>
      </c>
      <c r="G18" s="22"/>
    </row>
    <row r="19" spans="1:7" ht="48.75" thickTop="1" thickBot="1" x14ac:dyDescent="0.25">
      <c r="A19" s="423">
        <v>7</v>
      </c>
      <c r="B19" s="396" t="s">
        <v>1173</v>
      </c>
      <c r="C19" s="396" t="s">
        <v>1174</v>
      </c>
      <c r="D19" s="396" t="s">
        <v>51</v>
      </c>
      <c r="E19" s="426" t="s">
        <v>1309</v>
      </c>
      <c r="F19" s="425">
        <v>80000</v>
      </c>
      <c r="G19" s="22"/>
    </row>
    <row r="20" spans="1:7" ht="48.75" thickTop="1" thickBot="1" x14ac:dyDescent="0.25">
      <c r="A20" s="423">
        <v>8</v>
      </c>
      <c r="B20" s="396" t="s">
        <v>1173</v>
      </c>
      <c r="C20" s="396" t="s">
        <v>1174</v>
      </c>
      <c r="D20" s="396" t="s">
        <v>51</v>
      </c>
      <c r="E20" s="426" t="s">
        <v>1176</v>
      </c>
      <c r="F20" s="425">
        <f>96000+13000</f>
        <v>109000</v>
      </c>
      <c r="G20" s="22"/>
    </row>
    <row r="21" spans="1:7" ht="64.5" thickTop="1" thickBot="1" x14ac:dyDescent="0.25">
      <c r="A21" s="423">
        <v>9</v>
      </c>
      <c r="B21" s="396" t="s">
        <v>1173</v>
      </c>
      <c r="C21" s="396" t="s">
        <v>1174</v>
      </c>
      <c r="D21" s="396" t="s">
        <v>51</v>
      </c>
      <c r="E21" s="426" t="s">
        <v>1310</v>
      </c>
      <c r="F21" s="425">
        <v>778000</v>
      </c>
      <c r="G21" s="22"/>
    </row>
    <row r="22" spans="1:7" ht="96" thickTop="1" thickBot="1" x14ac:dyDescent="0.25">
      <c r="A22" s="423">
        <v>10</v>
      </c>
      <c r="B22" s="396" t="s">
        <v>1173</v>
      </c>
      <c r="C22" s="396" t="s">
        <v>1174</v>
      </c>
      <c r="D22" s="396" t="s">
        <v>51</v>
      </c>
      <c r="E22" s="426" t="s">
        <v>1319</v>
      </c>
      <c r="F22" s="425">
        <v>75000</v>
      </c>
      <c r="G22" s="22"/>
    </row>
    <row r="23" spans="1:7" ht="80.25" thickTop="1" thickBot="1" x14ac:dyDescent="0.25">
      <c r="A23" s="423">
        <v>11</v>
      </c>
      <c r="B23" s="396" t="s">
        <v>1173</v>
      </c>
      <c r="C23" s="396" t="s">
        <v>1174</v>
      </c>
      <c r="D23" s="396" t="s">
        <v>51</v>
      </c>
      <c r="E23" s="735" t="s">
        <v>1413</v>
      </c>
      <c r="F23" s="425">
        <v>520000</v>
      </c>
      <c r="G23" s="22"/>
    </row>
    <row r="24" spans="1:7" ht="48.75" thickTop="1" thickBot="1" x14ac:dyDescent="0.25">
      <c r="A24" s="423">
        <v>12</v>
      </c>
      <c r="B24" s="396" t="s">
        <v>1173</v>
      </c>
      <c r="C24" s="396" t="s">
        <v>1174</v>
      </c>
      <c r="D24" s="396" t="s">
        <v>51</v>
      </c>
      <c r="E24" s="426" t="s">
        <v>1414</v>
      </c>
      <c r="F24" s="425">
        <v>100000</v>
      </c>
      <c r="G24" s="22"/>
    </row>
    <row r="25" spans="1:7" ht="60" customHeight="1" thickTop="1" thickBot="1" x14ac:dyDescent="0.25">
      <c r="A25" s="423">
        <v>13</v>
      </c>
      <c r="B25" s="396" t="s">
        <v>1173</v>
      </c>
      <c r="C25" s="396" t="s">
        <v>1174</v>
      </c>
      <c r="D25" s="396" t="s">
        <v>51</v>
      </c>
      <c r="E25" s="426" t="s">
        <v>1415</v>
      </c>
      <c r="F25" s="425">
        <v>420000</v>
      </c>
      <c r="G25" s="22"/>
    </row>
    <row r="26" spans="1:7" ht="92.25" customHeight="1" thickTop="1" thickBot="1" x14ac:dyDescent="0.25">
      <c r="A26" s="423">
        <v>14</v>
      </c>
      <c r="B26" s="396" t="s">
        <v>1173</v>
      </c>
      <c r="C26" s="396" t="s">
        <v>1174</v>
      </c>
      <c r="D26" s="396" t="s">
        <v>51</v>
      </c>
      <c r="E26" s="735" t="s">
        <v>1416</v>
      </c>
      <c r="F26" s="425">
        <v>78000</v>
      </c>
      <c r="G26" s="22"/>
    </row>
    <row r="27" spans="1:7" ht="67.5" customHeight="1" thickTop="1" thickBot="1" x14ac:dyDescent="0.25">
      <c r="A27" s="423">
        <v>15</v>
      </c>
      <c r="B27" s="396" t="s">
        <v>1173</v>
      </c>
      <c r="C27" s="396" t="s">
        <v>1174</v>
      </c>
      <c r="D27" s="396" t="s">
        <v>51</v>
      </c>
      <c r="E27" s="426" t="s">
        <v>1417</v>
      </c>
      <c r="F27" s="425">
        <v>1200000</v>
      </c>
      <c r="G27" s="22"/>
    </row>
    <row r="28" spans="1:7" ht="33" thickTop="1" thickBot="1" x14ac:dyDescent="0.25">
      <c r="A28" s="423">
        <v>16</v>
      </c>
      <c r="B28" s="396" t="s">
        <v>1173</v>
      </c>
      <c r="C28" s="396" t="s">
        <v>1174</v>
      </c>
      <c r="D28" s="396" t="s">
        <v>51</v>
      </c>
      <c r="E28" s="426" t="s">
        <v>1418</v>
      </c>
      <c r="F28" s="425">
        <v>189000</v>
      </c>
      <c r="G28" s="22"/>
    </row>
    <row r="29" spans="1:7" ht="32.25" customHeight="1" thickTop="1" thickBot="1" x14ac:dyDescent="0.25">
      <c r="A29" s="682" t="s">
        <v>387</v>
      </c>
      <c r="B29" s="682" t="s">
        <v>387</v>
      </c>
      <c r="C29" s="682" t="s">
        <v>387</v>
      </c>
      <c r="D29" s="682" t="s">
        <v>387</v>
      </c>
      <c r="E29" s="682" t="s">
        <v>397</v>
      </c>
      <c r="F29" s="683">
        <f>SUM(F13:F28)</f>
        <v>3956434</v>
      </c>
      <c r="G29" s="653" t="b">
        <f>F29='d3'!P376</f>
        <v>1</v>
      </c>
    </row>
    <row r="30" spans="1:7" ht="15" customHeight="1" thickTop="1" x14ac:dyDescent="0.2">
      <c r="A30" s="375"/>
      <c r="B30" s="375"/>
      <c r="C30" s="375"/>
      <c r="D30" s="375"/>
      <c r="E30" s="375"/>
      <c r="F30" s="376"/>
    </row>
    <row r="31" spans="1:7" ht="15.75" hidden="1" customHeight="1" x14ac:dyDescent="0.25">
      <c r="A31" s="726"/>
      <c r="B31" s="1"/>
      <c r="C31" s="120"/>
      <c r="D31" s="1"/>
      <c r="E31" s="1"/>
      <c r="F31" s="1"/>
    </row>
    <row r="32" spans="1:7" ht="27" hidden="1" customHeight="1" x14ac:dyDescent="0.2">
      <c r="A32" s="997" t="s">
        <v>531</v>
      </c>
      <c r="B32" s="997"/>
      <c r="C32" s="997"/>
      <c r="D32" s="997"/>
      <c r="E32" s="726"/>
      <c r="F32" s="394" t="s">
        <v>532</v>
      </c>
    </row>
    <row r="33" spans="1:6" ht="15.75" hidden="1" x14ac:dyDescent="0.2">
      <c r="A33" s="729"/>
      <c r="B33" s="729"/>
      <c r="C33" s="729"/>
      <c r="D33" s="729"/>
      <c r="E33" s="726"/>
      <c r="F33" s="395"/>
    </row>
    <row r="34" spans="1:6" ht="15.75" x14ac:dyDescent="0.25">
      <c r="A34" s="726"/>
      <c r="B34" s="891" t="s">
        <v>1481</v>
      </c>
      <c r="C34" s="927"/>
      <c r="D34" s="781"/>
      <c r="E34" s="1"/>
      <c r="F34" s="781" t="s">
        <v>1482</v>
      </c>
    </row>
    <row r="35" spans="1:6" ht="15.75" x14ac:dyDescent="0.25">
      <c r="A35" s="729"/>
      <c r="B35" s="544"/>
      <c r="C35" s="544"/>
      <c r="D35" s="544"/>
      <c r="E35" s="726"/>
      <c r="F35" s="544"/>
    </row>
    <row r="36" spans="1:6" ht="15.75" x14ac:dyDescent="0.25">
      <c r="A36" s="729"/>
      <c r="B36" s="891" t="s">
        <v>531</v>
      </c>
      <c r="C36" s="927"/>
      <c r="D36" s="544"/>
      <c r="E36" s="1"/>
      <c r="F36" s="544" t="s">
        <v>1483</v>
      </c>
    </row>
    <row r="85" spans="7:7" x14ac:dyDescent="0.2">
      <c r="G85" s="887"/>
    </row>
    <row r="86" spans="7:7" x14ac:dyDescent="0.2">
      <c r="G86" s="887"/>
    </row>
    <row r="146" spans="7:10" ht="46.5" x14ac:dyDescent="0.65">
      <c r="J146" s="10"/>
    </row>
    <row r="149" spans="7:10" ht="46.5" x14ac:dyDescent="0.65">
      <c r="G149" s="10"/>
      <c r="J149" s="10"/>
    </row>
    <row r="168" spans="11:11" ht="90" x14ac:dyDescent="1.1499999999999999">
      <c r="K168" s="377" t="b">
        <f>G168=H168+I168</f>
        <v>1</v>
      </c>
    </row>
  </sheetData>
  <mergeCells count="11">
    <mergeCell ref="A10:B10"/>
    <mergeCell ref="A32:D32"/>
    <mergeCell ref="G85:G86"/>
    <mergeCell ref="F3:I3"/>
    <mergeCell ref="A4:F4"/>
    <mergeCell ref="A5:F5"/>
    <mergeCell ref="A6:F6"/>
    <mergeCell ref="C7:E7"/>
    <mergeCell ref="A9:B9"/>
    <mergeCell ref="B34:C34"/>
    <mergeCell ref="B36:C36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'd3'!Заголовки_для_друку</vt:lpstr>
      <vt:lpstr>'d6'!Заголовки_для_друку</vt:lpstr>
      <vt:lpstr>'d7'!Заголовки_для_друку</vt:lpstr>
      <vt:lpstr>'d1'!Область_друку</vt:lpstr>
      <vt:lpstr>'d2'!Область_друку</vt:lpstr>
      <vt:lpstr>'d3'!Область_друку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Кірічук Оксана Володимирівна</cp:lastModifiedBy>
  <cp:lastPrinted>2023-03-22T13:34:26Z</cp:lastPrinted>
  <dcterms:created xsi:type="dcterms:W3CDTF">2001-12-03T09:30:42Z</dcterms:created>
  <dcterms:modified xsi:type="dcterms:W3CDTF">2023-03-28T08:55:42Z</dcterms:modified>
</cp:coreProperties>
</file>