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3\10.08.2023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'd2'!$10:$13</definedName>
    <definedName name="_xlnm.Print_Area" localSheetId="0">'d2'!$B$1:$N$226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2" i="1" l="1"/>
  <c r="O191" i="1"/>
  <c r="J216" i="1"/>
  <c r="I216" i="1"/>
  <c r="K221" i="1"/>
  <c r="N221" i="1"/>
  <c r="N220" i="1"/>
  <c r="K220" i="1"/>
  <c r="J220" i="1"/>
  <c r="I220" i="1"/>
  <c r="G220" i="1"/>
  <c r="F220" i="1"/>
  <c r="E220" i="1"/>
  <c r="I212" i="1" l="1"/>
  <c r="J212" i="1"/>
  <c r="J198" i="1"/>
  <c r="I198" i="1"/>
  <c r="J197" i="1"/>
  <c r="I197" i="1"/>
  <c r="K197" i="1" s="1"/>
  <c r="I188" i="1"/>
  <c r="J188" i="1"/>
  <c r="J185" i="1"/>
  <c r="I185" i="1"/>
  <c r="J183" i="1"/>
  <c r="I183" i="1"/>
  <c r="I157" i="1"/>
  <c r="J157" i="1"/>
  <c r="I155" i="1"/>
  <c r="J155" i="1"/>
  <c r="J145" i="1"/>
  <c r="I145" i="1"/>
  <c r="J142" i="1"/>
  <c r="I142" i="1"/>
  <c r="I108" i="1" l="1"/>
  <c r="J108" i="1"/>
  <c r="K80" i="1"/>
  <c r="K57" i="1"/>
  <c r="K56" i="1"/>
  <c r="N52" i="1"/>
  <c r="K52" i="1"/>
  <c r="J51" i="1"/>
  <c r="I51" i="1"/>
  <c r="G51" i="1"/>
  <c r="F51" i="1"/>
  <c r="E51" i="1"/>
  <c r="N51" i="1" l="1"/>
  <c r="K51" i="1"/>
  <c r="J18" i="1" l="1"/>
  <c r="I18" i="1"/>
  <c r="I16" i="1"/>
  <c r="J16" i="1"/>
  <c r="N213" i="1"/>
  <c r="H213" i="1"/>
  <c r="H203" i="1" l="1"/>
  <c r="H169" i="1" l="1"/>
  <c r="H166" i="1"/>
  <c r="G130" i="1"/>
  <c r="F130" i="1"/>
  <c r="E130" i="1"/>
  <c r="H132" i="1"/>
  <c r="N132" i="1"/>
  <c r="H113" i="1" l="1"/>
  <c r="H74" i="1"/>
  <c r="K219" i="1" l="1"/>
  <c r="K218" i="1"/>
  <c r="H212" i="1"/>
  <c r="H211" i="1"/>
  <c r="H210" i="1"/>
  <c r="H208" i="1"/>
  <c r="H202" i="1"/>
  <c r="H198" i="1"/>
  <c r="H197" i="1"/>
  <c r="H196" i="1"/>
  <c r="H194" i="1"/>
  <c r="H193" i="1"/>
  <c r="K193" i="1"/>
  <c r="I156" i="1" l="1"/>
  <c r="H190" i="1"/>
  <c r="H186" i="1"/>
  <c r="H183" i="1"/>
  <c r="H182" i="1"/>
  <c r="H181" i="1"/>
  <c r="H179" i="1"/>
  <c r="H177" i="1"/>
  <c r="H176" i="1"/>
  <c r="H174" i="1"/>
  <c r="H172" i="1"/>
  <c r="H171" i="1"/>
  <c r="H153" i="1"/>
  <c r="H150" i="1" l="1"/>
  <c r="H148" i="1"/>
  <c r="H145" i="1"/>
  <c r="H144" i="1"/>
  <c r="H141" i="1"/>
  <c r="H140" i="1"/>
  <c r="H139" i="1"/>
  <c r="H136" i="1"/>
  <c r="H135" i="1"/>
  <c r="H134" i="1"/>
  <c r="H129" i="1"/>
  <c r="H128" i="1"/>
  <c r="H126" i="1"/>
  <c r="H124" i="1"/>
  <c r="H123" i="1"/>
  <c r="H120" i="1"/>
  <c r="H119" i="1"/>
  <c r="H117" i="1"/>
  <c r="H116" i="1"/>
  <c r="H115" i="1"/>
  <c r="H114" i="1"/>
  <c r="H111" i="1" l="1"/>
  <c r="H11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3" i="1"/>
  <c r="H91" i="1"/>
  <c r="H89" i="1"/>
  <c r="H88" i="1"/>
  <c r="H86" i="1"/>
  <c r="H84" i="1"/>
  <c r="H83" i="1"/>
  <c r="H81" i="1"/>
  <c r="H80" i="1"/>
  <c r="H78" i="1"/>
  <c r="H77" i="1"/>
  <c r="H75" i="1"/>
  <c r="H73" i="1"/>
  <c r="F67" i="1"/>
  <c r="H72" i="1"/>
  <c r="H71" i="1"/>
  <c r="H70" i="1"/>
  <c r="H69" i="1"/>
  <c r="H68" i="1"/>
  <c r="K108" i="1" l="1"/>
  <c r="H65" i="1"/>
  <c r="H64" i="1"/>
  <c r="H60" i="1"/>
  <c r="H57" i="1"/>
  <c r="H56" i="1"/>
  <c r="H55" i="1"/>
  <c r="E63" i="1"/>
  <c r="H54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9" i="1"/>
  <c r="H27" i="1"/>
  <c r="H26" i="1"/>
  <c r="H24" i="1"/>
  <c r="H23" i="1"/>
  <c r="H22" i="1"/>
  <c r="G48" i="1"/>
  <c r="K40" i="1"/>
  <c r="H20" i="1"/>
  <c r="H18" i="1"/>
  <c r="H17" i="1"/>
  <c r="H16" i="1"/>
  <c r="K14" i="1" l="1"/>
  <c r="H14" i="1"/>
  <c r="K15" i="1"/>
  <c r="H15" i="1" l="1"/>
  <c r="N85" i="1" l="1"/>
  <c r="I92" i="1"/>
  <c r="J92" i="1"/>
  <c r="N24" i="1"/>
  <c r="K24" i="1"/>
  <c r="F217" i="1" l="1"/>
  <c r="F209" i="1"/>
  <c r="F207" i="1"/>
  <c r="F204" i="1"/>
  <c r="F201" i="1"/>
  <c r="F199" i="1"/>
  <c r="F195" i="1"/>
  <c r="F192" i="1"/>
  <c r="F187" i="1"/>
  <c r="F180" i="1"/>
  <c r="F178" i="1" s="1"/>
  <c r="F175" i="1"/>
  <c r="F173" i="1"/>
  <c r="F170" i="1"/>
  <c r="F168" i="1"/>
  <c r="F164" i="1"/>
  <c r="F154" i="1"/>
  <c r="F152" i="1"/>
  <c r="F146" i="1"/>
  <c r="F138" i="1"/>
  <c r="F133" i="1"/>
  <c r="F127" i="1"/>
  <c r="F125" i="1"/>
  <c r="F122" i="1"/>
  <c r="F118" i="1"/>
  <c r="F112" i="1" s="1"/>
  <c r="F109" i="1"/>
  <c r="F94" i="1"/>
  <c r="F92" i="1"/>
  <c r="F90" i="1"/>
  <c r="F87" i="1"/>
  <c r="F82" i="1"/>
  <c r="F79" i="1"/>
  <c r="F76" i="1"/>
  <c r="F63" i="1"/>
  <c r="F61" i="1"/>
  <c r="F59" i="1"/>
  <c r="F48" i="1"/>
  <c r="F43" i="1"/>
  <c r="F39" i="1"/>
  <c r="F36" i="1"/>
  <c r="F33" i="1"/>
  <c r="F28" i="1"/>
  <c r="F25" i="1"/>
  <c r="F21" i="1"/>
  <c r="F19" i="1" l="1"/>
  <c r="F137" i="1"/>
  <c r="F206" i="1"/>
  <c r="F167" i="1"/>
  <c r="F151" i="1" s="1"/>
  <c r="F216" i="1"/>
  <c r="F191" i="1"/>
  <c r="F66" i="1"/>
  <c r="F53" i="1"/>
  <c r="F121" i="1"/>
  <c r="F215" i="1" l="1"/>
  <c r="F214" i="1"/>
  <c r="F244" i="1" s="1"/>
  <c r="N218" i="1"/>
  <c r="K194" i="1"/>
  <c r="K136" i="1"/>
  <c r="N93" i="1"/>
  <c r="K92" i="1"/>
  <c r="K93" i="1"/>
  <c r="F222" i="1" l="1"/>
  <c r="K18" i="1"/>
  <c r="N197" i="1" l="1"/>
  <c r="G195" i="1"/>
  <c r="H195" i="1" s="1"/>
  <c r="J195" i="1"/>
  <c r="I195" i="1"/>
  <c r="E195" i="1"/>
  <c r="N196" i="1" l="1"/>
  <c r="N166" i="1" l="1"/>
  <c r="G152" i="1"/>
  <c r="H152" i="1" s="1"/>
  <c r="E152" i="1"/>
  <c r="I152" i="1"/>
  <c r="N117" i="1" l="1"/>
  <c r="N108" i="1"/>
  <c r="N74" i="1"/>
  <c r="K198" i="1" l="1"/>
  <c r="J173" i="1"/>
  <c r="N136" i="1"/>
  <c r="G59" i="1" l="1"/>
  <c r="H59" i="1" s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K30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K39" i="1" s="1"/>
  <c r="N40" i="1"/>
  <c r="N41" i="1"/>
  <c r="N42" i="1"/>
  <c r="E43" i="1"/>
  <c r="G43" i="1"/>
  <c r="H43" i="1" s="1"/>
  <c r="I43" i="1"/>
  <c r="J43" i="1"/>
  <c r="K44" i="1"/>
  <c r="N44" i="1"/>
  <c r="K45" i="1"/>
  <c r="N45" i="1"/>
  <c r="N46" i="1"/>
  <c r="K47" i="1"/>
  <c r="N47" i="1"/>
  <c r="E48" i="1"/>
  <c r="I48" i="1"/>
  <c r="J48" i="1"/>
  <c r="N48" i="1" s="1"/>
  <c r="K49" i="1"/>
  <c r="N49" i="1"/>
  <c r="K50" i="1"/>
  <c r="N50" i="1"/>
  <c r="K54" i="1"/>
  <c r="N54" i="1"/>
  <c r="N55" i="1"/>
  <c r="N56" i="1"/>
  <c r="N57" i="1"/>
  <c r="K58" i="1"/>
  <c r="N58" i="1"/>
  <c r="E59" i="1"/>
  <c r="N59" i="1"/>
  <c r="N60" i="1"/>
  <c r="E61" i="1"/>
  <c r="G61" i="1"/>
  <c r="N62" i="1"/>
  <c r="G63" i="1"/>
  <c r="H63" i="1" s="1"/>
  <c r="I63" i="1"/>
  <c r="I53" i="1" s="1"/>
  <c r="J63" i="1"/>
  <c r="N64" i="1"/>
  <c r="N65" i="1"/>
  <c r="E67" i="1"/>
  <c r="G67" i="1"/>
  <c r="H67" i="1" s="1"/>
  <c r="I67" i="1"/>
  <c r="J67" i="1"/>
  <c r="K68" i="1"/>
  <c r="N68" i="1"/>
  <c r="N69" i="1"/>
  <c r="N70" i="1"/>
  <c r="N71" i="1"/>
  <c r="N72" i="1"/>
  <c r="N73" i="1"/>
  <c r="N75" i="1"/>
  <c r="E76" i="1"/>
  <c r="G76" i="1"/>
  <c r="H76" i="1" s="1"/>
  <c r="I76" i="1"/>
  <c r="J76" i="1"/>
  <c r="K77" i="1"/>
  <c r="N77" i="1"/>
  <c r="K78" i="1"/>
  <c r="N78" i="1"/>
  <c r="E79" i="1"/>
  <c r="G79" i="1"/>
  <c r="H79" i="1" s="1"/>
  <c r="I79" i="1"/>
  <c r="J79" i="1"/>
  <c r="N80" i="1"/>
  <c r="K81" i="1"/>
  <c r="N81" i="1"/>
  <c r="E82" i="1"/>
  <c r="G82" i="1"/>
  <c r="H82" i="1" s="1"/>
  <c r="I82" i="1"/>
  <c r="J82" i="1"/>
  <c r="K83" i="1"/>
  <c r="N83" i="1"/>
  <c r="K84" i="1"/>
  <c r="N84" i="1"/>
  <c r="N86" i="1"/>
  <c r="E87" i="1"/>
  <c r="G87" i="1"/>
  <c r="N88" i="1"/>
  <c r="N89" i="1"/>
  <c r="E90" i="1"/>
  <c r="G90" i="1"/>
  <c r="H90" i="1" s="1"/>
  <c r="N91" i="1"/>
  <c r="E92" i="1"/>
  <c r="G92" i="1"/>
  <c r="E94" i="1"/>
  <c r="G94" i="1"/>
  <c r="H94" i="1" s="1"/>
  <c r="I94" i="1"/>
  <c r="J94" i="1"/>
  <c r="K95" i="1"/>
  <c r="N95" i="1"/>
  <c r="K98" i="1"/>
  <c r="N98" i="1"/>
  <c r="K102" i="1"/>
  <c r="N102" i="1"/>
  <c r="K105" i="1"/>
  <c r="N105" i="1"/>
  <c r="E109" i="1"/>
  <c r="G109" i="1"/>
  <c r="H109" i="1" s="1"/>
  <c r="I109" i="1"/>
  <c r="J109" i="1"/>
  <c r="K110" i="1"/>
  <c r="N110" i="1"/>
  <c r="K111" i="1"/>
  <c r="N111" i="1"/>
  <c r="N113" i="1"/>
  <c r="K114" i="1"/>
  <c r="N114" i="1"/>
  <c r="K115" i="1"/>
  <c r="N115" i="1"/>
  <c r="K116" i="1"/>
  <c r="N116" i="1"/>
  <c r="E118" i="1"/>
  <c r="E112" i="1" s="1"/>
  <c r="G118" i="1"/>
  <c r="I118" i="1"/>
  <c r="I112" i="1" s="1"/>
  <c r="J118" i="1"/>
  <c r="K119" i="1"/>
  <c r="N119" i="1"/>
  <c r="N120" i="1"/>
  <c r="E122" i="1"/>
  <c r="G122" i="1"/>
  <c r="N123" i="1"/>
  <c r="N124" i="1"/>
  <c r="E125" i="1"/>
  <c r="G125" i="1"/>
  <c r="H125" i="1" s="1"/>
  <c r="N126" i="1"/>
  <c r="E127" i="1"/>
  <c r="G127" i="1"/>
  <c r="H127" i="1" s="1"/>
  <c r="I127" i="1"/>
  <c r="J127" i="1"/>
  <c r="K128" i="1"/>
  <c r="N128" i="1"/>
  <c r="N129" i="1"/>
  <c r="I130" i="1"/>
  <c r="J130" i="1"/>
  <c r="K131" i="1"/>
  <c r="N131" i="1"/>
  <c r="E133" i="1"/>
  <c r="G133" i="1"/>
  <c r="H133" i="1" s="1"/>
  <c r="I133" i="1"/>
  <c r="J133" i="1"/>
  <c r="K133" i="1" s="1"/>
  <c r="N134" i="1"/>
  <c r="N135" i="1"/>
  <c r="E138" i="1"/>
  <c r="G138" i="1"/>
  <c r="H138" i="1" s="1"/>
  <c r="I138" i="1"/>
  <c r="J138" i="1"/>
  <c r="K139" i="1"/>
  <c r="N139" i="1"/>
  <c r="N140" i="1"/>
  <c r="K141" i="1"/>
  <c r="N141" i="1"/>
  <c r="K142" i="1"/>
  <c r="N142" i="1"/>
  <c r="K143" i="1"/>
  <c r="N143" i="1"/>
  <c r="K145" i="1"/>
  <c r="N145" i="1"/>
  <c r="E146" i="1"/>
  <c r="G146" i="1"/>
  <c r="I146" i="1"/>
  <c r="J146" i="1"/>
  <c r="K147" i="1"/>
  <c r="N147" i="1"/>
  <c r="K148" i="1"/>
  <c r="N148" i="1"/>
  <c r="N149" i="1"/>
  <c r="N150" i="1"/>
  <c r="J152" i="1"/>
  <c r="K153" i="1"/>
  <c r="N153" i="1"/>
  <c r="K155" i="1"/>
  <c r="N155" i="1"/>
  <c r="J156" i="1"/>
  <c r="N157" i="1"/>
  <c r="K158" i="1"/>
  <c r="N158" i="1"/>
  <c r="N159" i="1"/>
  <c r="K160" i="1"/>
  <c r="N160" i="1"/>
  <c r="K161" i="1"/>
  <c r="N161" i="1"/>
  <c r="K162" i="1"/>
  <c r="N162" i="1"/>
  <c r="K163" i="1"/>
  <c r="N163" i="1"/>
  <c r="E164" i="1"/>
  <c r="E154" i="1" s="1"/>
  <c r="G164" i="1"/>
  <c r="G154" i="1" s="1"/>
  <c r="H154" i="1" s="1"/>
  <c r="I164" i="1"/>
  <c r="J164" i="1"/>
  <c r="K165" i="1"/>
  <c r="N165" i="1"/>
  <c r="E168" i="1"/>
  <c r="G168" i="1"/>
  <c r="H168" i="1" s="1"/>
  <c r="I168" i="1"/>
  <c r="J168" i="1"/>
  <c r="N169" i="1"/>
  <c r="E170" i="1"/>
  <c r="G170" i="1"/>
  <c r="N171" i="1"/>
  <c r="N172" i="1"/>
  <c r="E173" i="1"/>
  <c r="G173" i="1"/>
  <c r="H173" i="1" s="1"/>
  <c r="I173" i="1"/>
  <c r="K174" i="1"/>
  <c r="N174" i="1"/>
  <c r="E175" i="1"/>
  <c r="G175" i="1"/>
  <c r="H175" i="1" s="1"/>
  <c r="I175" i="1"/>
  <c r="J175" i="1"/>
  <c r="K176" i="1"/>
  <c r="N176" i="1"/>
  <c r="N177" i="1"/>
  <c r="N179" i="1"/>
  <c r="E180" i="1"/>
  <c r="G180" i="1"/>
  <c r="H180" i="1" s="1"/>
  <c r="I180" i="1"/>
  <c r="J180" i="1"/>
  <c r="N181" i="1"/>
  <c r="N182" i="1"/>
  <c r="K183" i="1"/>
  <c r="N183" i="1"/>
  <c r="K184" i="1"/>
  <c r="N184" i="1"/>
  <c r="N185" i="1"/>
  <c r="N186" i="1"/>
  <c r="I187" i="1"/>
  <c r="J187" i="1"/>
  <c r="E187" i="1"/>
  <c r="E192" i="1"/>
  <c r="G192" i="1"/>
  <c r="H192" i="1" s="1"/>
  <c r="I192" i="1"/>
  <c r="J192" i="1"/>
  <c r="N193" i="1"/>
  <c r="N194" i="1"/>
  <c r="K195" i="1"/>
  <c r="N198" i="1"/>
  <c r="E199" i="1"/>
  <c r="G199" i="1"/>
  <c r="I199" i="1"/>
  <c r="J199" i="1"/>
  <c r="K200" i="1"/>
  <c r="N200" i="1"/>
  <c r="E201" i="1"/>
  <c r="G201" i="1"/>
  <c r="H201" i="1" s="1"/>
  <c r="I201" i="1"/>
  <c r="J201" i="1"/>
  <c r="N202" i="1"/>
  <c r="N203" i="1"/>
  <c r="E204" i="1"/>
  <c r="G204" i="1"/>
  <c r="I204" i="1"/>
  <c r="J204" i="1"/>
  <c r="N205" i="1"/>
  <c r="E207" i="1"/>
  <c r="E206" i="1" s="1"/>
  <c r="G207" i="1"/>
  <c r="I207" i="1"/>
  <c r="I206" i="1" s="1"/>
  <c r="J207" i="1"/>
  <c r="N208" i="1"/>
  <c r="E209" i="1"/>
  <c r="G209" i="1"/>
  <c r="H209" i="1" s="1"/>
  <c r="I209" i="1"/>
  <c r="J209" i="1"/>
  <c r="N210" i="1"/>
  <c r="N211" i="1"/>
  <c r="K212" i="1"/>
  <c r="N212" i="1"/>
  <c r="L214" i="1"/>
  <c r="M214" i="1"/>
  <c r="E217" i="1"/>
  <c r="E216" i="1" s="1"/>
  <c r="E215" i="1" s="1"/>
  <c r="G217" i="1"/>
  <c r="I217" i="1"/>
  <c r="I215" i="1" s="1"/>
  <c r="J217" i="1"/>
  <c r="N219" i="1"/>
  <c r="L222" i="1"/>
  <c r="M222" i="1"/>
  <c r="H21" i="1" l="1"/>
  <c r="G19" i="1"/>
  <c r="H207" i="1"/>
  <c r="G206" i="1"/>
  <c r="K79" i="1"/>
  <c r="E19" i="1"/>
  <c r="J19" i="1"/>
  <c r="N204" i="1"/>
  <c r="J206" i="1"/>
  <c r="K175" i="1"/>
  <c r="E53" i="1"/>
  <c r="I19" i="1"/>
  <c r="K48" i="1"/>
  <c r="N92" i="1"/>
  <c r="H92" i="1"/>
  <c r="N87" i="1"/>
  <c r="H87" i="1"/>
  <c r="N25" i="1"/>
  <c r="H25" i="1"/>
  <c r="K192" i="1"/>
  <c r="N173" i="1"/>
  <c r="N170" i="1"/>
  <c r="H170" i="1"/>
  <c r="N122" i="1"/>
  <c r="H122" i="1"/>
  <c r="G112" i="1"/>
  <c r="H112" i="1" s="1"/>
  <c r="H118" i="1"/>
  <c r="N28" i="1"/>
  <c r="K82" i="1"/>
  <c r="N138" i="1"/>
  <c r="K94" i="1"/>
  <c r="N109" i="1"/>
  <c r="N63" i="1"/>
  <c r="G53" i="1"/>
  <c r="H53" i="1" s="1"/>
  <c r="K199" i="1"/>
  <c r="N192" i="1"/>
  <c r="I121" i="1"/>
  <c r="N94" i="1"/>
  <c r="N61" i="1"/>
  <c r="N217" i="1"/>
  <c r="J137" i="1"/>
  <c r="K138" i="1"/>
  <c r="K36" i="1"/>
  <c r="K21" i="1"/>
  <c r="N195" i="1"/>
  <c r="N133" i="1"/>
  <c r="N33" i="1"/>
  <c r="K173" i="1"/>
  <c r="I66" i="1"/>
  <c r="E191" i="1"/>
  <c r="H206" i="1"/>
  <c r="K164" i="1"/>
  <c r="K130" i="1"/>
  <c r="E121" i="1"/>
  <c r="K109" i="1"/>
  <c r="N82" i="1"/>
  <c r="N79" i="1"/>
  <c r="N36" i="1"/>
  <c r="K28" i="1"/>
  <c r="J121" i="1"/>
  <c r="N207" i="1"/>
  <c r="N199" i="1"/>
  <c r="I191" i="1"/>
  <c r="N190" i="1"/>
  <c r="E178" i="1"/>
  <c r="G167" i="1"/>
  <c r="H167" i="1" s="1"/>
  <c r="K157" i="1"/>
  <c r="K152" i="1"/>
  <c r="I137" i="1"/>
  <c r="K16" i="1"/>
  <c r="N209" i="1"/>
  <c r="N201" i="1"/>
  <c r="N188" i="1"/>
  <c r="G187" i="1"/>
  <c r="H187" i="1" s="1"/>
  <c r="N180" i="1"/>
  <c r="E137" i="1"/>
  <c r="N144" i="1"/>
  <c r="G137" i="1"/>
  <c r="H137" i="1" s="1"/>
  <c r="N130" i="1"/>
  <c r="N127" i="1"/>
  <c r="K118" i="1"/>
  <c r="K76" i="1"/>
  <c r="I167" i="1"/>
  <c r="G216" i="1"/>
  <c r="G215" i="1" s="1"/>
  <c r="I178" i="1"/>
  <c r="J167" i="1"/>
  <c r="E167" i="1"/>
  <c r="J154" i="1"/>
  <c r="N154" i="1" s="1"/>
  <c r="K127" i="1"/>
  <c r="K67" i="1"/>
  <c r="E66" i="1"/>
  <c r="K43" i="1"/>
  <c r="K33" i="1"/>
  <c r="K187" i="1"/>
  <c r="J215" i="1"/>
  <c r="N164" i="1"/>
  <c r="N39" i="1"/>
  <c r="H19" i="1"/>
  <c r="J191" i="1"/>
  <c r="K188" i="1"/>
  <c r="N175" i="1"/>
  <c r="J66" i="1"/>
  <c r="J53" i="1"/>
  <c r="K53" i="1" s="1"/>
  <c r="G191" i="1"/>
  <c r="H191" i="1" s="1"/>
  <c r="I154" i="1"/>
  <c r="G66" i="1"/>
  <c r="H66" i="1" s="1"/>
  <c r="J178" i="1"/>
  <c r="N168" i="1"/>
  <c r="N156" i="1"/>
  <c r="N152" i="1"/>
  <c r="N146" i="1"/>
  <c r="N125" i="1"/>
  <c r="G121" i="1"/>
  <c r="H121" i="1" s="1"/>
  <c r="N118" i="1"/>
  <c r="N90" i="1"/>
  <c r="N76" i="1"/>
  <c r="N67" i="1"/>
  <c r="N43" i="1"/>
  <c r="J112" i="1"/>
  <c r="K185" i="1"/>
  <c r="K156" i="1"/>
  <c r="K146" i="1"/>
  <c r="N21" i="1"/>
  <c r="G178" i="1" l="1"/>
  <c r="H178" i="1" s="1"/>
  <c r="E151" i="1"/>
  <c r="E214" i="1" s="1"/>
  <c r="N187" i="1"/>
  <c r="K178" i="1"/>
  <c r="K121" i="1"/>
  <c r="K137" i="1"/>
  <c r="N215" i="1"/>
  <c r="K167" i="1"/>
  <c r="K19" i="1"/>
  <c r="N137" i="1"/>
  <c r="O137" i="1" s="1"/>
  <c r="N167" i="1"/>
  <c r="N216" i="1"/>
  <c r="I151" i="1"/>
  <c r="I214" i="1" s="1"/>
  <c r="I244" i="1" s="1"/>
  <c r="K112" i="1"/>
  <c r="N112" i="1"/>
  <c r="O112" i="1" s="1"/>
  <c r="N206" i="1"/>
  <c r="O206" i="1" s="1"/>
  <c r="K206" i="1"/>
  <c r="N121" i="1"/>
  <c r="O121" i="1" s="1"/>
  <c r="N14" i="1"/>
  <c r="O14" i="1" s="1"/>
  <c r="N66" i="1"/>
  <c r="O66" i="1" s="1"/>
  <c r="K66" i="1"/>
  <c r="N178" i="1"/>
  <c r="N19" i="1"/>
  <c r="O19" i="1" s="1"/>
  <c r="K154" i="1"/>
  <c r="J151" i="1"/>
  <c r="J214" i="1" s="1"/>
  <c r="N53" i="1"/>
  <c r="O53" i="1" s="1"/>
  <c r="N191" i="1"/>
  <c r="K191" i="1"/>
  <c r="G151" i="1" l="1"/>
  <c r="H151" i="1" s="1"/>
  <c r="E222" i="1"/>
  <c r="E244" i="1"/>
  <c r="I222" i="1"/>
  <c r="K151" i="1"/>
  <c r="K214" i="1"/>
  <c r="J222" i="1"/>
  <c r="N151" i="1" l="1"/>
  <c r="O151" i="1" s="1"/>
  <c r="G214" i="1"/>
  <c r="H214" i="1" s="1"/>
  <c r="K222" i="1"/>
  <c r="N214" i="1"/>
  <c r="O214" i="1" s="1"/>
  <c r="G222" i="1" l="1"/>
  <c r="H222" i="1" s="1"/>
  <c r="N222" i="1"/>
  <c r="T222" i="1" l="1"/>
  <c r="O222" i="1"/>
</calcChain>
</file>

<file path=xl/sharedStrings.xml><?xml version="1.0" encoding="utf-8"?>
<sst xmlns="http://schemas.openxmlformats.org/spreadsheetml/2006/main" count="697" uniqueCount="565">
  <si>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</si>
  <si>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</si>
  <si>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</si>
  <si>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</si>
  <si>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</si>
  <si>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</si>
  <si>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</si>
  <si>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</si>
  <si>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</si>
  <si>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</si>
  <si>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</si>
  <si>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</si>
  <si>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</si>
  <si>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</si>
  <si>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</si>
  <si>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</si>
  <si>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</si>
  <si>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</si>
  <si>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</si>
  <si>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</si>
  <si>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</si>
  <si>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</si>
  <si>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</si>
  <si>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</si>
  <si>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</si>
  <si>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</si>
  <si>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</si>
  <si>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</si>
  <si>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</si>
  <si>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</si>
  <si>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</si>
  <si>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</si>
  <si>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</si>
  <si>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</si>
  <si>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</si>
  <si>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</si>
  <si>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</si>
  <si>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</si>
  <si>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</si>
  <si>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</si>
  <si>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</si>
  <si>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</si>
  <si>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</si>
  <si>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</si>
  <si>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</si>
  <si>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</si>
  <si>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</si>
  <si>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</si>
  <si>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</si>
  <si>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</si>
  <si>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</si>
  <si>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</si>
  <si>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</si>
  <si>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</si>
  <si>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</si>
  <si>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</si>
  <si>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</si>
  <si>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</si>
  <si>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</si>
  <si>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</si>
  <si>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</si>
  <si>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</si>
  <si>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</si>
  <si>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</si>
  <si>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</si>
  <si>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</si>
  <si>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</si>
  <si>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</si>
  <si>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</si>
  <si>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</si>
  <si>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</si>
  <si>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</si>
  <si>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</si>
  <si>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</si>
  <si>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</si>
  <si>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</si>
  <si>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</si>
  <si>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</si>
  <si>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</si>
  <si>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</si>
  <si>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</si>
  <si>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</si>
  <si>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</si>
  <si>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</si>
  <si>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</si>
  <si>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</si>
  <si>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</si>
  <si>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</si>
  <si>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</si>
  <si>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</si>
  <si>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</si>
  <si>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</si>
  <si>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</si>
  <si>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</si>
  <si>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</si>
  <si>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</si>
  <si>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</si>
  <si>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</si>
  <si>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</si>
  <si>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</si>
  <si>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</si>
  <si>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</si>
  <si>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</si>
  <si>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</si>
  <si>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</si>
  <si>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</si>
  <si>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</si>
  <si>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</si>
  <si>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</si>
  <si>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</si>
  <si>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</si>
  <si>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</si>
  <si>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</si>
  <si>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</si>
  <si>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</si>
  <si>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</si>
  <si>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</si>
  <si>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</si>
  <si>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</si>
  <si>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</si>
  <si>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</si>
  <si>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</si>
  <si>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</si>
  <si>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</si>
  <si>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</si>
  <si>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</si>
  <si>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</si>
  <si>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</si>
  <si>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</si>
  <si>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</si>
  <si>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</si>
  <si>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</si>
  <si>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</si>
  <si>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</si>
  <si>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</si>
  <si>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</si>
  <si>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</si>
  <si>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</si>
  <si>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</si>
  <si>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</si>
  <si>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</si>
  <si>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</si>
  <si>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</si>
  <si>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</si>
  <si>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</si>
  <si>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</si>
  <si>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</si>
  <si>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</si>
  <si>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</si>
  <si>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</si>
  <si>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</si>
  <si>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</si>
  <si>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</si>
  <si>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</si>
  <si>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</si>
  <si>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</si>
  <si>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</si>
  <si>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</si>
  <si>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</si>
  <si>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</si>
  <si>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</si>
  <si>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</si>
  <si>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</si>
  <si>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</si>
  <si>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</si>
  <si>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</si>
  <si>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</si>
  <si>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</si>
  <si>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</si>
  <si>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</si>
  <si>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</si>
  <si>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</si>
  <si>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</si>
  <si>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</si>
  <si>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</si>
  <si>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</si>
  <si>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</si>
  <si>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</si>
  <si>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</si>
  <si>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</si>
  <si>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</si>
  <si>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</si>
  <si>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</si>
  <si>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</si>
  <si>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</si>
  <si>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</si>
  <si>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</si>
  <si>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</si>
  <si>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</si>
  <si>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</si>
  <si>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</si>
  <si>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</si>
  <si>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</si>
  <si>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</si>
  <si>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</si>
  <si>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</si>
  <si>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</si>
  <si>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</si>
  <si>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</si>
  <si>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</si>
  <si>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</si>
  <si>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</si>
  <si>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</si>
  <si>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</si>
  <si>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</si>
  <si>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</si>
  <si>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</si>
  <si>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</si>
  <si>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</si>
  <si>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</si>
  <si>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</si>
  <si>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</si>
  <si>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</si>
  <si>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</si>
  <si>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</si>
  <si>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</si>
  <si>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</si>
  <si>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</si>
  <si>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</si>
  <si>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</si>
  <si>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</si>
  <si>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</si>
  <si>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</si>
  <si>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</si>
  <si>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</si>
  <si>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</si>
  <si>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</si>
  <si>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</si>
  <si>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</si>
  <si>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</si>
  <si>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</si>
  <si>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</si>
  <si>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</si>
  <si>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</si>
  <si>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</si>
  <si>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</si>
  <si>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</si>
  <si>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</si>
  <si>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</si>
  <si>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</si>
  <si>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</si>
  <si>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</si>
  <si>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</si>
  <si>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</si>
  <si>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</si>
  <si>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</si>
  <si>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</si>
  <si>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</si>
  <si>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</si>
  <si>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</si>
  <si>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</si>
  <si>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</si>
  <si>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</si>
  <si>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</si>
  <si>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</si>
  <si>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</si>
  <si>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</si>
  <si>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</si>
  <si>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</si>
  <si>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</si>
  <si>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</si>
  <si>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</si>
  <si>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</si>
  <si>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</si>
  <si>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</si>
  <si>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</si>
  <si>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</si>
  <si>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</si>
  <si>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</si>
  <si>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</si>
  <si>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</si>
  <si>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</si>
  <si>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</si>
  <si>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</si>
  <si>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</si>
  <si>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</si>
  <si>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</si>
  <si>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</si>
  <si>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</si>
  <si>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</si>
  <si>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</si>
  <si>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</si>
  <si>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</si>
  <si>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</si>
  <si>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</si>
  <si>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</si>
  <si>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</si>
  <si>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</si>
  <si>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</si>
  <si>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</si>
  <si>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</si>
  <si>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</si>
  <si>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</si>
  <si>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</si>
  <si>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</si>
  <si>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</si>
  <si>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</si>
  <si>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</si>
  <si>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</si>
  <si>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</si>
  <si>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</si>
  <si>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</si>
  <si>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</si>
  <si>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</si>
  <si>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</si>
  <si>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</si>
  <si>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</si>
  <si>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</si>
  <si>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</si>
  <si>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</si>
  <si>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</si>
  <si>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</si>
  <si>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</si>
  <si>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</si>
  <si>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</si>
  <si>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</si>
  <si>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</si>
  <si>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</si>
  <si>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</si>
  <si>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</si>
  <si>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</si>
  <si>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</si>
  <si>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</si>
  <si>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</si>
  <si>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</si>
  <si>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</si>
  <si>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</si>
  <si>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</si>
  <si>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</si>
  <si>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</si>
  <si>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</si>
  <si>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</si>
  <si>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</si>
  <si>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</si>
  <si>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</si>
  <si>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</si>
  <si>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</si>
  <si>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</si>
  <si>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</si>
  <si>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</si>
  <si>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</si>
  <si>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</si>
  <si>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</si>
  <si>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</si>
  <si>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</si>
  <si>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</si>
  <si>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</si>
  <si>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</si>
  <si>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</si>
  <si>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</si>
  <si>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</si>
  <si>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</si>
  <si>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</si>
  <si>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</si>
  <si>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</si>
  <si>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</si>
  <si>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</si>
  <si>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</si>
  <si>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</si>
  <si>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</si>
  <si>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</si>
  <si>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</si>
  <si>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</si>
  <si>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</si>
  <si>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</si>
  <si>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</si>
  <si>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</si>
  <si>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</si>
  <si>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</si>
  <si>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</si>
  <si>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</si>
  <si>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</si>
  <si>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</si>
  <si>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</si>
  <si>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</si>
  <si>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</si>
  <si>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</si>
  <si>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</si>
  <si>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</si>
  <si>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</si>
  <si>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</si>
  <si>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</si>
  <si>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</si>
  <si>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</si>
  <si>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</si>
  <si>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</si>
  <si>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</si>
  <si>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</si>
  <si>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</si>
  <si>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</si>
  <si>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</si>
  <si>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</si>
  <si>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</si>
  <si>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</si>
  <si>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</si>
  <si>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</si>
  <si>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</si>
  <si>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</si>
  <si>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</si>
  <si>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</si>
  <si>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</si>
  <si>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</si>
  <si>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</si>
  <si>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</si>
  <si>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</si>
  <si>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</si>
  <si>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</si>
  <si>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</si>
  <si>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</si>
  <si>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</si>
  <si>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</si>
  <si>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</si>
  <si>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</si>
  <si>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</si>
  <si>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</si>
  <si>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</si>
  <si>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</si>
  <si>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</si>
  <si>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</si>
  <si>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</si>
  <si>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</si>
  <si>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</si>
  <si>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</si>
  <si>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</si>
  <si>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</si>
  <si>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</si>
  <si>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</si>
  <si>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</si>
  <si>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</si>
  <si>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</si>
  <si>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</si>
  <si>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</si>
  <si>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</si>
  <si>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</si>
  <si>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</si>
  <si>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</si>
  <si>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</si>
  <si>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</si>
  <si>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</si>
  <si>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</si>
  <si>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</si>
  <si>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</si>
  <si>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</si>
  <si>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</si>
  <si>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</si>
  <si>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</si>
  <si>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</si>
  <si>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</si>
  <si>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</si>
  <si>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</si>
  <si>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</si>
  <si>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</si>
  <si>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</si>
  <si>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</si>
  <si>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</si>
  <si>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</si>
  <si>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</si>
  <si>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</si>
  <si>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</si>
  <si>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</si>
  <si>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</si>
  <si>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</si>
  <si>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</si>
  <si>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</si>
  <si>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</si>
  <si>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</si>
  <si>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</si>
  <si>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</si>
  <si>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</si>
  <si>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</si>
  <si>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</si>
  <si>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</si>
  <si>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</si>
  <si>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</si>
  <si>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</si>
  <si>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</si>
  <si>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</si>
  <si>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</si>
  <si>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</si>
  <si>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</si>
  <si>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</si>
  <si>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</si>
  <si>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</si>
  <si>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</si>
  <si>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</si>
  <si>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</si>
  <si>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</si>
  <si>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</si>
  <si>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</si>
  <si>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</si>
  <si>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</si>
  <si>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</si>
  <si>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</si>
  <si>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</si>
  <si>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</si>
  <si>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</si>
  <si>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</si>
  <si>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</si>
  <si>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</si>
  <si>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</si>
  <si>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</si>
  <si>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</si>
  <si>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</si>
  <si>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</si>
  <si>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</si>
  <si>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</si>
  <si>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</si>
  <si>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</si>
  <si>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</si>
  <si>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</si>
  <si>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</si>
  <si>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</si>
  <si>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</si>
  <si>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</si>
  <si>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</si>
  <si>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</si>
  <si>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</si>
  <si>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</si>
  <si>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</si>
  <si>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</si>
  <si>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</si>
  <si>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</si>
  <si>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</si>
  <si>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</si>
  <si>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</si>
  <si>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</si>
  <si>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</si>
  <si>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</si>
  <si>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</si>
  <si>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</si>
  <si>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</si>
  <si>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</si>
  <si>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</si>
  <si>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</si>
  <si>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</si>
  <si>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</si>
  <si>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</si>
  <si>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</si>
  <si>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</si>
  <si>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</si>
  <si>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</si>
  <si>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</si>
  <si>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</si>
  <si>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Затверджено на 2023 рік з урахуванням змін</t>
  </si>
  <si>
    <t>за 1-е півріччя 2023 року</t>
  </si>
  <si>
    <t>Затверджено на 1-е півріччя 2023 року з урахуванням змін</t>
  </si>
  <si>
    <t>Виконано за 1-е півріччя 2023 року</t>
  </si>
  <si>
    <t>Виконано за 1-е півріччя  2023 року разом по загальному та спеціальному фондах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</si>
  <si>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</si>
  <si>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</si>
  <si>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</si>
  <si>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</si>
  <si>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</si>
  <si>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</si>
  <si>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</si>
  <si>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</si>
  <si>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</si>
  <si>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</si>
  <si>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</si>
  <si>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</si>
  <si>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 xml:space="preserve">Заступник міського голови                                                                                                                     </t>
  </si>
  <si>
    <t xml:space="preserve">Михайло КРИВАК </t>
  </si>
  <si>
    <t>Заступник начальника фінансового управління</t>
  </si>
  <si>
    <t xml:space="preserve">Поліна МОТ </t>
  </si>
  <si>
    <t xml:space="preserve">до рішення  № 744   від 10.08.2023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</si>
</sst>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33" fillId="0" borderId="0" xfId="0" applyNumberFormat="1" applyFont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 wrapText="1"/>
    </xf>
    <xf numFmtId="164" fontId="27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Alignment="1">
      <alignment horizontal="center" wrapText="1"/>
    </xf>
    <xf numFmtId="49" fontId="39" fillId="0" borderId="3" xfId="0" applyNumberFormat="1" applyFont="1" applyFill="1" applyBorder="1" applyAlignment="1">
      <alignment horizontal="center" vertical="top" wrapText="1"/>
    </xf>
    <xf numFmtId="49" fontId="43" fillId="0" borderId="1" xfId="0" applyNumberFormat="1" applyFont="1" applyFill="1" applyBorder="1" applyAlignment="1">
      <alignment horizontal="center" vertical="center" wrapText="1"/>
    </xf>
    <xf numFmtId="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>
      <alignment horizontal="center" vertical="center" wrapText="1"/>
    </xf>
    <xf numFmtId="0" fontId="16" fillId="6" borderId="1" xfId="1" applyFont="1" applyFill="1" applyBorder="1" applyAlignment="1" applyProtection="1">
      <alignment horizontal="center" vertical="center" wrapText="1"/>
      <protection locked="0"/>
    </xf>
    <xf numFmtId="4" fontId="16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Fill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>
      <alignment horizontal="center" vertical="center" wrapText="1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" fontId="27" fillId="0" borderId="1" xfId="1" applyNumberFormat="1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4" fontId="34" fillId="0" borderId="3" xfId="0" applyNumberFormat="1" applyFont="1" applyFill="1" applyBorder="1" applyAlignment="1">
      <alignment horizontal="center" vertical="center" wrapText="1"/>
    </xf>
    <xf numFmtId="164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3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9"/>
  <sheetViews>
    <sheetView tabSelected="1" view="pageBreakPreview" topLeftCell="B1" zoomScale="25" zoomScaleNormal="25" zoomScaleSheetLayoutView="25" zoomScalePageLayoutView="10" workbookViewId="0">
      <pane ySplit="13" topLeftCell="A212" activePane="bottomLeft" state="frozen"/>
      <selection activeCell="B1" sqref="B1"/>
      <selection pane="bottomLeft" activeCell="A4" sqref="A4:N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57.7109375" style="5" hidden="1" customWidth="1"/>
    <col min="16" max="16" width="37.7109375" style="5" hidden="1" customWidth="1"/>
    <col min="17" max="17" width="62.28515625" hidden="1" customWidth="1"/>
    <col min="18" max="18" width="66.8554687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78" t="s">
        <v>429</v>
      </c>
      <c r="L2" s="178"/>
      <c r="M2" s="178"/>
      <c r="N2" s="178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79" t="s">
        <v>564</v>
      </c>
      <c r="K3" s="179"/>
      <c r="L3" s="179"/>
      <c r="M3" s="179"/>
      <c r="N3" s="179"/>
      <c r="O3" s="49"/>
    </row>
    <row r="4" spans="1:16" ht="45" x14ac:dyDescent="0.2">
      <c r="A4" s="176" t="s">
        <v>430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6" ht="45" x14ac:dyDescent="0.2">
      <c r="A5" s="176" t="s">
        <v>544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77">
        <v>2256400000</v>
      </c>
      <c r="B7" s="17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80" t="s">
        <v>0</v>
      </c>
      <c r="B8" s="18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81" t="s">
        <v>2</v>
      </c>
      <c r="B10" s="181" t="s">
        <v>3</v>
      </c>
      <c r="C10" s="181" t="s">
        <v>4</v>
      </c>
      <c r="D10" s="181" t="s">
        <v>431</v>
      </c>
      <c r="E10" s="184" t="s">
        <v>5</v>
      </c>
      <c r="F10" s="185"/>
      <c r="G10" s="185"/>
      <c r="H10" s="186"/>
      <c r="I10" s="184" t="s">
        <v>6</v>
      </c>
      <c r="J10" s="185"/>
      <c r="K10" s="185"/>
      <c r="L10" s="185"/>
      <c r="M10" s="186"/>
      <c r="N10" s="181" t="s">
        <v>547</v>
      </c>
    </row>
    <row r="11" spans="1:16" ht="96" customHeight="1" thickTop="1" thickBot="1" x14ac:dyDescent="0.25">
      <c r="A11" s="182"/>
      <c r="B11" s="182"/>
      <c r="C11" s="182"/>
      <c r="D11" s="182"/>
      <c r="E11" s="181" t="s">
        <v>543</v>
      </c>
      <c r="F11" s="181" t="s">
        <v>545</v>
      </c>
      <c r="G11" s="181" t="s">
        <v>546</v>
      </c>
      <c r="H11" s="181" t="s">
        <v>432</v>
      </c>
      <c r="I11" s="181" t="s">
        <v>543</v>
      </c>
      <c r="J11" s="181" t="s">
        <v>546</v>
      </c>
      <c r="K11" s="181" t="s">
        <v>432</v>
      </c>
      <c r="L11" s="7"/>
      <c r="M11" s="181"/>
      <c r="N11" s="182"/>
    </row>
    <row r="12" spans="1:16" ht="208.5" customHeight="1" thickTop="1" thickBot="1" x14ac:dyDescent="0.2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7"/>
      <c r="M12" s="183"/>
      <c r="N12" s="183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84" t="s">
        <v>14</v>
      </c>
      <c r="C14" s="84"/>
      <c r="D14" s="85" t="s">
        <v>15</v>
      </c>
      <c r="E14" s="82">
        <f>SUM(E15:E18)</f>
        <v>309270203.39999998</v>
      </c>
      <c r="F14" s="82">
        <f>SUM(F15:F18)</f>
        <v>152935348.40000001</v>
      </c>
      <c r="G14" s="82">
        <f>SUM(G15:G18)</f>
        <v>130417108.63000001</v>
      </c>
      <c r="H14" s="94">
        <f>G14/F14</f>
        <v>0.85275974452221537</v>
      </c>
      <c r="I14" s="82">
        <f>SUM(I15:I18)</f>
        <v>10268025.27</v>
      </c>
      <c r="J14" s="82">
        <f>SUM(J15:J18)</f>
        <v>7391198.1499999994</v>
      </c>
      <c r="K14" s="83">
        <f>J14/I14</f>
        <v>0.7198266419926721</v>
      </c>
      <c r="L14" s="82"/>
      <c r="M14" s="82"/>
      <c r="N14" s="86">
        <f t="shared" ref="N14:N27" si="0">G14+J14</f>
        <v>137808306.78</v>
      </c>
      <c r="O14" s="53" t="b">
        <f>N14=N15+N16+N17+N18</f>
        <v>1</v>
      </c>
      <c r="P14" s="13"/>
    </row>
    <row r="15" spans="1:16" ht="230.25" thickTop="1" thickBot="1" x14ac:dyDescent="0.25">
      <c r="A15" s="73" t="s">
        <v>16</v>
      </c>
      <c r="B15" s="81" t="s">
        <v>17</v>
      </c>
      <c r="C15" s="81" t="s">
        <v>18</v>
      </c>
      <c r="D15" s="81" t="s">
        <v>19</v>
      </c>
      <c r="E15" s="113">
        <v>136244453</v>
      </c>
      <c r="F15" s="113">
        <v>70165695</v>
      </c>
      <c r="G15" s="113">
        <v>64125648.43</v>
      </c>
      <c r="H15" s="117">
        <f>G15/F15</f>
        <v>0.91391738412909618</v>
      </c>
      <c r="I15" s="113">
        <v>4135522</v>
      </c>
      <c r="J15" s="114">
        <v>1412707.84</v>
      </c>
      <c r="K15" s="115">
        <f>J15/I15</f>
        <v>0.34160327039730415</v>
      </c>
      <c r="L15" s="118"/>
      <c r="M15" s="119"/>
      <c r="N15" s="116">
        <f t="shared" si="0"/>
        <v>65538356.270000003</v>
      </c>
      <c r="O15" s="15"/>
      <c r="P15" s="16"/>
    </row>
    <row r="16" spans="1:16" ht="138.75" thickTop="1" thickBot="1" x14ac:dyDescent="0.25">
      <c r="A16" s="73" t="s">
        <v>20</v>
      </c>
      <c r="B16" s="81" t="s">
        <v>21</v>
      </c>
      <c r="C16" s="81" t="s">
        <v>18</v>
      </c>
      <c r="D16" s="81" t="s">
        <v>22</v>
      </c>
      <c r="E16" s="113">
        <v>126068715.40000001</v>
      </c>
      <c r="F16" s="113">
        <v>69220768.400000006</v>
      </c>
      <c r="G16" s="113">
        <v>60877445.939999998</v>
      </c>
      <c r="H16" s="117">
        <f t="shared" ref="H16:H18" si="1">G16/F16</f>
        <v>0.87946793061025874</v>
      </c>
      <c r="I16" s="113">
        <f>60000+300000+36120+30000+85500</f>
        <v>511620</v>
      </c>
      <c r="J16" s="114">
        <f>58740+237647.04+36120+25100</f>
        <v>357607.04000000004</v>
      </c>
      <c r="K16" s="115">
        <f t="shared" ref="K16:K18" si="2">J16/I16</f>
        <v>0.69897001680935078</v>
      </c>
      <c r="L16" s="118"/>
      <c r="M16" s="119"/>
      <c r="N16" s="116">
        <f t="shared" si="0"/>
        <v>61235052.979999997</v>
      </c>
      <c r="O16" s="15"/>
      <c r="P16" s="16"/>
    </row>
    <row r="17" spans="1:18" ht="93" thickTop="1" thickBot="1" x14ac:dyDescent="0.25">
      <c r="A17" s="81" t="s">
        <v>23</v>
      </c>
      <c r="B17" s="81" t="s">
        <v>24</v>
      </c>
      <c r="C17" s="81" t="s">
        <v>25</v>
      </c>
      <c r="D17" s="81" t="s">
        <v>26</v>
      </c>
      <c r="E17" s="113">
        <v>235400</v>
      </c>
      <c r="F17" s="113">
        <v>150400</v>
      </c>
      <c r="G17" s="113">
        <v>43770</v>
      </c>
      <c r="H17" s="117">
        <f t="shared" si="1"/>
        <v>0.29102393617021277</v>
      </c>
      <c r="I17" s="113"/>
      <c r="J17" s="114"/>
      <c r="K17" s="118"/>
      <c r="L17" s="118"/>
      <c r="M17" s="119"/>
      <c r="N17" s="116">
        <f t="shared" si="0"/>
        <v>43770</v>
      </c>
      <c r="O17" s="15"/>
      <c r="P17" s="17"/>
    </row>
    <row r="18" spans="1:18" ht="111" customHeight="1" thickTop="1" thickBot="1" x14ac:dyDescent="0.25">
      <c r="A18" s="73" t="s">
        <v>27</v>
      </c>
      <c r="B18" s="81" t="s">
        <v>28</v>
      </c>
      <c r="C18" s="81" t="s">
        <v>29</v>
      </c>
      <c r="D18" s="81" t="s">
        <v>30</v>
      </c>
      <c r="E18" s="116">
        <v>46721635</v>
      </c>
      <c r="F18" s="116">
        <v>13398485</v>
      </c>
      <c r="G18" s="116">
        <v>5370244.2599999998</v>
      </c>
      <c r="H18" s="117">
        <f t="shared" si="1"/>
        <v>0.40080981245267655</v>
      </c>
      <c r="I18" s="113">
        <f>5609140.8+11742.47</f>
        <v>5620883.2699999996</v>
      </c>
      <c r="J18" s="114">
        <f>5609140.8+11742.47</f>
        <v>5620883.2699999996</v>
      </c>
      <c r="K18" s="115">
        <f t="shared" si="2"/>
        <v>1</v>
      </c>
      <c r="L18" s="116"/>
      <c r="M18" s="119"/>
      <c r="N18" s="116">
        <f t="shared" si="0"/>
        <v>10991127.529999999</v>
      </c>
      <c r="O18" s="15"/>
      <c r="P18" s="17"/>
    </row>
    <row r="19" spans="1:18" ht="83.25" customHeight="1" thickTop="1" thickBot="1" x14ac:dyDescent="0.25">
      <c r="A19" s="57" t="s">
        <v>64</v>
      </c>
      <c r="B19" s="91" t="s">
        <v>65</v>
      </c>
      <c r="C19" s="91"/>
      <c r="D19" s="92" t="s">
        <v>66</v>
      </c>
      <c r="E19" s="93">
        <f>SUM(E20:E52)-E21-E25-E33-E36-E39-E43-E48-E28-E51</f>
        <v>2051215266.1299994</v>
      </c>
      <c r="F19" s="93">
        <f>SUM(F20:F52)-F21-F25-F33-F36-F39-F43-F48-F28-F51</f>
        <v>1290626313.1499999</v>
      </c>
      <c r="G19" s="93">
        <f>SUM(G20:G52)-G21-G25-G33-G36-G39-G43-G48-G28-G51</f>
        <v>1101158751.1099999</v>
      </c>
      <c r="H19" s="94">
        <f>G19/F19</f>
        <v>0.85319719572618102</v>
      </c>
      <c r="I19" s="93">
        <f>SUM(I20:I52)-I21-I25-I33-I36-I39-I43-I48-I28-I51</f>
        <v>271079479.05000001</v>
      </c>
      <c r="J19" s="93">
        <f>SUM(J20:J52)-J21-J25-J33-J36-J39-J43-J48-J28-J51</f>
        <v>80862724.159999996</v>
      </c>
      <c r="K19" s="94">
        <f>J19/I19</f>
        <v>0.29829895071137069</v>
      </c>
      <c r="L19" s="93"/>
      <c r="M19" s="93"/>
      <c r="N19" s="95">
        <f>G19+J19</f>
        <v>1182021475.27</v>
      </c>
      <c r="O19" s="53" t="b">
        <f>N19=N20+N22+N23+N24+N26+N27+N31+N32+N34+N35+N37+N38+N40+N41+N42+N46+N49+N52</f>
        <v>1</v>
      </c>
      <c r="P19" s="12"/>
    </row>
    <row r="20" spans="1:18" ht="99" customHeight="1" thickTop="1" thickBot="1" x14ac:dyDescent="0.6">
      <c r="A20" s="58" t="s">
        <v>67</v>
      </c>
      <c r="B20" s="87" t="s">
        <v>68</v>
      </c>
      <c r="C20" s="87" t="s">
        <v>69</v>
      </c>
      <c r="D20" s="87" t="s">
        <v>70</v>
      </c>
      <c r="E20" s="120">
        <v>546093487.61000001</v>
      </c>
      <c r="F20" s="120">
        <v>319348992.61000001</v>
      </c>
      <c r="G20" s="120">
        <v>279304246.49000001</v>
      </c>
      <c r="H20" s="117">
        <f>G20/F20</f>
        <v>0.87460506515859271</v>
      </c>
      <c r="I20" s="120">
        <v>101112668.69</v>
      </c>
      <c r="J20" s="120">
        <v>30107045.23</v>
      </c>
      <c r="K20" s="117">
        <f t="shared" ref="K20:K24" si="3">J20/I20</f>
        <v>0.29775739894972802</v>
      </c>
      <c r="L20" s="120"/>
      <c r="M20" s="122"/>
      <c r="N20" s="120">
        <f t="shared" si="0"/>
        <v>309411291.72000003</v>
      </c>
      <c r="O20" s="21"/>
      <c r="P20" s="12"/>
    </row>
    <row r="21" spans="1:18" ht="93" thickTop="1" thickBot="1" x14ac:dyDescent="0.6">
      <c r="A21" s="88" t="s">
        <v>71</v>
      </c>
      <c r="B21" s="89" t="s">
        <v>72</v>
      </c>
      <c r="C21" s="89"/>
      <c r="D21" s="89" t="s">
        <v>73</v>
      </c>
      <c r="E21" s="121">
        <f>E22+E23+E24</f>
        <v>560849919.33999991</v>
      </c>
      <c r="F21" s="121">
        <f>F22+F23+F24</f>
        <v>397092261.86000001</v>
      </c>
      <c r="G21" s="121">
        <f>G22+G23+G24</f>
        <v>277124423.56</v>
      </c>
      <c r="H21" s="123">
        <f t="shared" ref="H21:H46" si="4">G21/F21</f>
        <v>0.69788422031176167</v>
      </c>
      <c r="I21" s="121">
        <f>I22+I23+I24</f>
        <v>97790954.760000005</v>
      </c>
      <c r="J21" s="121">
        <f>J22+J23+J24</f>
        <v>28246379.420000002</v>
      </c>
      <c r="K21" s="123">
        <f t="shared" si="3"/>
        <v>0.28884449987550159</v>
      </c>
      <c r="L21" s="121"/>
      <c r="M21" s="124"/>
      <c r="N21" s="121">
        <f>G21+J21</f>
        <v>305370802.98000002</v>
      </c>
      <c r="O21" s="21"/>
      <c r="P21" s="22"/>
    </row>
    <row r="22" spans="1:18" ht="93" thickTop="1" thickBot="1" x14ac:dyDescent="0.6">
      <c r="A22" s="90" t="s">
        <v>74</v>
      </c>
      <c r="B22" s="87" t="s">
        <v>75</v>
      </c>
      <c r="C22" s="87" t="s">
        <v>76</v>
      </c>
      <c r="D22" s="87" t="s">
        <v>77</v>
      </c>
      <c r="E22" s="120">
        <v>505476542.33999997</v>
      </c>
      <c r="F22" s="120">
        <v>361627082.06</v>
      </c>
      <c r="G22" s="120">
        <v>250588006.36000001</v>
      </c>
      <c r="H22" s="117">
        <f t="shared" si="4"/>
        <v>0.69294590696175584</v>
      </c>
      <c r="I22" s="120">
        <v>96971896.560000002</v>
      </c>
      <c r="J22" s="120">
        <v>28014965.73</v>
      </c>
      <c r="K22" s="117">
        <f t="shared" si="3"/>
        <v>0.28889778094281299</v>
      </c>
      <c r="L22" s="120"/>
      <c r="M22" s="122"/>
      <c r="N22" s="120">
        <f t="shared" si="0"/>
        <v>278602972.09000003</v>
      </c>
      <c r="O22" s="21"/>
      <c r="P22" s="13"/>
      <c r="R22" s="23"/>
    </row>
    <row r="23" spans="1:18" ht="184.5" thickTop="1" thickBot="1" x14ac:dyDescent="0.25">
      <c r="A23" s="58" t="s">
        <v>78</v>
      </c>
      <c r="B23" s="87" t="s">
        <v>79</v>
      </c>
      <c r="C23" s="87" t="s">
        <v>80</v>
      </c>
      <c r="D23" s="87" t="s">
        <v>81</v>
      </c>
      <c r="E23" s="120">
        <v>29034536</v>
      </c>
      <c r="F23" s="120">
        <v>18336665</v>
      </c>
      <c r="G23" s="120">
        <v>15112289.890000001</v>
      </c>
      <c r="H23" s="117">
        <f t="shared" si="4"/>
        <v>0.82415694947799945</v>
      </c>
      <c r="I23" s="120">
        <v>515000</v>
      </c>
      <c r="J23" s="120">
        <v>53739.8</v>
      </c>
      <c r="K23" s="117">
        <f t="shared" si="3"/>
        <v>0.10434912621359224</v>
      </c>
      <c r="L23" s="120"/>
      <c r="M23" s="122"/>
      <c r="N23" s="120">
        <f t="shared" si="0"/>
        <v>15166029.690000001</v>
      </c>
      <c r="P23" s="13"/>
    </row>
    <row r="24" spans="1:18" ht="138.75" thickTop="1" thickBot="1" x14ac:dyDescent="0.25">
      <c r="A24" s="87"/>
      <c r="B24" s="87" t="s">
        <v>455</v>
      </c>
      <c r="C24" s="87" t="s">
        <v>80</v>
      </c>
      <c r="D24" s="87" t="s">
        <v>456</v>
      </c>
      <c r="E24" s="120">
        <v>26338841</v>
      </c>
      <c r="F24" s="120">
        <v>17128514.800000001</v>
      </c>
      <c r="G24" s="120">
        <v>11424127.310000001</v>
      </c>
      <c r="H24" s="117">
        <f t="shared" si="4"/>
        <v>0.66696543415427934</v>
      </c>
      <c r="I24" s="120">
        <v>304058.2</v>
      </c>
      <c r="J24" s="120">
        <v>177673.89</v>
      </c>
      <c r="K24" s="117">
        <f t="shared" si="3"/>
        <v>0.58434171484275055</v>
      </c>
      <c r="L24" s="120"/>
      <c r="M24" s="122"/>
      <c r="N24" s="120">
        <f>G24+J24</f>
        <v>11601801.200000001</v>
      </c>
      <c r="P24" s="13"/>
    </row>
    <row r="25" spans="1:18" ht="123" thickTop="1" thickBot="1" x14ac:dyDescent="0.25">
      <c r="A25" s="74" t="s">
        <v>82</v>
      </c>
      <c r="B25" s="89" t="s">
        <v>83</v>
      </c>
      <c r="C25" s="89"/>
      <c r="D25" s="89" t="s">
        <v>84</v>
      </c>
      <c r="E25" s="121">
        <f>E26+E27</f>
        <v>602605586</v>
      </c>
      <c r="F25" s="121">
        <f>F26+F27</f>
        <v>371032210</v>
      </c>
      <c r="G25" s="121">
        <f>G26+G27</f>
        <v>370797260.87</v>
      </c>
      <c r="H25" s="123">
        <f t="shared" si="4"/>
        <v>0.99936676891205756</v>
      </c>
      <c r="I25" s="121">
        <f>I26+I27</f>
        <v>0</v>
      </c>
      <c r="J25" s="121">
        <f>J26+J27</f>
        <v>0</v>
      </c>
      <c r="K25" s="123">
        <v>0</v>
      </c>
      <c r="L25" s="121"/>
      <c r="M25" s="121"/>
      <c r="N25" s="121">
        <f>G25+J25</f>
        <v>370797260.87</v>
      </c>
      <c r="O25" s="50" t="s">
        <v>433</v>
      </c>
      <c r="P25" s="19"/>
    </row>
    <row r="26" spans="1:18" ht="93" thickTop="1" thickBot="1" x14ac:dyDescent="0.25">
      <c r="A26" s="73" t="s">
        <v>85</v>
      </c>
      <c r="B26" s="87" t="s">
        <v>86</v>
      </c>
      <c r="C26" s="87" t="s">
        <v>76</v>
      </c>
      <c r="D26" s="87" t="s">
        <v>77</v>
      </c>
      <c r="E26" s="120">
        <v>600318986</v>
      </c>
      <c r="F26" s="120">
        <v>369714610</v>
      </c>
      <c r="G26" s="120">
        <v>369479660.87</v>
      </c>
      <c r="H26" s="117">
        <f t="shared" si="4"/>
        <v>0.99936451218414113</v>
      </c>
      <c r="I26" s="120"/>
      <c r="J26" s="120"/>
      <c r="K26" s="120"/>
      <c r="L26" s="120"/>
      <c r="M26" s="122"/>
      <c r="N26" s="120">
        <f t="shared" si="0"/>
        <v>369479660.87</v>
      </c>
      <c r="P26" s="17"/>
    </row>
    <row r="27" spans="1:18" ht="138.75" thickTop="1" thickBot="1" x14ac:dyDescent="0.25">
      <c r="A27" s="75"/>
      <c r="B27" s="145" t="s">
        <v>502</v>
      </c>
      <c r="C27" s="87" t="s">
        <v>80</v>
      </c>
      <c r="D27" s="87" t="s">
        <v>456</v>
      </c>
      <c r="E27" s="147">
        <v>2286600</v>
      </c>
      <c r="F27" s="147">
        <v>1317600</v>
      </c>
      <c r="G27" s="147">
        <v>1317600</v>
      </c>
      <c r="H27" s="117">
        <f t="shared" si="4"/>
        <v>1</v>
      </c>
      <c r="I27" s="147"/>
      <c r="J27" s="147"/>
      <c r="K27" s="147"/>
      <c r="L27" s="147"/>
      <c r="M27" s="149"/>
      <c r="N27" s="120">
        <f t="shared" si="0"/>
        <v>1317600</v>
      </c>
      <c r="P27" s="17"/>
    </row>
    <row r="28" spans="1:18" ht="409.6" hidden="1" customHeight="1" thickTop="1" x14ac:dyDescent="0.65">
      <c r="A28" s="201" t="s">
        <v>87</v>
      </c>
      <c r="B28" s="201" t="s">
        <v>88</v>
      </c>
      <c r="C28" s="201"/>
      <c r="D28" s="79" t="s">
        <v>461</v>
      </c>
      <c r="E28" s="195">
        <f t="shared" ref="E28:J28" si="5">E30</f>
        <v>0</v>
      </c>
      <c r="F28" s="195">
        <f t="shared" ref="F28" si="6">F30</f>
        <v>0</v>
      </c>
      <c r="G28" s="195">
        <f t="shared" si="5"/>
        <v>0</v>
      </c>
      <c r="H28" s="117" t="e">
        <f t="shared" si="4"/>
        <v>#DIV/0!</v>
      </c>
      <c r="I28" s="195">
        <f t="shared" si="5"/>
        <v>0</v>
      </c>
      <c r="J28" s="195">
        <f t="shared" si="5"/>
        <v>0</v>
      </c>
      <c r="K28" s="197" t="e">
        <f t="shared" ref="K28:K30" si="7">J28/I28</f>
        <v>#DIV/0!</v>
      </c>
      <c r="L28" s="195"/>
      <c r="M28" s="195"/>
      <c r="N28" s="195">
        <f>J28+G28</f>
        <v>0</v>
      </c>
      <c r="P28" s="17"/>
    </row>
    <row r="29" spans="1:18" ht="230.25" hidden="1" customHeight="1" thickTop="1" thickBot="1" x14ac:dyDescent="0.25">
      <c r="A29" s="202"/>
      <c r="B29" s="202"/>
      <c r="C29" s="202"/>
      <c r="D29" s="80" t="s">
        <v>462</v>
      </c>
      <c r="E29" s="196"/>
      <c r="F29" s="196"/>
      <c r="G29" s="196"/>
      <c r="H29" s="117" t="e">
        <f t="shared" si="4"/>
        <v>#DIV/0!</v>
      </c>
      <c r="I29" s="196"/>
      <c r="J29" s="196"/>
      <c r="K29" s="198"/>
      <c r="L29" s="196"/>
      <c r="M29" s="196"/>
      <c r="N29" s="196"/>
      <c r="P29" s="17"/>
    </row>
    <row r="30" spans="1:18" ht="138.75" hidden="1" customHeight="1" thickTop="1" thickBot="1" x14ac:dyDescent="0.25">
      <c r="A30" s="73" t="s">
        <v>89</v>
      </c>
      <c r="B30" s="73" t="s">
        <v>90</v>
      </c>
      <c r="C30" s="73" t="s">
        <v>76</v>
      </c>
      <c r="D30" s="73" t="s">
        <v>91</v>
      </c>
      <c r="E30" s="127"/>
      <c r="F30" s="127"/>
      <c r="G30" s="127"/>
      <c r="H30" s="117" t="e">
        <f t="shared" si="4"/>
        <v>#DIV/0!</v>
      </c>
      <c r="I30" s="127"/>
      <c r="J30" s="127"/>
      <c r="K30" s="128" t="e">
        <f t="shared" si="7"/>
        <v>#DIV/0!</v>
      </c>
      <c r="L30" s="127"/>
      <c r="M30" s="132"/>
      <c r="N30" s="127">
        <f t="shared" ref="N30:N36" si="8">G30+J30</f>
        <v>0</v>
      </c>
      <c r="P30" s="12"/>
    </row>
    <row r="31" spans="1:18" ht="138.75" thickTop="1" thickBot="1" x14ac:dyDescent="0.25">
      <c r="A31" s="87" t="s">
        <v>92</v>
      </c>
      <c r="B31" s="87" t="s">
        <v>93</v>
      </c>
      <c r="C31" s="87" t="s">
        <v>94</v>
      </c>
      <c r="D31" s="87" t="s">
        <v>95</v>
      </c>
      <c r="E31" s="120">
        <v>31985971</v>
      </c>
      <c r="F31" s="120">
        <v>18341218</v>
      </c>
      <c r="G31" s="120">
        <v>16091915.4</v>
      </c>
      <c r="H31" s="117">
        <f t="shared" si="4"/>
        <v>0.87736350988249523</v>
      </c>
      <c r="I31" s="120">
        <v>12345624.470000001</v>
      </c>
      <c r="J31" s="120">
        <v>1586383.1</v>
      </c>
      <c r="K31" s="117">
        <f t="shared" ref="K31:K37" si="9">J31/I31</f>
        <v>0.12849759879339664</v>
      </c>
      <c r="L31" s="120"/>
      <c r="M31" s="122"/>
      <c r="N31" s="120">
        <f t="shared" si="8"/>
        <v>17678298.5</v>
      </c>
      <c r="P31" s="12"/>
    </row>
    <row r="32" spans="1:18" ht="93" thickTop="1" thickBot="1" x14ac:dyDescent="0.25">
      <c r="A32" s="58"/>
      <c r="B32" s="87" t="s">
        <v>269</v>
      </c>
      <c r="C32" s="87" t="s">
        <v>94</v>
      </c>
      <c r="D32" s="87" t="s">
        <v>507</v>
      </c>
      <c r="E32" s="120">
        <v>84585324</v>
      </c>
      <c r="F32" s="120">
        <v>52087541</v>
      </c>
      <c r="G32" s="120">
        <v>48151146.539999999</v>
      </c>
      <c r="H32" s="117">
        <f t="shared" si="4"/>
        <v>0.92442733167227076</v>
      </c>
      <c r="I32" s="120">
        <v>9503410.2400000002</v>
      </c>
      <c r="J32" s="120">
        <v>3283259.82</v>
      </c>
      <c r="K32" s="117">
        <f t="shared" si="9"/>
        <v>0.3454822781595504</v>
      </c>
      <c r="L32" s="120"/>
      <c r="M32" s="122"/>
      <c r="N32" s="120">
        <f t="shared" si="8"/>
        <v>51434406.359999999</v>
      </c>
      <c r="P32" s="12"/>
    </row>
    <row r="33" spans="1:16" ht="138.75" thickTop="1" thickBot="1" x14ac:dyDescent="0.25">
      <c r="A33" s="74" t="s">
        <v>96</v>
      </c>
      <c r="B33" s="89" t="s">
        <v>97</v>
      </c>
      <c r="C33" s="89"/>
      <c r="D33" s="89" t="s">
        <v>98</v>
      </c>
      <c r="E33" s="121">
        <f>E34+E35</f>
        <v>183925289.68000001</v>
      </c>
      <c r="F33" s="121">
        <f>F34+F35</f>
        <v>109490465.18000001</v>
      </c>
      <c r="G33" s="121">
        <f>G34+G35</f>
        <v>89729834.25999999</v>
      </c>
      <c r="H33" s="123">
        <f t="shared" si="4"/>
        <v>0.81952190186137253</v>
      </c>
      <c r="I33" s="121">
        <f t="shared" ref="I33:J33" si="10">I34+I35</f>
        <v>32731498.579999998</v>
      </c>
      <c r="J33" s="121">
        <f t="shared" si="10"/>
        <v>15413806.58</v>
      </c>
      <c r="K33" s="123">
        <f t="shared" si="9"/>
        <v>0.47091661698063325</v>
      </c>
      <c r="L33" s="121"/>
      <c r="M33" s="121"/>
      <c r="N33" s="121">
        <f t="shared" si="8"/>
        <v>105143640.83999999</v>
      </c>
      <c r="P33" s="19"/>
    </row>
    <row r="34" spans="1:16" ht="184.5" thickTop="1" thickBot="1" x14ac:dyDescent="0.25">
      <c r="A34" s="87" t="s">
        <v>99</v>
      </c>
      <c r="B34" s="87" t="s">
        <v>100</v>
      </c>
      <c r="C34" s="87" t="s">
        <v>101</v>
      </c>
      <c r="D34" s="87" t="s">
        <v>102</v>
      </c>
      <c r="E34" s="120">
        <v>159551689.68000001</v>
      </c>
      <c r="F34" s="120">
        <v>96055665.180000007</v>
      </c>
      <c r="G34" s="120">
        <v>76690905.469999999</v>
      </c>
      <c r="H34" s="117">
        <f t="shared" si="4"/>
        <v>0.79840064952221068</v>
      </c>
      <c r="I34" s="120">
        <v>32731498.579999998</v>
      </c>
      <c r="J34" s="120">
        <v>15413806.58</v>
      </c>
      <c r="K34" s="117">
        <f t="shared" si="9"/>
        <v>0.47091661698063325</v>
      </c>
      <c r="L34" s="120"/>
      <c r="M34" s="122"/>
      <c r="N34" s="120">
        <f t="shared" si="8"/>
        <v>92104712.049999997</v>
      </c>
      <c r="P34" s="12"/>
    </row>
    <row r="35" spans="1:16" ht="138.75" thickTop="1" thickBot="1" x14ac:dyDescent="0.25">
      <c r="A35" s="73" t="s">
        <v>103</v>
      </c>
      <c r="B35" s="87" t="s">
        <v>104</v>
      </c>
      <c r="C35" s="87" t="s">
        <v>101</v>
      </c>
      <c r="D35" s="87" t="s">
        <v>105</v>
      </c>
      <c r="E35" s="120">
        <v>24373600</v>
      </c>
      <c r="F35" s="120">
        <v>13434800</v>
      </c>
      <c r="G35" s="120">
        <v>13038928.789999999</v>
      </c>
      <c r="H35" s="117">
        <f t="shared" si="4"/>
        <v>0.97053389629916331</v>
      </c>
      <c r="I35" s="120"/>
      <c r="J35" s="120"/>
      <c r="K35" s="120"/>
      <c r="L35" s="120"/>
      <c r="M35" s="122"/>
      <c r="N35" s="120">
        <f t="shared" si="8"/>
        <v>13038928.789999999</v>
      </c>
      <c r="P35" s="17"/>
    </row>
    <row r="36" spans="1:16" ht="93" thickTop="1" thickBot="1" x14ac:dyDescent="0.25">
      <c r="A36" s="74" t="s">
        <v>106</v>
      </c>
      <c r="B36" s="89" t="s">
        <v>107</v>
      </c>
      <c r="C36" s="89"/>
      <c r="D36" s="89" t="s">
        <v>108</v>
      </c>
      <c r="E36" s="121">
        <f t="shared" ref="E36:J36" si="11">E37+E38</f>
        <v>28685805</v>
      </c>
      <c r="F36" s="121">
        <f t="shared" ref="F36" si="12">F37+F38</f>
        <v>16267324</v>
      </c>
      <c r="G36" s="121">
        <f t="shared" si="11"/>
        <v>13793669.560000001</v>
      </c>
      <c r="H36" s="123">
        <f t="shared" si="4"/>
        <v>0.84793722434003282</v>
      </c>
      <c r="I36" s="121">
        <f t="shared" si="11"/>
        <v>8564319.3100000005</v>
      </c>
      <c r="J36" s="121">
        <f t="shared" si="11"/>
        <v>2162981.0099999998</v>
      </c>
      <c r="K36" s="123">
        <f t="shared" si="9"/>
        <v>0.25255725898431031</v>
      </c>
      <c r="L36" s="121"/>
      <c r="M36" s="121"/>
      <c r="N36" s="121">
        <f t="shared" si="8"/>
        <v>15956650.57</v>
      </c>
      <c r="P36" s="19"/>
    </row>
    <row r="37" spans="1:16" ht="93" thickTop="1" thickBot="1" x14ac:dyDescent="0.25">
      <c r="A37" s="73" t="s">
        <v>109</v>
      </c>
      <c r="B37" s="87" t="s">
        <v>110</v>
      </c>
      <c r="C37" s="87" t="s">
        <v>111</v>
      </c>
      <c r="D37" s="87" t="s">
        <v>112</v>
      </c>
      <c r="E37" s="120">
        <v>28165985</v>
      </c>
      <c r="F37" s="120">
        <v>16065899</v>
      </c>
      <c r="G37" s="120">
        <v>13601294.560000001</v>
      </c>
      <c r="H37" s="117">
        <f t="shared" si="4"/>
        <v>0.84659405365364249</v>
      </c>
      <c r="I37" s="120">
        <v>8564319.3100000005</v>
      </c>
      <c r="J37" s="120">
        <v>2162981.0099999998</v>
      </c>
      <c r="K37" s="117">
        <f t="shared" si="9"/>
        <v>0.25255725898431031</v>
      </c>
      <c r="L37" s="120"/>
      <c r="M37" s="122"/>
      <c r="N37" s="120">
        <f t="shared" ref="N37:N46" si="13">G37+J37</f>
        <v>15764275.57</v>
      </c>
      <c r="P37" s="17"/>
    </row>
    <row r="38" spans="1:16" ht="93" thickTop="1" thickBot="1" x14ac:dyDescent="0.25">
      <c r="A38" s="73" t="s">
        <v>113</v>
      </c>
      <c r="B38" s="87" t="s">
        <v>114</v>
      </c>
      <c r="C38" s="87" t="s">
        <v>111</v>
      </c>
      <c r="D38" s="87" t="s">
        <v>115</v>
      </c>
      <c r="E38" s="120">
        <v>519820</v>
      </c>
      <c r="F38" s="120">
        <v>201425</v>
      </c>
      <c r="G38" s="120">
        <v>192375</v>
      </c>
      <c r="H38" s="117">
        <f t="shared" si="4"/>
        <v>0.95507012535683256</v>
      </c>
      <c r="I38" s="120"/>
      <c r="J38" s="120"/>
      <c r="K38" s="120"/>
      <c r="L38" s="120"/>
      <c r="M38" s="122"/>
      <c r="N38" s="120">
        <f t="shared" si="13"/>
        <v>192375</v>
      </c>
      <c r="P38" s="17"/>
    </row>
    <row r="39" spans="1:16" ht="93" thickTop="1" thickBot="1" x14ac:dyDescent="0.25">
      <c r="A39" s="59" t="s">
        <v>116</v>
      </c>
      <c r="B39" s="89" t="s">
        <v>117</v>
      </c>
      <c r="C39" s="89"/>
      <c r="D39" s="89" t="s">
        <v>118</v>
      </c>
      <c r="E39" s="121">
        <f>E40+E41</f>
        <v>4857614.5</v>
      </c>
      <c r="F39" s="121">
        <f>F40+F41</f>
        <v>2712301.5</v>
      </c>
      <c r="G39" s="121">
        <f t="shared" ref="G39:J39" si="14">G40+G41</f>
        <v>2297626.37</v>
      </c>
      <c r="H39" s="123">
        <f t="shared" si="4"/>
        <v>0.84711318782222411</v>
      </c>
      <c r="I39" s="121">
        <f t="shared" si="14"/>
        <v>219300</v>
      </c>
      <c r="J39" s="121">
        <f t="shared" si="14"/>
        <v>51749</v>
      </c>
      <c r="K39" s="123">
        <f>J39/I39</f>
        <v>0.23597355221158231</v>
      </c>
      <c r="L39" s="121"/>
      <c r="M39" s="121"/>
      <c r="N39" s="121">
        <f t="shared" si="13"/>
        <v>2349375.37</v>
      </c>
      <c r="O39" s="50"/>
      <c r="P39" s="19"/>
    </row>
    <row r="40" spans="1:16" ht="93" thickTop="1" thickBot="1" x14ac:dyDescent="0.25">
      <c r="A40" s="58" t="s">
        <v>119</v>
      </c>
      <c r="B40" s="87" t="s">
        <v>120</v>
      </c>
      <c r="C40" s="87" t="s">
        <v>111</v>
      </c>
      <c r="D40" s="87" t="s">
        <v>121</v>
      </c>
      <c r="E40" s="120">
        <v>1142214.5</v>
      </c>
      <c r="F40" s="120">
        <v>767121.5</v>
      </c>
      <c r="G40" s="120">
        <v>464134.75</v>
      </c>
      <c r="H40" s="117">
        <f t="shared" si="4"/>
        <v>0.60503420905293359</v>
      </c>
      <c r="I40" s="120">
        <v>219300</v>
      </c>
      <c r="J40" s="120">
        <v>51749</v>
      </c>
      <c r="K40" s="117">
        <f t="shared" ref="K40" si="15">J40/I40</f>
        <v>0.23597355221158231</v>
      </c>
      <c r="L40" s="120"/>
      <c r="M40" s="122"/>
      <c r="N40" s="120">
        <f>G40+J40</f>
        <v>515883.75</v>
      </c>
      <c r="P40" s="12"/>
    </row>
    <row r="41" spans="1:16" ht="93" thickTop="1" thickBot="1" x14ac:dyDescent="0.25">
      <c r="A41" s="58" t="s">
        <v>122</v>
      </c>
      <c r="B41" s="87" t="s">
        <v>123</v>
      </c>
      <c r="C41" s="87" t="s">
        <v>111</v>
      </c>
      <c r="D41" s="87" t="s">
        <v>124</v>
      </c>
      <c r="E41" s="120">
        <v>3715400</v>
      </c>
      <c r="F41" s="120">
        <v>1945180</v>
      </c>
      <c r="G41" s="120">
        <v>1833491.62</v>
      </c>
      <c r="H41" s="117">
        <f t="shared" si="4"/>
        <v>0.94258198213018851</v>
      </c>
      <c r="I41" s="120"/>
      <c r="J41" s="120"/>
      <c r="K41" s="120"/>
      <c r="L41" s="120"/>
      <c r="M41" s="122"/>
      <c r="N41" s="120">
        <f t="shared" si="13"/>
        <v>1833491.62</v>
      </c>
      <c r="P41" s="17"/>
    </row>
    <row r="42" spans="1:16" ht="93" thickTop="1" thickBot="1" x14ac:dyDescent="0.25">
      <c r="A42" s="73" t="s">
        <v>125</v>
      </c>
      <c r="B42" s="87" t="s">
        <v>126</v>
      </c>
      <c r="C42" s="87" t="s">
        <v>111</v>
      </c>
      <c r="D42" s="87" t="s">
        <v>127</v>
      </c>
      <c r="E42" s="120">
        <v>3316580</v>
      </c>
      <c r="F42" s="120">
        <v>2099153</v>
      </c>
      <c r="G42" s="120">
        <v>1902037.55</v>
      </c>
      <c r="H42" s="117">
        <f t="shared" si="4"/>
        <v>0.90609762604250388</v>
      </c>
      <c r="I42" s="120"/>
      <c r="J42" s="120"/>
      <c r="K42" s="117"/>
      <c r="L42" s="120"/>
      <c r="M42" s="122"/>
      <c r="N42" s="120">
        <f t="shared" si="13"/>
        <v>1902037.55</v>
      </c>
      <c r="O42" s="50"/>
      <c r="P42" s="12"/>
    </row>
    <row r="43" spans="1:16" s="18" customFormat="1" ht="230.25" hidden="1" customHeight="1" thickTop="1" thickBot="1" x14ac:dyDescent="0.25">
      <c r="A43" s="74" t="s">
        <v>128</v>
      </c>
      <c r="B43" s="89" t="s">
        <v>129</v>
      </c>
      <c r="C43" s="89"/>
      <c r="D43" s="89" t="s">
        <v>130</v>
      </c>
      <c r="E43" s="121">
        <f>E44+E45</f>
        <v>0</v>
      </c>
      <c r="F43" s="121">
        <f>F44+F45</f>
        <v>0</v>
      </c>
      <c r="G43" s="121">
        <f>G44+G45</f>
        <v>0</v>
      </c>
      <c r="H43" s="117" t="e">
        <f t="shared" si="4"/>
        <v>#DIV/0!</v>
      </c>
      <c r="I43" s="155">
        <f>I44+I45</f>
        <v>0</v>
      </c>
      <c r="J43" s="155">
        <f>J44+J45</f>
        <v>0</v>
      </c>
      <c r="K43" s="156" t="e">
        <f t="shared" ref="K43:K45" si="16">J43/I43</f>
        <v>#DIV/0!</v>
      </c>
      <c r="L43" s="155"/>
      <c r="M43" s="155"/>
      <c r="N43" s="155">
        <f t="shared" si="13"/>
        <v>0</v>
      </c>
      <c r="O43" s="50"/>
      <c r="P43" s="22"/>
    </row>
    <row r="44" spans="1:16" s="18" customFormat="1" ht="367.5" hidden="1" customHeight="1" thickTop="1" thickBot="1" x14ac:dyDescent="0.25">
      <c r="A44" s="73" t="s">
        <v>131</v>
      </c>
      <c r="B44" s="87" t="s">
        <v>132</v>
      </c>
      <c r="C44" s="87" t="s">
        <v>111</v>
      </c>
      <c r="D44" s="87" t="s">
        <v>133</v>
      </c>
      <c r="E44" s="120"/>
      <c r="F44" s="120"/>
      <c r="G44" s="120"/>
      <c r="H44" s="117" t="e">
        <f t="shared" si="4"/>
        <v>#DIV/0!</v>
      </c>
      <c r="I44" s="152"/>
      <c r="J44" s="152"/>
      <c r="K44" s="150" t="e">
        <f t="shared" si="16"/>
        <v>#DIV/0!</v>
      </c>
      <c r="L44" s="152"/>
      <c r="M44" s="153"/>
      <c r="N44" s="152">
        <f t="shared" si="13"/>
        <v>0</v>
      </c>
      <c r="O44" s="50"/>
      <c r="P44" s="12"/>
    </row>
    <row r="45" spans="1:16" s="18" customFormat="1" ht="321.75" hidden="1" customHeight="1" thickTop="1" thickBot="1" x14ac:dyDescent="0.25">
      <c r="A45" s="73"/>
      <c r="B45" s="87" t="s">
        <v>453</v>
      </c>
      <c r="C45" s="87" t="s">
        <v>111</v>
      </c>
      <c r="D45" s="87" t="s">
        <v>454</v>
      </c>
      <c r="E45" s="120"/>
      <c r="F45" s="120"/>
      <c r="G45" s="120"/>
      <c r="H45" s="117" t="e">
        <f t="shared" si="4"/>
        <v>#DIV/0!</v>
      </c>
      <c r="I45" s="152"/>
      <c r="J45" s="152"/>
      <c r="K45" s="150" t="e">
        <f t="shared" si="16"/>
        <v>#DIV/0!</v>
      </c>
      <c r="L45" s="152"/>
      <c r="M45" s="153"/>
      <c r="N45" s="152">
        <f t="shared" si="13"/>
        <v>0</v>
      </c>
      <c r="O45" s="52"/>
      <c r="P45" s="12"/>
    </row>
    <row r="46" spans="1:16" s="18" customFormat="1" ht="184.5" thickTop="1" thickBot="1" x14ac:dyDescent="0.25">
      <c r="A46" s="73" t="s">
        <v>134</v>
      </c>
      <c r="B46" s="87" t="s">
        <v>135</v>
      </c>
      <c r="C46" s="87" t="s">
        <v>111</v>
      </c>
      <c r="D46" s="87" t="s">
        <v>136</v>
      </c>
      <c r="E46" s="120">
        <v>4309689</v>
      </c>
      <c r="F46" s="120">
        <v>2154846</v>
      </c>
      <c r="G46" s="120">
        <v>1966590.51</v>
      </c>
      <c r="H46" s="117">
        <f t="shared" si="4"/>
        <v>0.91263622087146834</v>
      </c>
      <c r="I46" s="120"/>
      <c r="J46" s="120"/>
      <c r="K46" s="117"/>
      <c r="L46" s="120"/>
      <c r="M46" s="122"/>
      <c r="N46" s="120">
        <f t="shared" si="13"/>
        <v>1966590.51</v>
      </c>
      <c r="O46" s="20"/>
      <c r="P46" s="12"/>
    </row>
    <row r="47" spans="1:16" s="18" customFormat="1" ht="184.5" hidden="1" thickTop="1" thickBot="1" x14ac:dyDescent="0.25">
      <c r="A47" s="57"/>
      <c r="B47" s="157" t="s">
        <v>137</v>
      </c>
      <c r="C47" s="157" t="s">
        <v>111</v>
      </c>
      <c r="D47" s="157" t="s">
        <v>138</v>
      </c>
      <c r="E47" s="158"/>
      <c r="F47" s="158"/>
      <c r="G47" s="158"/>
      <c r="H47" s="159"/>
      <c r="I47" s="127"/>
      <c r="J47" s="127"/>
      <c r="K47" s="128" t="e">
        <f t="shared" ref="K47:K52" si="17">J47/I47</f>
        <v>#DIV/0!</v>
      </c>
      <c r="L47" s="129"/>
      <c r="M47" s="129"/>
      <c r="N47" s="127">
        <f t="shared" ref="N47:N50" si="18">G47+J47</f>
        <v>0</v>
      </c>
      <c r="O47" s="20"/>
      <c r="P47" s="12"/>
    </row>
    <row r="48" spans="1:16" s="18" customFormat="1" ht="138.75" thickTop="1" thickBot="1" x14ac:dyDescent="0.25">
      <c r="A48" s="101"/>
      <c r="B48" s="89" t="s">
        <v>457</v>
      </c>
      <c r="C48" s="89"/>
      <c r="D48" s="89" t="s">
        <v>458</v>
      </c>
      <c r="E48" s="121">
        <f>E50+E49</f>
        <v>0</v>
      </c>
      <c r="F48" s="121">
        <f>F50+F49</f>
        <v>0</v>
      </c>
      <c r="G48" s="121">
        <f>G50+G49</f>
        <v>0</v>
      </c>
      <c r="H48" s="123">
        <v>0</v>
      </c>
      <c r="I48" s="121">
        <f>I50+I49</f>
        <v>1611703</v>
      </c>
      <c r="J48" s="121">
        <f>J50+J49</f>
        <v>11120</v>
      </c>
      <c r="K48" s="123">
        <f>J48/I48</f>
        <v>6.89953421939402E-3</v>
      </c>
      <c r="L48" s="130"/>
      <c r="M48" s="130"/>
      <c r="N48" s="121">
        <f>G48+J48</f>
        <v>11120</v>
      </c>
      <c r="O48" s="50" t="s">
        <v>433</v>
      </c>
      <c r="P48" s="12"/>
    </row>
    <row r="49" spans="1:16" s="18" customFormat="1" ht="230.25" thickTop="1" thickBot="1" x14ac:dyDescent="0.25">
      <c r="A49" s="101"/>
      <c r="B49" s="87" t="s">
        <v>474</v>
      </c>
      <c r="C49" s="87" t="s">
        <v>111</v>
      </c>
      <c r="D49" s="87" t="s">
        <v>475</v>
      </c>
      <c r="E49" s="120"/>
      <c r="F49" s="120"/>
      <c r="G49" s="120"/>
      <c r="H49" s="117"/>
      <c r="I49" s="120">
        <v>1611703</v>
      </c>
      <c r="J49" s="120">
        <v>11120</v>
      </c>
      <c r="K49" s="117">
        <f t="shared" si="17"/>
        <v>6.89953421939402E-3</v>
      </c>
      <c r="L49" s="131"/>
      <c r="M49" s="131"/>
      <c r="N49" s="120">
        <f>G49+J49</f>
        <v>11120</v>
      </c>
      <c r="O49" s="50"/>
      <c r="P49" s="12"/>
    </row>
    <row r="50" spans="1:16" s="18" customFormat="1" ht="230.25" hidden="1" thickTop="1" thickBot="1" x14ac:dyDescent="0.25">
      <c r="A50" s="57"/>
      <c r="B50" s="71" t="s">
        <v>459</v>
      </c>
      <c r="C50" s="71" t="s">
        <v>111</v>
      </c>
      <c r="D50" s="71" t="s">
        <v>460</v>
      </c>
      <c r="E50" s="69"/>
      <c r="F50" s="69"/>
      <c r="G50" s="69"/>
      <c r="H50" s="70"/>
      <c r="I50" s="69"/>
      <c r="J50" s="69"/>
      <c r="K50" s="70" t="e">
        <f t="shared" si="17"/>
        <v>#DIV/0!</v>
      </c>
      <c r="L50" s="72"/>
      <c r="M50" s="72"/>
      <c r="N50" s="69">
        <f t="shared" si="18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89" t="s">
        <v>555</v>
      </c>
      <c r="C51" s="89"/>
      <c r="D51" s="89" t="s">
        <v>552</v>
      </c>
      <c r="E51" s="121">
        <f>E52</f>
        <v>0</v>
      </c>
      <c r="F51" s="121">
        <f t="shared" ref="F51:G51" si="19">F52</f>
        <v>0</v>
      </c>
      <c r="G51" s="121">
        <f t="shared" si="19"/>
        <v>0</v>
      </c>
      <c r="H51" s="117">
        <v>0</v>
      </c>
      <c r="I51" s="121">
        <f t="shared" ref="I51:J51" si="20">I52</f>
        <v>7200000</v>
      </c>
      <c r="J51" s="121">
        <f t="shared" si="20"/>
        <v>0</v>
      </c>
      <c r="K51" s="117">
        <f t="shared" si="17"/>
        <v>0</v>
      </c>
      <c r="L51" s="130"/>
      <c r="M51" s="130"/>
      <c r="N51" s="121">
        <f>G51+J51</f>
        <v>0</v>
      </c>
      <c r="O51" s="50" t="s">
        <v>433</v>
      </c>
      <c r="P51" s="12"/>
    </row>
    <row r="52" spans="1:16" s="18" customFormat="1" ht="184.5" thickTop="1" thickBot="1" x14ac:dyDescent="0.25">
      <c r="A52" s="57"/>
      <c r="B52" s="87" t="s">
        <v>554</v>
      </c>
      <c r="C52" s="87" t="s">
        <v>111</v>
      </c>
      <c r="D52" s="87" t="s">
        <v>553</v>
      </c>
      <c r="E52" s="120"/>
      <c r="F52" s="120"/>
      <c r="G52" s="120"/>
      <c r="H52" s="117"/>
      <c r="I52" s="120">
        <v>7200000</v>
      </c>
      <c r="J52" s="120">
        <v>0</v>
      </c>
      <c r="K52" s="117">
        <f t="shared" si="17"/>
        <v>0</v>
      </c>
      <c r="L52" s="131"/>
      <c r="M52" s="131"/>
      <c r="N52" s="120">
        <f>G52+J52</f>
        <v>0</v>
      </c>
      <c r="O52" s="144"/>
      <c r="P52" s="12"/>
    </row>
    <row r="53" spans="1:16" ht="91.5" thickTop="1" thickBot="1" x14ac:dyDescent="0.25">
      <c r="A53" s="57" t="s">
        <v>142</v>
      </c>
      <c r="B53" s="91" t="s">
        <v>143</v>
      </c>
      <c r="C53" s="91"/>
      <c r="D53" s="92" t="s">
        <v>144</v>
      </c>
      <c r="E53" s="93">
        <f>SUM(E54:E65)-E59-E61-E63</f>
        <v>150608430</v>
      </c>
      <c r="F53" s="93">
        <f t="shared" ref="F53" si="21">SUM(F54:F65)-F59-F61-F63</f>
        <v>55406418.210000008</v>
      </c>
      <c r="G53" s="93">
        <f t="shared" ref="G53:J53" si="22">SUM(G54:G65)-G59-G61-G63</f>
        <v>46896241.819999993</v>
      </c>
      <c r="H53" s="94">
        <f>G53/F53</f>
        <v>0.84640450213285834</v>
      </c>
      <c r="I53" s="93">
        <f>SUM(I54:I65)-I59-I61-I63</f>
        <v>37052507</v>
      </c>
      <c r="J53" s="93">
        <f t="shared" si="22"/>
        <v>18978205.039999999</v>
      </c>
      <c r="K53" s="94">
        <f>J53/I53</f>
        <v>0.51219759677799936</v>
      </c>
      <c r="L53" s="93"/>
      <c r="M53" s="93"/>
      <c r="N53" s="95">
        <f>J53+G53</f>
        <v>65874446.859999992</v>
      </c>
      <c r="O53" s="53" t="b">
        <f>N53=N54+N55+N56+N57+N60+N64+N65</f>
        <v>1</v>
      </c>
      <c r="P53" s="24"/>
    </row>
    <row r="54" spans="1:16" ht="93" thickTop="1" thickBot="1" x14ac:dyDescent="0.25">
      <c r="A54" s="58" t="s">
        <v>145</v>
      </c>
      <c r="B54" s="87" t="s">
        <v>146</v>
      </c>
      <c r="C54" s="87" t="s">
        <v>147</v>
      </c>
      <c r="D54" s="87" t="s">
        <v>148</v>
      </c>
      <c r="E54" s="120">
        <v>63215953</v>
      </c>
      <c r="F54" s="120">
        <v>15280248.210000001</v>
      </c>
      <c r="G54" s="120">
        <v>14398264.9</v>
      </c>
      <c r="H54" s="117">
        <f>G54/F54</f>
        <v>0.94227951680635691</v>
      </c>
      <c r="I54" s="120">
        <v>31138207</v>
      </c>
      <c r="J54" s="120">
        <v>18379705.039999999</v>
      </c>
      <c r="K54" s="117">
        <f>J54/I54</f>
        <v>0.59026215093245415</v>
      </c>
      <c r="L54" s="120"/>
      <c r="M54" s="122"/>
      <c r="N54" s="120">
        <f>G54+J54</f>
        <v>32777969.939999998</v>
      </c>
      <c r="P54" s="17"/>
    </row>
    <row r="55" spans="1:16" ht="93" thickTop="1" thickBot="1" x14ac:dyDescent="0.25">
      <c r="A55" s="58" t="s">
        <v>149</v>
      </c>
      <c r="B55" s="87" t="s">
        <v>150</v>
      </c>
      <c r="C55" s="87" t="s">
        <v>151</v>
      </c>
      <c r="D55" s="87" t="s">
        <v>152</v>
      </c>
      <c r="E55" s="120">
        <v>15240699</v>
      </c>
      <c r="F55" s="120">
        <v>7708560</v>
      </c>
      <c r="G55" s="120">
        <v>7417194.8499999996</v>
      </c>
      <c r="H55" s="117">
        <f t="shared" ref="H55:H57" si="23">G55/F55</f>
        <v>0.96220238929190405</v>
      </c>
      <c r="I55" s="120"/>
      <c r="J55" s="120"/>
      <c r="K55" s="117"/>
      <c r="L55" s="120"/>
      <c r="M55" s="122"/>
      <c r="N55" s="120">
        <f t="shared" ref="N55:N111" si="24">G55+J55</f>
        <v>7417194.8499999996</v>
      </c>
      <c r="P55" s="24"/>
    </row>
    <row r="56" spans="1:16" ht="93" thickTop="1" thickBot="1" x14ac:dyDescent="0.25">
      <c r="A56" s="90" t="s">
        <v>153</v>
      </c>
      <c r="B56" s="87" t="s">
        <v>154</v>
      </c>
      <c r="C56" s="87" t="s">
        <v>155</v>
      </c>
      <c r="D56" s="87" t="s">
        <v>156</v>
      </c>
      <c r="E56" s="120">
        <v>18957732</v>
      </c>
      <c r="F56" s="120">
        <v>9080900</v>
      </c>
      <c r="G56" s="120">
        <v>3203174.6</v>
      </c>
      <c r="H56" s="117">
        <f t="shared" si="23"/>
        <v>0.35273757006464118</v>
      </c>
      <c r="I56" s="120">
        <v>5820000</v>
      </c>
      <c r="J56" s="120">
        <v>598500</v>
      </c>
      <c r="K56" s="117">
        <f>J56/I56</f>
        <v>0.10283505154639175</v>
      </c>
      <c r="L56" s="120"/>
      <c r="M56" s="122"/>
      <c r="N56" s="120">
        <f t="shared" si="24"/>
        <v>3801674.6</v>
      </c>
      <c r="P56" s="24"/>
    </row>
    <row r="57" spans="1:16" ht="93" thickTop="1" thickBot="1" x14ac:dyDescent="0.25">
      <c r="A57" s="73" t="s">
        <v>157</v>
      </c>
      <c r="B57" s="87" t="s">
        <v>158</v>
      </c>
      <c r="C57" s="87" t="s">
        <v>159</v>
      </c>
      <c r="D57" s="87" t="s">
        <v>160</v>
      </c>
      <c r="E57" s="120">
        <v>25095495</v>
      </c>
      <c r="F57" s="120">
        <v>10185700</v>
      </c>
      <c r="G57" s="120">
        <v>9675163.5199999996</v>
      </c>
      <c r="H57" s="117">
        <f t="shared" si="23"/>
        <v>0.94987713362851833</v>
      </c>
      <c r="I57" s="120">
        <v>94300</v>
      </c>
      <c r="J57" s="120">
        <v>0</v>
      </c>
      <c r="K57" s="117">
        <f>J57/I57</f>
        <v>0</v>
      </c>
      <c r="L57" s="120"/>
      <c r="M57" s="122"/>
      <c r="N57" s="120">
        <f t="shared" si="24"/>
        <v>9675163.5199999996</v>
      </c>
      <c r="P57" s="24"/>
    </row>
    <row r="58" spans="1:16" ht="93" hidden="1" thickTop="1" thickBot="1" x14ac:dyDescent="0.25">
      <c r="A58" s="73" t="s">
        <v>161</v>
      </c>
      <c r="B58" s="157" t="s">
        <v>162</v>
      </c>
      <c r="C58" s="157" t="s">
        <v>163</v>
      </c>
      <c r="D58" s="157" t="s">
        <v>164</v>
      </c>
      <c r="E58" s="158"/>
      <c r="F58" s="158"/>
      <c r="G58" s="158"/>
      <c r="H58" s="159"/>
      <c r="I58" s="127"/>
      <c r="J58" s="127"/>
      <c r="K58" s="128" t="e">
        <f>J58/I58</f>
        <v>#DIV/0!</v>
      </c>
      <c r="L58" s="127"/>
      <c r="M58" s="132"/>
      <c r="N58" s="127">
        <f t="shared" si="24"/>
        <v>0</v>
      </c>
      <c r="P58" s="24"/>
    </row>
    <row r="59" spans="1:16" ht="93" thickTop="1" thickBot="1" x14ac:dyDescent="0.25">
      <c r="A59" s="73" t="s">
        <v>165</v>
      </c>
      <c r="B59" s="89" t="s">
        <v>166</v>
      </c>
      <c r="C59" s="89"/>
      <c r="D59" s="89" t="s">
        <v>167</v>
      </c>
      <c r="E59" s="121">
        <f>E60</f>
        <v>18156325</v>
      </c>
      <c r="F59" s="121">
        <f>F60</f>
        <v>7827160</v>
      </c>
      <c r="G59" s="121">
        <f t="shared" ref="G59" si="25">G60</f>
        <v>7497095.04</v>
      </c>
      <c r="H59" s="123">
        <f t="shared" ref="H59:H60" si="26">G59/F59</f>
        <v>0.9578308147527328</v>
      </c>
      <c r="I59" s="121"/>
      <c r="J59" s="121"/>
      <c r="K59" s="123"/>
      <c r="L59" s="121"/>
      <c r="M59" s="121"/>
      <c r="N59" s="121">
        <f t="shared" si="24"/>
        <v>7497095.04</v>
      </c>
      <c r="O59" s="50"/>
      <c r="P59" s="24"/>
    </row>
    <row r="60" spans="1:16" ht="138.75" thickTop="1" thickBot="1" x14ac:dyDescent="0.25">
      <c r="A60" s="73" t="s">
        <v>168</v>
      </c>
      <c r="B60" s="87" t="s">
        <v>169</v>
      </c>
      <c r="C60" s="87" t="s">
        <v>170</v>
      </c>
      <c r="D60" s="87" t="s">
        <v>171</v>
      </c>
      <c r="E60" s="120">
        <v>18156325</v>
      </c>
      <c r="F60" s="120">
        <v>7827160</v>
      </c>
      <c r="G60" s="120">
        <v>7497095.04</v>
      </c>
      <c r="H60" s="117">
        <f t="shared" si="26"/>
        <v>0.9578308147527328</v>
      </c>
      <c r="I60" s="120"/>
      <c r="J60" s="120"/>
      <c r="K60" s="120"/>
      <c r="L60" s="120"/>
      <c r="M60" s="122"/>
      <c r="N60" s="120">
        <f t="shared" si="24"/>
        <v>7497095.04</v>
      </c>
      <c r="P60" s="24"/>
    </row>
    <row r="61" spans="1:16" ht="138.75" hidden="1" customHeight="1" thickTop="1" thickBot="1" x14ac:dyDescent="0.25">
      <c r="A61" s="59" t="s">
        <v>172</v>
      </c>
      <c r="B61" s="74" t="s">
        <v>173</v>
      </c>
      <c r="C61" s="74"/>
      <c r="D61" s="74" t="s">
        <v>174</v>
      </c>
      <c r="E61" s="125">
        <f t="shared" ref="E61:G61" si="27">E62</f>
        <v>0</v>
      </c>
      <c r="F61" s="125">
        <f t="shared" si="27"/>
        <v>0</v>
      </c>
      <c r="G61" s="125">
        <f t="shared" si="27"/>
        <v>0</v>
      </c>
      <c r="H61" s="126"/>
      <c r="I61" s="125"/>
      <c r="J61" s="125"/>
      <c r="K61" s="126"/>
      <c r="L61" s="125"/>
      <c r="M61" s="125"/>
      <c r="N61" s="125">
        <f t="shared" si="24"/>
        <v>0</v>
      </c>
      <c r="O61" s="50"/>
      <c r="P61" s="24"/>
    </row>
    <row r="62" spans="1:16" ht="138.75" hidden="1" customHeight="1" thickTop="1" thickBot="1" x14ac:dyDescent="0.25">
      <c r="A62" s="58" t="s">
        <v>175</v>
      </c>
      <c r="B62" s="73" t="s">
        <v>176</v>
      </c>
      <c r="C62" s="73" t="s">
        <v>177</v>
      </c>
      <c r="D62" s="73" t="s">
        <v>178</v>
      </c>
      <c r="E62" s="127"/>
      <c r="F62" s="127"/>
      <c r="G62" s="127"/>
      <c r="H62" s="128"/>
      <c r="I62" s="127"/>
      <c r="J62" s="127"/>
      <c r="K62" s="127"/>
      <c r="L62" s="127"/>
      <c r="M62" s="132"/>
      <c r="N62" s="127">
        <f t="shared" si="24"/>
        <v>0</v>
      </c>
      <c r="P62" s="24"/>
    </row>
    <row r="63" spans="1:16" ht="123" thickTop="1" thickBot="1" x14ac:dyDescent="0.25">
      <c r="A63" s="58" t="s">
        <v>179</v>
      </c>
      <c r="B63" s="89" t="s">
        <v>180</v>
      </c>
      <c r="C63" s="89"/>
      <c r="D63" s="89" t="s">
        <v>181</v>
      </c>
      <c r="E63" s="121">
        <f>SUM(E64:E65)</f>
        <v>9942226</v>
      </c>
      <c r="F63" s="121">
        <f t="shared" ref="F63" si="28">SUM(F64:F65)</f>
        <v>5323850</v>
      </c>
      <c r="G63" s="121">
        <f t="shared" ref="G63:J63" si="29">SUM(G64:G65)</f>
        <v>4705348.91</v>
      </c>
      <c r="H63" s="123">
        <f t="shared" ref="H63:H65" si="30">G63/F63</f>
        <v>0.88382447101251915</v>
      </c>
      <c r="I63" s="121">
        <f t="shared" si="29"/>
        <v>0</v>
      </c>
      <c r="J63" s="121">
        <f t="shared" si="29"/>
        <v>0</v>
      </c>
      <c r="K63" s="123">
        <v>0</v>
      </c>
      <c r="L63" s="121"/>
      <c r="M63" s="121"/>
      <c r="N63" s="121">
        <f t="shared" si="24"/>
        <v>4705348.91</v>
      </c>
      <c r="O63" s="50" t="s">
        <v>433</v>
      </c>
      <c r="P63" s="24"/>
    </row>
    <row r="64" spans="1:16" s="18" customFormat="1" ht="93" thickTop="1" thickBot="1" x14ac:dyDescent="0.25">
      <c r="A64" s="58" t="s">
        <v>182</v>
      </c>
      <c r="B64" s="87" t="s">
        <v>183</v>
      </c>
      <c r="C64" s="87" t="s">
        <v>177</v>
      </c>
      <c r="D64" s="96" t="s">
        <v>184</v>
      </c>
      <c r="E64" s="120">
        <v>3648776</v>
      </c>
      <c r="F64" s="120">
        <v>1849600</v>
      </c>
      <c r="G64" s="120">
        <v>1551356.91</v>
      </c>
      <c r="H64" s="117">
        <f t="shared" si="30"/>
        <v>0.83875265462802762</v>
      </c>
      <c r="I64" s="120"/>
      <c r="J64" s="120"/>
      <c r="K64" s="117"/>
      <c r="L64" s="120"/>
      <c r="M64" s="122"/>
      <c r="N64" s="120">
        <f t="shared" si="24"/>
        <v>1551356.91</v>
      </c>
      <c r="O64" s="20"/>
      <c r="P64" s="24"/>
    </row>
    <row r="65" spans="1:18" s="18" customFormat="1" ht="93" thickTop="1" thickBot="1" x14ac:dyDescent="0.25">
      <c r="A65" s="58" t="s">
        <v>185</v>
      </c>
      <c r="B65" s="87" t="s">
        <v>186</v>
      </c>
      <c r="C65" s="87" t="s">
        <v>177</v>
      </c>
      <c r="D65" s="96" t="s">
        <v>187</v>
      </c>
      <c r="E65" s="120">
        <v>6293450</v>
      </c>
      <c r="F65" s="120">
        <v>3474250</v>
      </c>
      <c r="G65" s="120">
        <v>3153992</v>
      </c>
      <c r="H65" s="117">
        <f t="shared" si="30"/>
        <v>0.90781952939483346</v>
      </c>
      <c r="I65" s="120"/>
      <c r="J65" s="120"/>
      <c r="K65" s="120"/>
      <c r="L65" s="120"/>
      <c r="M65" s="122"/>
      <c r="N65" s="120">
        <f t="shared" si="24"/>
        <v>3153992</v>
      </c>
      <c r="O65" s="20"/>
      <c r="P65" s="24"/>
    </row>
    <row r="66" spans="1:18" ht="99" customHeight="1" thickTop="1" thickBot="1" x14ac:dyDescent="0.25">
      <c r="A66" s="57" t="s">
        <v>190</v>
      </c>
      <c r="B66" s="91" t="s">
        <v>139</v>
      </c>
      <c r="C66" s="91"/>
      <c r="D66" s="92" t="s">
        <v>140</v>
      </c>
      <c r="E66" s="93">
        <f>SUM(E67:E111)-E67-E76-E90-E92-E109-E87-E79-E82-E94</f>
        <v>221919038.86999997</v>
      </c>
      <c r="F66" s="93">
        <f>SUM(F67:F111)-F67-F76-F90-F92-F109-F87-F79-F82-F94</f>
        <v>134639392.36999997</v>
      </c>
      <c r="G66" s="93">
        <f>SUM(G67:G111)-G67-G76-G90-G92-G109-G87-G79-G82-G94</f>
        <v>100436502.06</v>
      </c>
      <c r="H66" s="94">
        <f>G66/F66</f>
        <v>0.74596669141221572</v>
      </c>
      <c r="I66" s="93">
        <f>SUM(I67:I111)-I67-I76-I90-I92-I109-I87-I79-I82-I94</f>
        <v>93136935.400000006</v>
      </c>
      <c r="J66" s="93">
        <f>SUM(J67:J111)-J67-J76-J90-J92-J109-J87-J79-J82-J94</f>
        <v>25052611.739999998</v>
      </c>
      <c r="K66" s="94">
        <f>J66/I66</f>
        <v>0.26898685932069005</v>
      </c>
      <c r="L66" s="93"/>
      <c r="M66" s="93"/>
      <c r="N66" s="95">
        <f>J66+G66</f>
        <v>125489113.8</v>
      </c>
      <c r="O66" s="53" t="b">
        <f>N66=N68+N69+N70+N71+N72+N73+N74+N75+N77+N78+N80+N83+N84+N86+N88+N89+N91+N93+N108+N110+N111</f>
        <v>1</v>
      </c>
      <c r="P66" s="26"/>
      <c r="R66" s="25"/>
    </row>
    <row r="67" spans="1:18" ht="276" customHeight="1" thickTop="1" thickBot="1" x14ac:dyDescent="0.25">
      <c r="A67" s="74" t="s">
        <v>191</v>
      </c>
      <c r="B67" s="89" t="s">
        <v>192</v>
      </c>
      <c r="C67" s="89"/>
      <c r="D67" s="89" t="s">
        <v>193</v>
      </c>
      <c r="E67" s="121">
        <f t="shared" ref="E67:J67" si="31">SUM(E68:E72)</f>
        <v>65960000</v>
      </c>
      <c r="F67" s="121">
        <f>SUM(F68:F72)</f>
        <v>33685486</v>
      </c>
      <c r="G67" s="121">
        <f t="shared" si="31"/>
        <v>33503415.509999998</v>
      </c>
      <c r="H67" s="123">
        <f>G67/F67</f>
        <v>0.99459498699232063</v>
      </c>
      <c r="I67" s="121">
        <f t="shared" si="31"/>
        <v>150000</v>
      </c>
      <c r="J67" s="121">
        <f t="shared" si="31"/>
        <v>0</v>
      </c>
      <c r="K67" s="123">
        <f t="shared" ref="K67:K68" si="32">J67/I67</f>
        <v>0</v>
      </c>
      <c r="L67" s="121"/>
      <c r="M67" s="121"/>
      <c r="N67" s="121">
        <f t="shared" si="24"/>
        <v>33503415.509999998</v>
      </c>
      <c r="O67" s="27"/>
      <c r="P67" s="28"/>
      <c r="R67" s="29"/>
    </row>
    <row r="68" spans="1:18" s="18" customFormat="1" ht="93" thickTop="1" thickBot="1" x14ac:dyDescent="0.25">
      <c r="A68" s="73" t="s">
        <v>194</v>
      </c>
      <c r="B68" s="87" t="s">
        <v>195</v>
      </c>
      <c r="C68" s="87" t="s">
        <v>83</v>
      </c>
      <c r="D68" s="97" t="s">
        <v>196</v>
      </c>
      <c r="E68" s="120">
        <v>360000</v>
      </c>
      <c r="F68" s="120">
        <v>175000</v>
      </c>
      <c r="G68" s="120">
        <v>160992.03</v>
      </c>
      <c r="H68" s="117">
        <f>G68/F68</f>
        <v>0.91995445714285717</v>
      </c>
      <c r="I68" s="120">
        <v>150000</v>
      </c>
      <c r="J68" s="120">
        <v>0</v>
      </c>
      <c r="K68" s="117">
        <f t="shared" si="32"/>
        <v>0</v>
      </c>
      <c r="L68" s="120"/>
      <c r="M68" s="122"/>
      <c r="N68" s="120">
        <f t="shared" si="24"/>
        <v>160992.03</v>
      </c>
      <c r="O68" s="20"/>
      <c r="P68" s="26"/>
    </row>
    <row r="69" spans="1:18" s="18" customFormat="1" ht="93" thickTop="1" thickBot="1" x14ac:dyDescent="0.25">
      <c r="A69" s="73" t="s">
        <v>197</v>
      </c>
      <c r="B69" s="87" t="s">
        <v>198</v>
      </c>
      <c r="C69" s="87" t="s">
        <v>93</v>
      </c>
      <c r="D69" s="87" t="s">
        <v>199</v>
      </c>
      <c r="E69" s="120">
        <v>700000</v>
      </c>
      <c r="F69" s="120">
        <v>340000</v>
      </c>
      <c r="G69" s="120">
        <v>300311.31</v>
      </c>
      <c r="H69" s="117">
        <f t="shared" ref="H69:H111" si="33">G69/F69</f>
        <v>0.88326855882352939</v>
      </c>
      <c r="I69" s="120"/>
      <c r="J69" s="120"/>
      <c r="K69" s="120"/>
      <c r="L69" s="120"/>
      <c r="M69" s="122"/>
      <c r="N69" s="120">
        <f t="shared" si="24"/>
        <v>300311.31</v>
      </c>
      <c r="O69" s="20"/>
      <c r="P69" s="30"/>
    </row>
    <row r="70" spans="1:18" s="18" customFormat="1" ht="138.75" thickTop="1" thickBot="1" x14ac:dyDescent="0.25">
      <c r="A70" s="58" t="s">
        <v>200</v>
      </c>
      <c r="B70" s="87" t="s">
        <v>201</v>
      </c>
      <c r="C70" s="87" t="s">
        <v>93</v>
      </c>
      <c r="D70" s="87" t="s">
        <v>202</v>
      </c>
      <c r="E70" s="120">
        <v>19200000</v>
      </c>
      <c r="F70" s="120">
        <v>8000000</v>
      </c>
      <c r="G70" s="120">
        <v>7984999.8899999997</v>
      </c>
      <c r="H70" s="117">
        <f t="shared" si="33"/>
        <v>0.99812498625000001</v>
      </c>
      <c r="I70" s="120"/>
      <c r="J70" s="120"/>
      <c r="K70" s="120"/>
      <c r="L70" s="120"/>
      <c r="M70" s="122"/>
      <c r="N70" s="120">
        <f t="shared" si="24"/>
        <v>7984999.8899999997</v>
      </c>
      <c r="O70" s="20"/>
      <c r="P70" s="30"/>
    </row>
    <row r="71" spans="1:18" s="18" customFormat="1" ht="138.75" thickTop="1" thickBot="1" x14ac:dyDescent="0.25">
      <c r="A71" s="58" t="s">
        <v>203</v>
      </c>
      <c r="B71" s="87" t="s">
        <v>204</v>
      </c>
      <c r="C71" s="87" t="s">
        <v>93</v>
      </c>
      <c r="D71" s="87" t="s">
        <v>205</v>
      </c>
      <c r="E71" s="120">
        <v>700000</v>
      </c>
      <c r="F71" s="120">
        <v>360000</v>
      </c>
      <c r="G71" s="120">
        <v>246626.28</v>
      </c>
      <c r="H71" s="117">
        <f t="shared" si="33"/>
        <v>0.68507300000000004</v>
      </c>
      <c r="I71" s="120"/>
      <c r="J71" s="120"/>
      <c r="K71" s="120"/>
      <c r="L71" s="120"/>
      <c r="M71" s="122"/>
      <c r="N71" s="120">
        <f t="shared" si="24"/>
        <v>246626.28</v>
      </c>
      <c r="O71" s="50"/>
      <c r="P71" s="30"/>
    </row>
    <row r="72" spans="1:18" s="18" customFormat="1" ht="138.75" thickTop="1" thickBot="1" x14ac:dyDescent="0.25">
      <c r="A72" s="58" t="s">
        <v>206</v>
      </c>
      <c r="B72" s="87" t="s">
        <v>207</v>
      </c>
      <c r="C72" s="87" t="s">
        <v>93</v>
      </c>
      <c r="D72" s="87" t="s">
        <v>208</v>
      </c>
      <c r="E72" s="120">
        <v>45000000</v>
      </c>
      <c r="F72" s="120">
        <v>24810486</v>
      </c>
      <c r="G72" s="120">
        <v>24810486</v>
      </c>
      <c r="H72" s="117">
        <f t="shared" si="33"/>
        <v>1</v>
      </c>
      <c r="I72" s="120"/>
      <c r="J72" s="120"/>
      <c r="K72" s="120"/>
      <c r="L72" s="120"/>
      <c r="M72" s="122"/>
      <c r="N72" s="120">
        <f t="shared" si="24"/>
        <v>24810486</v>
      </c>
      <c r="O72" s="20"/>
      <c r="P72" s="30"/>
    </row>
    <row r="73" spans="1:18" s="18" customFormat="1" ht="138.75" thickTop="1" thickBot="1" x14ac:dyDescent="0.25">
      <c r="A73" s="58" t="s">
        <v>209</v>
      </c>
      <c r="B73" s="87" t="s">
        <v>210</v>
      </c>
      <c r="C73" s="87" t="s">
        <v>93</v>
      </c>
      <c r="D73" s="87" t="s">
        <v>211</v>
      </c>
      <c r="E73" s="120">
        <v>272462</v>
      </c>
      <c r="F73" s="120">
        <v>136231</v>
      </c>
      <c r="G73" s="120">
        <v>135407.20000000001</v>
      </c>
      <c r="H73" s="117">
        <f t="shared" si="33"/>
        <v>0.99395291820510756</v>
      </c>
      <c r="I73" s="120"/>
      <c r="J73" s="120"/>
      <c r="K73" s="120"/>
      <c r="L73" s="120"/>
      <c r="M73" s="122"/>
      <c r="N73" s="120">
        <f t="shared" si="24"/>
        <v>135407.20000000001</v>
      </c>
      <c r="O73" s="20"/>
      <c r="P73" s="30"/>
    </row>
    <row r="74" spans="1:18" s="18" customFormat="1" ht="165" customHeight="1" thickTop="1" thickBot="1" x14ac:dyDescent="0.25">
      <c r="A74" s="58"/>
      <c r="B74" s="87" t="s">
        <v>212</v>
      </c>
      <c r="C74" s="87" t="s">
        <v>93</v>
      </c>
      <c r="D74" s="87" t="s">
        <v>213</v>
      </c>
      <c r="E74" s="120">
        <v>2313890</v>
      </c>
      <c r="F74" s="120">
        <v>2263890</v>
      </c>
      <c r="G74" s="120">
        <v>247080.24</v>
      </c>
      <c r="H74" s="117">
        <f t="shared" si="33"/>
        <v>0.10913968434862117</v>
      </c>
      <c r="I74" s="120"/>
      <c r="J74" s="120"/>
      <c r="K74" s="120"/>
      <c r="L74" s="120"/>
      <c r="M74" s="122"/>
      <c r="N74" s="120">
        <f>G74+J74</f>
        <v>247080.24</v>
      </c>
      <c r="O74" s="50"/>
      <c r="P74" s="30"/>
    </row>
    <row r="75" spans="1:18" ht="93" thickTop="1" thickBot="1" x14ac:dyDescent="0.25">
      <c r="A75" s="58" t="s">
        <v>214</v>
      </c>
      <c r="B75" s="87" t="s">
        <v>215</v>
      </c>
      <c r="C75" s="87" t="s">
        <v>83</v>
      </c>
      <c r="D75" s="87" t="s">
        <v>216</v>
      </c>
      <c r="E75" s="120">
        <v>546559</v>
      </c>
      <c r="F75" s="120">
        <v>273279</v>
      </c>
      <c r="G75" s="120">
        <v>135696</v>
      </c>
      <c r="H75" s="117">
        <f t="shared" si="33"/>
        <v>0.49654748443897995</v>
      </c>
      <c r="I75" s="120"/>
      <c r="J75" s="120"/>
      <c r="K75" s="120"/>
      <c r="L75" s="120"/>
      <c r="M75" s="122"/>
      <c r="N75" s="120">
        <f t="shared" si="24"/>
        <v>135696</v>
      </c>
      <c r="P75" s="30"/>
    </row>
    <row r="76" spans="1:18" s="18" customFormat="1" ht="184.5" thickTop="1" thickBot="1" x14ac:dyDescent="0.25">
      <c r="A76" s="88" t="s">
        <v>217</v>
      </c>
      <c r="B76" s="89" t="s">
        <v>218</v>
      </c>
      <c r="C76" s="89"/>
      <c r="D76" s="89" t="s">
        <v>219</v>
      </c>
      <c r="E76" s="121">
        <f t="shared" ref="E76:J76" si="34">SUM(E77:E78)</f>
        <v>55625690.700000003</v>
      </c>
      <c r="F76" s="121">
        <f t="shared" ref="F76" si="35">SUM(F77:F78)</f>
        <v>35088977.700000003</v>
      </c>
      <c r="G76" s="121">
        <f t="shared" si="34"/>
        <v>25127724.989999998</v>
      </c>
      <c r="H76" s="123">
        <f t="shared" si="33"/>
        <v>0.7161144791630677</v>
      </c>
      <c r="I76" s="121">
        <f t="shared" si="34"/>
        <v>1930977.56</v>
      </c>
      <c r="J76" s="121">
        <f t="shared" si="34"/>
        <v>1674430.94</v>
      </c>
      <c r="K76" s="123">
        <f t="shared" ref="K76:K81" si="36">J76/I76</f>
        <v>0.86714158397573504</v>
      </c>
      <c r="L76" s="121"/>
      <c r="M76" s="121"/>
      <c r="N76" s="121">
        <f t="shared" si="24"/>
        <v>26802155.93</v>
      </c>
      <c r="O76" s="20"/>
      <c r="P76" s="31"/>
    </row>
    <row r="77" spans="1:18" ht="184.5" thickTop="1" thickBot="1" x14ac:dyDescent="0.25">
      <c r="A77" s="90" t="s">
        <v>220</v>
      </c>
      <c r="B77" s="87" t="s">
        <v>221</v>
      </c>
      <c r="C77" s="87" t="s">
        <v>72</v>
      </c>
      <c r="D77" s="87" t="s">
        <v>222</v>
      </c>
      <c r="E77" s="120">
        <v>45782004.700000003</v>
      </c>
      <c r="F77" s="120">
        <v>29988247.699999999</v>
      </c>
      <c r="G77" s="120">
        <v>20713976.969999999</v>
      </c>
      <c r="H77" s="117">
        <f t="shared" si="33"/>
        <v>0.69073649041521024</v>
      </c>
      <c r="I77" s="120">
        <v>1128452.95</v>
      </c>
      <c r="J77" s="120">
        <v>890230.94</v>
      </c>
      <c r="K77" s="117">
        <f t="shared" si="36"/>
        <v>0.78889504431708912</v>
      </c>
      <c r="L77" s="120"/>
      <c r="M77" s="122"/>
      <c r="N77" s="120">
        <f t="shared" si="24"/>
        <v>21604207.91</v>
      </c>
      <c r="P77" s="26"/>
    </row>
    <row r="78" spans="1:18" ht="93" thickTop="1" thickBot="1" x14ac:dyDescent="0.25">
      <c r="A78" s="58" t="s">
        <v>223</v>
      </c>
      <c r="B78" s="87" t="s">
        <v>224</v>
      </c>
      <c r="C78" s="87" t="s">
        <v>68</v>
      </c>
      <c r="D78" s="87" t="s">
        <v>225</v>
      </c>
      <c r="E78" s="120">
        <v>9843686</v>
      </c>
      <c r="F78" s="120">
        <v>5100730</v>
      </c>
      <c r="G78" s="120">
        <v>4413748.0199999996</v>
      </c>
      <c r="H78" s="117">
        <f t="shared" si="33"/>
        <v>0.86531692914543601</v>
      </c>
      <c r="I78" s="120">
        <v>802524.61</v>
      </c>
      <c r="J78" s="120">
        <v>784200</v>
      </c>
      <c r="K78" s="117">
        <f t="shared" si="36"/>
        <v>0.97716629524918874</v>
      </c>
      <c r="L78" s="120"/>
      <c r="M78" s="122"/>
      <c r="N78" s="120">
        <f t="shared" si="24"/>
        <v>5197948.0199999996</v>
      </c>
      <c r="P78" s="26"/>
    </row>
    <row r="79" spans="1:18" ht="93" thickTop="1" thickBot="1" x14ac:dyDescent="0.25">
      <c r="A79" s="73"/>
      <c r="B79" s="89" t="s">
        <v>298</v>
      </c>
      <c r="C79" s="89"/>
      <c r="D79" s="89" t="s">
        <v>299</v>
      </c>
      <c r="E79" s="133">
        <f>E80+E81</f>
        <v>8995139.1699999999</v>
      </c>
      <c r="F79" s="133">
        <f>F80+F81</f>
        <v>4905889.17</v>
      </c>
      <c r="G79" s="133">
        <f>G80+G81</f>
        <v>4001612.34</v>
      </c>
      <c r="H79" s="123">
        <f t="shared" si="33"/>
        <v>0.81567524282249526</v>
      </c>
      <c r="I79" s="133">
        <f>I80+I81</f>
        <v>25000</v>
      </c>
      <c r="J79" s="133">
        <f>J80+J81</f>
        <v>25000</v>
      </c>
      <c r="K79" s="123">
        <f t="shared" si="36"/>
        <v>1</v>
      </c>
      <c r="L79" s="133"/>
      <c r="M79" s="133"/>
      <c r="N79" s="121">
        <f>G79+J79</f>
        <v>4026612.34</v>
      </c>
      <c r="O79" s="50"/>
      <c r="P79" s="26"/>
    </row>
    <row r="80" spans="1:18" ht="93" thickTop="1" thickBot="1" x14ac:dyDescent="0.25">
      <c r="A80" s="73"/>
      <c r="B80" s="87" t="s">
        <v>300</v>
      </c>
      <c r="C80" s="87" t="s">
        <v>141</v>
      </c>
      <c r="D80" s="87" t="s">
        <v>301</v>
      </c>
      <c r="E80" s="134">
        <v>8995139.1699999999</v>
      </c>
      <c r="F80" s="134">
        <v>4905889.17</v>
      </c>
      <c r="G80" s="134">
        <v>4001612.34</v>
      </c>
      <c r="H80" s="117">
        <f t="shared" si="33"/>
        <v>0.81567524282249526</v>
      </c>
      <c r="I80" s="134">
        <v>25000</v>
      </c>
      <c r="J80" s="135">
        <v>25000</v>
      </c>
      <c r="K80" s="117">
        <f t="shared" si="36"/>
        <v>1</v>
      </c>
      <c r="L80" s="135"/>
      <c r="M80" s="122"/>
      <c r="N80" s="120">
        <f t="shared" si="24"/>
        <v>4026612.34</v>
      </c>
      <c r="P80" s="26"/>
    </row>
    <row r="81" spans="1:16" ht="276" hidden="1" customHeight="1" thickTop="1" thickBot="1" x14ac:dyDescent="0.25">
      <c r="A81" s="58"/>
      <c r="B81" s="157" t="s">
        <v>463</v>
      </c>
      <c r="C81" s="157" t="s">
        <v>141</v>
      </c>
      <c r="D81" s="157" t="s">
        <v>464</v>
      </c>
      <c r="E81" s="161"/>
      <c r="F81" s="161"/>
      <c r="G81" s="161"/>
      <c r="H81" s="150" t="e">
        <f t="shared" si="33"/>
        <v>#DIV/0!</v>
      </c>
      <c r="I81" s="137"/>
      <c r="J81" s="165"/>
      <c r="K81" s="128" t="e">
        <f t="shared" si="36"/>
        <v>#DIV/0!</v>
      </c>
      <c r="L81" s="165"/>
      <c r="M81" s="132"/>
      <c r="N81" s="127">
        <f t="shared" si="24"/>
        <v>0</v>
      </c>
      <c r="P81" s="26"/>
    </row>
    <row r="82" spans="1:16" ht="93" thickTop="1" thickBot="1" x14ac:dyDescent="0.25">
      <c r="A82" s="87"/>
      <c r="B82" s="89" t="s">
        <v>302</v>
      </c>
      <c r="C82" s="89"/>
      <c r="D82" s="89" t="s">
        <v>303</v>
      </c>
      <c r="E82" s="136">
        <f t="shared" ref="E82:G82" si="37">SUM(E83:E84)</f>
        <v>13200222</v>
      </c>
      <c r="F82" s="136">
        <f t="shared" ref="F82" si="38">SUM(F83:F84)</f>
        <v>6595098</v>
      </c>
      <c r="G82" s="136">
        <f t="shared" si="37"/>
        <v>5311579.32</v>
      </c>
      <c r="H82" s="123">
        <f t="shared" si="33"/>
        <v>0.80538292531816813</v>
      </c>
      <c r="I82" s="136">
        <f t="shared" ref="I82:J82" si="39">SUM(I83:I84)</f>
        <v>581749.49</v>
      </c>
      <c r="J82" s="136">
        <f t="shared" si="39"/>
        <v>297412.07</v>
      </c>
      <c r="K82" s="123">
        <f t="shared" ref="K82:K84" si="40">J82/I82</f>
        <v>0.51123735407142346</v>
      </c>
      <c r="L82" s="136"/>
      <c r="M82" s="136"/>
      <c r="N82" s="121">
        <f t="shared" si="24"/>
        <v>5608991.3900000006</v>
      </c>
      <c r="P82" s="26"/>
    </row>
    <row r="83" spans="1:16" ht="93" thickTop="1" thickBot="1" x14ac:dyDescent="0.25">
      <c r="A83" s="87"/>
      <c r="B83" s="87" t="s">
        <v>304</v>
      </c>
      <c r="C83" s="87" t="s">
        <v>141</v>
      </c>
      <c r="D83" s="87" t="s">
        <v>305</v>
      </c>
      <c r="E83" s="134">
        <v>5445868</v>
      </c>
      <c r="F83" s="134">
        <v>3000239</v>
      </c>
      <c r="G83" s="134">
        <v>2546818.14</v>
      </c>
      <c r="H83" s="117">
        <f t="shared" si="33"/>
        <v>0.84887175321699371</v>
      </c>
      <c r="I83" s="134">
        <v>517733.4</v>
      </c>
      <c r="J83" s="135">
        <v>291769.07</v>
      </c>
      <c r="K83" s="117">
        <f t="shared" si="40"/>
        <v>0.56355079660690233</v>
      </c>
      <c r="L83" s="135"/>
      <c r="M83" s="122"/>
      <c r="N83" s="120">
        <f t="shared" si="24"/>
        <v>2838587.21</v>
      </c>
      <c r="P83" s="26"/>
    </row>
    <row r="84" spans="1:16" ht="48" thickTop="1" thickBot="1" x14ac:dyDescent="0.25">
      <c r="A84" s="87"/>
      <c r="B84" s="87" t="s">
        <v>306</v>
      </c>
      <c r="C84" s="87" t="s">
        <v>141</v>
      </c>
      <c r="D84" s="87" t="s">
        <v>307</v>
      </c>
      <c r="E84" s="134">
        <v>7754354</v>
      </c>
      <c r="F84" s="134">
        <v>3594859</v>
      </c>
      <c r="G84" s="134">
        <v>2764761.18</v>
      </c>
      <c r="H84" s="117">
        <f t="shared" si="33"/>
        <v>0.76908751636712325</v>
      </c>
      <c r="I84" s="134">
        <v>64016.09</v>
      </c>
      <c r="J84" s="135">
        <v>5643</v>
      </c>
      <c r="K84" s="117">
        <f t="shared" si="40"/>
        <v>8.8149713611062469E-2</v>
      </c>
      <c r="L84" s="135"/>
      <c r="M84" s="122"/>
      <c r="N84" s="120">
        <f t="shared" si="24"/>
        <v>2770404.18</v>
      </c>
      <c r="P84" s="26"/>
    </row>
    <row r="85" spans="1:16" ht="230.25" hidden="1" thickTop="1" thickBot="1" x14ac:dyDescent="0.25">
      <c r="A85" s="87"/>
      <c r="B85" s="151" t="s">
        <v>540</v>
      </c>
      <c r="C85" s="151" t="s">
        <v>141</v>
      </c>
      <c r="D85" s="151" t="s">
        <v>541</v>
      </c>
      <c r="E85" s="160"/>
      <c r="F85" s="160"/>
      <c r="G85" s="160"/>
      <c r="H85" s="150"/>
      <c r="I85" s="134"/>
      <c r="J85" s="135"/>
      <c r="K85" s="117"/>
      <c r="L85" s="135"/>
      <c r="M85" s="122"/>
      <c r="N85" s="120">
        <f t="shared" ref="N85" si="41">G85+J85</f>
        <v>0</v>
      </c>
      <c r="P85" s="26"/>
    </row>
    <row r="86" spans="1:16" ht="276" thickTop="1" thickBot="1" x14ac:dyDescent="0.25">
      <c r="A86" s="73" t="s">
        <v>226</v>
      </c>
      <c r="B86" s="87" t="s">
        <v>227</v>
      </c>
      <c r="C86" s="87" t="s">
        <v>68</v>
      </c>
      <c r="D86" s="87" t="s">
        <v>228</v>
      </c>
      <c r="E86" s="120">
        <v>4673200</v>
      </c>
      <c r="F86" s="120">
        <v>2336680</v>
      </c>
      <c r="G86" s="120">
        <v>1201376.8999999999</v>
      </c>
      <c r="H86" s="117">
        <f t="shared" si="33"/>
        <v>0.51413839293356378</v>
      </c>
      <c r="I86" s="131"/>
      <c r="J86" s="120"/>
      <c r="K86" s="120"/>
      <c r="L86" s="120"/>
      <c r="M86" s="122"/>
      <c r="N86" s="120">
        <f t="shared" si="24"/>
        <v>1201376.8999999999</v>
      </c>
      <c r="P86" s="30"/>
    </row>
    <row r="87" spans="1:16" ht="93" thickTop="1" thickBot="1" x14ac:dyDescent="0.25">
      <c r="A87" s="88" t="s">
        <v>229</v>
      </c>
      <c r="B87" s="89" t="s">
        <v>230</v>
      </c>
      <c r="C87" s="89"/>
      <c r="D87" s="89" t="s">
        <v>231</v>
      </c>
      <c r="E87" s="121">
        <f>E88</f>
        <v>142618</v>
      </c>
      <c r="F87" s="121">
        <f>F88</f>
        <v>71309</v>
      </c>
      <c r="G87" s="121">
        <f t="shared" ref="G87" si="42">G88</f>
        <v>69517.33</v>
      </c>
      <c r="H87" s="123">
        <f t="shared" si="33"/>
        <v>0.97487456001346251</v>
      </c>
      <c r="I87" s="121"/>
      <c r="J87" s="121"/>
      <c r="K87" s="123"/>
      <c r="L87" s="121"/>
      <c r="M87" s="121"/>
      <c r="N87" s="121">
        <f t="shared" si="24"/>
        <v>69517.33</v>
      </c>
      <c r="O87" s="50"/>
      <c r="P87" s="30"/>
    </row>
    <row r="88" spans="1:16" ht="184.5" thickTop="1" thickBot="1" x14ac:dyDescent="0.25">
      <c r="A88" s="90" t="s">
        <v>232</v>
      </c>
      <c r="B88" s="87" t="s">
        <v>233</v>
      </c>
      <c r="C88" s="87" t="s">
        <v>68</v>
      </c>
      <c r="D88" s="87" t="s">
        <v>234</v>
      </c>
      <c r="E88" s="120">
        <v>142618</v>
      </c>
      <c r="F88" s="120">
        <v>71309</v>
      </c>
      <c r="G88" s="120">
        <v>69517.33</v>
      </c>
      <c r="H88" s="117">
        <f t="shared" si="33"/>
        <v>0.97487456001346251</v>
      </c>
      <c r="I88" s="131"/>
      <c r="J88" s="120"/>
      <c r="K88" s="120"/>
      <c r="L88" s="120"/>
      <c r="M88" s="122"/>
      <c r="N88" s="120">
        <f t="shared" si="24"/>
        <v>69517.33</v>
      </c>
      <c r="P88" s="30"/>
    </row>
    <row r="89" spans="1:16" ht="230.25" thickTop="1" thickBot="1" x14ac:dyDescent="0.25">
      <c r="A89" s="73" t="s">
        <v>235</v>
      </c>
      <c r="B89" s="87" t="s">
        <v>236</v>
      </c>
      <c r="C89" s="87" t="s">
        <v>88</v>
      </c>
      <c r="D89" s="87" t="s">
        <v>237</v>
      </c>
      <c r="E89" s="120">
        <v>3222500</v>
      </c>
      <c r="F89" s="120">
        <v>1650000</v>
      </c>
      <c r="G89" s="120">
        <v>1224623.1599999999</v>
      </c>
      <c r="H89" s="117">
        <f t="shared" si="33"/>
        <v>0.74219585454545445</v>
      </c>
      <c r="I89" s="131"/>
      <c r="J89" s="120"/>
      <c r="K89" s="120"/>
      <c r="L89" s="120"/>
      <c r="M89" s="122"/>
      <c r="N89" s="120">
        <f t="shared" si="24"/>
        <v>1224623.1599999999</v>
      </c>
      <c r="P89" s="30"/>
    </row>
    <row r="90" spans="1:16" s="18" customFormat="1" ht="93" thickTop="1" thickBot="1" x14ac:dyDescent="0.25">
      <c r="A90" s="89" t="s">
        <v>238</v>
      </c>
      <c r="B90" s="89" t="s">
        <v>239</v>
      </c>
      <c r="C90" s="89"/>
      <c r="D90" s="89" t="s">
        <v>240</v>
      </c>
      <c r="E90" s="121">
        <f t="shared" ref="E90:G90" si="43">E91</f>
        <v>710000</v>
      </c>
      <c r="F90" s="121">
        <f t="shared" si="43"/>
        <v>410000</v>
      </c>
      <c r="G90" s="121">
        <f t="shared" si="43"/>
        <v>370921.67</v>
      </c>
      <c r="H90" s="117">
        <f t="shared" si="33"/>
        <v>0.90468699999999991</v>
      </c>
      <c r="I90" s="121"/>
      <c r="J90" s="121"/>
      <c r="K90" s="123"/>
      <c r="L90" s="121"/>
      <c r="M90" s="121"/>
      <c r="N90" s="121">
        <f>G90+J90</f>
        <v>370921.67</v>
      </c>
      <c r="O90" s="50"/>
      <c r="P90" s="31"/>
    </row>
    <row r="91" spans="1:16" ht="138.75" thickTop="1" thickBot="1" x14ac:dyDescent="0.25">
      <c r="A91" s="87" t="s">
        <v>241</v>
      </c>
      <c r="B91" s="87" t="s">
        <v>242</v>
      </c>
      <c r="C91" s="87" t="s">
        <v>83</v>
      </c>
      <c r="D91" s="87" t="s">
        <v>243</v>
      </c>
      <c r="E91" s="120">
        <v>710000</v>
      </c>
      <c r="F91" s="120">
        <v>410000</v>
      </c>
      <c r="G91" s="120">
        <v>370921.67</v>
      </c>
      <c r="H91" s="117">
        <f t="shared" si="33"/>
        <v>0.90468699999999991</v>
      </c>
      <c r="I91" s="120"/>
      <c r="J91" s="120"/>
      <c r="K91" s="120"/>
      <c r="L91" s="120"/>
      <c r="M91" s="122"/>
      <c r="N91" s="120">
        <f t="shared" si="24"/>
        <v>370921.67</v>
      </c>
      <c r="P91" s="30"/>
    </row>
    <row r="92" spans="1:16" s="18" customFormat="1" ht="93" thickTop="1" thickBot="1" x14ac:dyDescent="0.25">
      <c r="A92" s="89" t="s">
        <v>244</v>
      </c>
      <c r="B92" s="89" t="s">
        <v>245</v>
      </c>
      <c r="C92" s="89"/>
      <c r="D92" s="89" t="s">
        <v>246</v>
      </c>
      <c r="E92" s="121">
        <f t="shared" ref="E92:J92" si="44">E93</f>
        <v>117000</v>
      </c>
      <c r="F92" s="121">
        <f t="shared" si="44"/>
        <v>68250</v>
      </c>
      <c r="G92" s="121">
        <f t="shared" si="44"/>
        <v>60047.03</v>
      </c>
      <c r="H92" s="123">
        <f t="shared" si="33"/>
        <v>0.87980996336996331</v>
      </c>
      <c r="I92" s="121">
        <f t="shared" si="44"/>
        <v>78449.19</v>
      </c>
      <c r="J92" s="121">
        <f t="shared" si="44"/>
        <v>78449.19</v>
      </c>
      <c r="K92" s="123">
        <f t="shared" ref="K92" si="45">J92/I92</f>
        <v>1</v>
      </c>
      <c r="L92" s="121"/>
      <c r="M92" s="121"/>
      <c r="N92" s="121">
        <f>G92+J92</f>
        <v>138496.22</v>
      </c>
      <c r="O92" s="50"/>
      <c r="P92" s="31"/>
    </row>
    <row r="93" spans="1:16" ht="93" thickTop="1" thickBot="1" x14ac:dyDescent="0.25">
      <c r="A93" s="87" t="s">
        <v>247</v>
      </c>
      <c r="B93" s="87" t="s">
        <v>248</v>
      </c>
      <c r="C93" s="87" t="s">
        <v>249</v>
      </c>
      <c r="D93" s="87" t="s">
        <v>250</v>
      </c>
      <c r="E93" s="120">
        <v>117000</v>
      </c>
      <c r="F93" s="120">
        <v>68250</v>
      </c>
      <c r="G93" s="120">
        <v>60047.03</v>
      </c>
      <c r="H93" s="117">
        <f t="shared" si="33"/>
        <v>0.87980996336996331</v>
      </c>
      <c r="I93" s="120">
        <v>78449.19</v>
      </c>
      <c r="J93" s="120">
        <v>78449.19</v>
      </c>
      <c r="K93" s="117">
        <f t="shared" ref="K93" si="46">J93/I93</f>
        <v>1</v>
      </c>
      <c r="L93" s="120"/>
      <c r="M93" s="122"/>
      <c r="N93" s="120">
        <f>G93+J93</f>
        <v>138496.22</v>
      </c>
      <c r="P93" s="30"/>
    </row>
    <row r="94" spans="1:16" ht="183.75" hidden="1" customHeight="1" thickTop="1" thickBot="1" x14ac:dyDescent="0.25">
      <c r="A94" s="90"/>
      <c r="B94" s="154" t="s">
        <v>476</v>
      </c>
      <c r="C94" s="154"/>
      <c r="D94" s="154" t="s">
        <v>477</v>
      </c>
      <c r="E94" s="155">
        <f>E95+E98+E102+E105</f>
        <v>0</v>
      </c>
      <c r="F94" s="155">
        <f>F95+F98+F102+F105</f>
        <v>0</v>
      </c>
      <c r="G94" s="155">
        <f t="shared" ref="G94" si="47">G95+G98+G102+G105</f>
        <v>0</v>
      </c>
      <c r="H94" s="150" t="e">
        <f t="shared" si="33"/>
        <v>#DIV/0!</v>
      </c>
      <c r="I94" s="121">
        <f>I95+I98+I102+I105</f>
        <v>0</v>
      </c>
      <c r="J94" s="121">
        <f>J95+J98+J102+J105</f>
        <v>0</v>
      </c>
      <c r="K94" s="123" t="e">
        <f>J94/I94</f>
        <v>#DIV/0!</v>
      </c>
      <c r="L94" s="120"/>
      <c r="M94" s="122"/>
      <c r="N94" s="121">
        <f>G94+J94</f>
        <v>0</v>
      </c>
      <c r="O94" s="50" t="s">
        <v>433</v>
      </c>
      <c r="P94" s="30"/>
    </row>
    <row r="95" spans="1:16" ht="276" hidden="1" customHeight="1" thickTop="1" thickBot="1" x14ac:dyDescent="0.7">
      <c r="A95" s="90"/>
      <c r="B95" s="167" t="s">
        <v>478</v>
      </c>
      <c r="C95" s="167" t="s">
        <v>88</v>
      </c>
      <c r="D95" s="162" t="s">
        <v>479</v>
      </c>
      <c r="E95" s="170"/>
      <c r="F95" s="170"/>
      <c r="G95" s="170"/>
      <c r="H95" s="150" t="e">
        <f t="shared" si="33"/>
        <v>#DIV/0!</v>
      </c>
      <c r="I95" s="187"/>
      <c r="J95" s="187"/>
      <c r="K95" s="173" t="e">
        <f>J95/I95</f>
        <v>#DIV/0!</v>
      </c>
      <c r="L95" s="120"/>
      <c r="M95" s="122"/>
      <c r="N95" s="187">
        <f>G95+J95</f>
        <v>0</v>
      </c>
      <c r="P95" s="30"/>
    </row>
    <row r="96" spans="1:16" ht="276" hidden="1" customHeight="1" thickTop="1" thickBot="1" x14ac:dyDescent="0.25">
      <c r="A96" s="90"/>
      <c r="B96" s="168"/>
      <c r="C96" s="168"/>
      <c r="D96" s="163" t="s">
        <v>480</v>
      </c>
      <c r="E96" s="171"/>
      <c r="F96" s="171"/>
      <c r="G96" s="171"/>
      <c r="H96" s="150" t="e">
        <f t="shared" si="33"/>
        <v>#DIV/0!</v>
      </c>
      <c r="I96" s="188"/>
      <c r="J96" s="188"/>
      <c r="K96" s="174"/>
      <c r="L96" s="120"/>
      <c r="M96" s="122"/>
      <c r="N96" s="188"/>
      <c r="P96" s="30"/>
    </row>
    <row r="97" spans="1:16" ht="230.25" hidden="1" customHeight="1" thickTop="1" thickBot="1" x14ac:dyDescent="0.25">
      <c r="A97" s="90"/>
      <c r="B97" s="169"/>
      <c r="C97" s="169"/>
      <c r="D97" s="164" t="s">
        <v>481</v>
      </c>
      <c r="E97" s="172"/>
      <c r="F97" s="172"/>
      <c r="G97" s="172"/>
      <c r="H97" s="150" t="e">
        <f t="shared" si="33"/>
        <v>#DIV/0!</v>
      </c>
      <c r="I97" s="189"/>
      <c r="J97" s="189"/>
      <c r="K97" s="175"/>
      <c r="L97" s="120"/>
      <c r="M97" s="122"/>
      <c r="N97" s="189"/>
      <c r="P97" s="30"/>
    </row>
    <row r="98" spans="1:16" ht="276" hidden="1" customHeight="1" thickTop="1" thickBot="1" x14ac:dyDescent="0.7">
      <c r="A98" s="90"/>
      <c r="B98" s="167" t="s">
        <v>482</v>
      </c>
      <c r="C98" s="167" t="s">
        <v>88</v>
      </c>
      <c r="D98" s="162" t="s">
        <v>483</v>
      </c>
      <c r="E98" s="170"/>
      <c r="F98" s="170"/>
      <c r="G98" s="170"/>
      <c r="H98" s="150" t="e">
        <f t="shared" si="33"/>
        <v>#DIV/0!</v>
      </c>
      <c r="I98" s="187"/>
      <c r="J98" s="187"/>
      <c r="K98" s="173" t="e">
        <f>J98/I98</f>
        <v>#DIV/0!</v>
      </c>
      <c r="L98" s="120"/>
      <c r="M98" s="122"/>
      <c r="N98" s="187">
        <f>G98+J98</f>
        <v>0</v>
      </c>
      <c r="P98" s="30"/>
    </row>
    <row r="99" spans="1:16" ht="321.75" hidden="1" customHeight="1" thickTop="1" thickBot="1" x14ac:dyDescent="0.25">
      <c r="A99" s="90"/>
      <c r="B99" s="168"/>
      <c r="C99" s="168"/>
      <c r="D99" s="163" t="s">
        <v>484</v>
      </c>
      <c r="E99" s="171"/>
      <c r="F99" s="171"/>
      <c r="G99" s="171"/>
      <c r="H99" s="150" t="e">
        <f t="shared" si="33"/>
        <v>#DIV/0!</v>
      </c>
      <c r="I99" s="188"/>
      <c r="J99" s="188"/>
      <c r="K99" s="174"/>
      <c r="L99" s="120"/>
      <c r="M99" s="122"/>
      <c r="N99" s="188"/>
      <c r="P99" s="30"/>
    </row>
    <row r="100" spans="1:16" ht="276" hidden="1" customHeight="1" thickTop="1" thickBot="1" x14ac:dyDescent="0.25">
      <c r="A100" s="90"/>
      <c r="B100" s="168"/>
      <c r="C100" s="168"/>
      <c r="D100" s="163" t="s">
        <v>485</v>
      </c>
      <c r="E100" s="171"/>
      <c r="F100" s="171"/>
      <c r="G100" s="171"/>
      <c r="H100" s="150" t="e">
        <f t="shared" si="33"/>
        <v>#DIV/0!</v>
      </c>
      <c r="I100" s="188"/>
      <c r="J100" s="188"/>
      <c r="K100" s="174"/>
      <c r="L100" s="120"/>
      <c r="M100" s="122"/>
      <c r="N100" s="188"/>
      <c r="P100" s="30"/>
    </row>
    <row r="101" spans="1:16" ht="138.75" hidden="1" customHeight="1" thickTop="1" thickBot="1" x14ac:dyDescent="0.25">
      <c r="A101" s="90"/>
      <c r="B101" s="169"/>
      <c r="C101" s="169"/>
      <c r="D101" s="164" t="s">
        <v>486</v>
      </c>
      <c r="E101" s="172"/>
      <c r="F101" s="172"/>
      <c r="G101" s="172"/>
      <c r="H101" s="150" t="e">
        <f t="shared" si="33"/>
        <v>#DIV/0!</v>
      </c>
      <c r="I101" s="189"/>
      <c r="J101" s="189"/>
      <c r="K101" s="175"/>
      <c r="L101" s="120"/>
      <c r="M101" s="122"/>
      <c r="N101" s="189"/>
      <c r="P101" s="30"/>
    </row>
    <row r="102" spans="1:16" ht="276" hidden="1" customHeight="1" thickTop="1" thickBot="1" x14ac:dyDescent="0.7">
      <c r="A102" s="90"/>
      <c r="B102" s="167" t="s">
        <v>487</v>
      </c>
      <c r="C102" s="167" t="s">
        <v>88</v>
      </c>
      <c r="D102" s="162" t="s">
        <v>488</v>
      </c>
      <c r="E102" s="170"/>
      <c r="F102" s="170"/>
      <c r="G102" s="170"/>
      <c r="H102" s="150" t="e">
        <f t="shared" si="33"/>
        <v>#DIV/0!</v>
      </c>
      <c r="I102" s="187"/>
      <c r="J102" s="187"/>
      <c r="K102" s="173" t="e">
        <f>J102/I102</f>
        <v>#DIV/0!</v>
      </c>
      <c r="L102" s="120"/>
      <c r="M102" s="122"/>
      <c r="N102" s="187">
        <f>G102+J102</f>
        <v>0</v>
      </c>
      <c r="P102" s="30"/>
    </row>
    <row r="103" spans="1:16" ht="276" hidden="1" customHeight="1" thickTop="1" thickBot="1" x14ac:dyDescent="0.25">
      <c r="A103" s="90"/>
      <c r="B103" s="168"/>
      <c r="C103" s="168"/>
      <c r="D103" s="163" t="s">
        <v>489</v>
      </c>
      <c r="E103" s="171"/>
      <c r="F103" s="171"/>
      <c r="G103" s="171"/>
      <c r="H103" s="150" t="e">
        <f t="shared" si="33"/>
        <v>#DIV/0!</v>
      </c>
      <c r="I103" s="188"/>
      <c r="J103" s="188"/>
      <c r="K103" s="174"/>
      <c r="L103" s="120"/>
      <c r="M103" s="122"/>
      <c r="N103" s="188"/>
      <c r="P103" s="30"/>
    </row>
    <row r="104" spans="1:16" ht="93" hidden="1" customHeight="1" thickTop="1" thickBot="1" x14ac:dyDescent="0.25">
      <c r="A104" s="90"/>
      <c r="B104" s="169"/>
      <c r="C104" s="169"/>
      <c r="D104" s="164" t="s">
        <v>490</v>
      </c>
      <c r="E104" s="172"/>
      <c r="F104" s="172"/>
      <c r="G104" s="172"/>
      <c r="H104" s="150" t="e">
        <f t="shared" si="33"/>
        <v>#DIV/0!</v>
      </c>
      <c r="I104" s="189"/>
      <c r="J104" s="189"/>
      <c r="K104" s="175"/>
      <c r="L104" s="120"/>
      <c r="M104" s="122"/>
      <c r="N104" s="189"/>
      <c r="P104" s="30"/>
    </row>
    <row r="105" spans="1:16" ht="276" hidden="1" customHeight="1" thickTop="1" thickBot="1" x14ac:dyDescent="0.7">
      <c r="A105" s="90"/>
      <c r="B105" s="167" t="s">
        <v>491</v>
      </c>
      <c r="C105" s="167" t="s">
        <v>88</v>
      </c>
      <c r="D105" s="162" t="s">
        <v>492</v>
      </c>
      <c r="E105" s="170"/>
      <c r="F105" s="170"/>
      <c r="G105" s="170"/>
      <c r="H105" s="150" t="e">
        <f t="shared" si="33"/>
        <v>#DIV/0!</v>
      </c>
      <c r="I105" s="187"/>
      <c r="J105" s="187"/>
      <c r="K105" s="173" t="e">
        <f>J105/I105</f>
        <v>#DIV/0!</v>
      </c>
      <c r="L105" s="120"/>
      <c r="M105" s="122"/>
      <c r="N105" s="187">
        <f t="shared" si="24"/>
        <v>0</v>
      </c>
      <c r="P105" s="30"/>
    </row>
    <row r="106" spans="1:16" ht="230.25" hidden="1" customHeight="1" thickTop="1" thickBot="1" x14ac:dyDescent="0.25">
      <c r="A106" s="90"/>
      <c r="B106" s="168"/>
      <c r="C106" s="168"/>
      <c r="D106" s="163" t="s">
        <v>493</v>
      </c>
      <c r="E106" s="171"/>
      <c r="F106" s="171"/>
      <c r="G106" s="171"/>
      <c r="H106" s="150" t="e">
        <f t="shared" si="33"/>
        <v>#DIV/0!</v>
      </c>
      <c r="I106" s="188"/>
      <c r="J106" s="188"/>
      <c r="K106" s="174"/>
      <c r="L106" s="120"/>
      <c r="M106" s="122"/>
      <c r="N106" s="188"/>
      <c r="P106" s="30"/>
    </row>
    <row r="107" spans="1:16" ht="48" hidden="1" customHeight="1" thickTop="1" thickBot="1" x14ac:dyDescent="0.25">
      <c r="A107" s="90"/>
      <c r="B107" s="169"/>
      <c r="C107" s="169"/>
      <c r="D107" s="164" t="s">
        <v>494</v>
      </c>
      <c r="E107" s="172"/>
      <c r="F107" s="172"/>
      <c r="G107" s="172"/>
      <c r="H107" s="150" t="e">
        <f t="shared" si="33"/>
        <v>#DIV/0!</v>
      </c>
      <c r="I107" s="189"/>
      <c r="J107" s="189"/>
      <c r="K107" s="175"/>
      <c r="L107" s="120"/>
      <c r="M107" s="122"/>
      <c r="N107" s="189"/>
      <c r="P107" s="30"/>
    </row>
    <row r="108" spans="1:16" ht="138.75" thickTop="1" thickBot="1" x14ac:dyDescent="0.25">
      <c r="A108" s="87"/>
      <c r="B108" s="87" t="s">
        <v>531</v>
      </c>
      <c r="C108" s="146" t="s">
        <v>93</v>
      </c>
      <c r="D108" s="146" t="s">
        <v>542</v>
      </c>
      <c r="E108" s="148">
        <v>10044369</v>
      </c>
      <c r="F108" s="148">
        <v>9646909.5</v>
      </c>
      <c r="G108" s="148">
        <v>2886760.49</v>
      </c>
      <c r="H108" s="117">
        <f t="shared" si="33"/>
        <v>0.29924199973058729</v>
      </c>
      <c r="I108" s="148">
        <f>57008848+6050000+156881</f>
        <v>63215729</v>
      </c>
      <c r="J108" s="148">
        <f>17938549.42+1132331.37+78440.5</f>
        <v>19149321.290000003</v>
      </c>
      <c r="K108" s="117">
        <f t="shared" ref="K108" si="48">J108/I108</f>
        <v>0.30292020028749495</v>
      </c>
      <c r="L108" s="120"/>
      <c r="M108" s="122"/>
      <c r="N108" s="120">
        <f t="shared" si="24"/>
        <v>22036081.780000001</v>
      </c>
      <c r="P108" s="30"/>
    </row>
    <row r="109" spans="1:16" s="18" customFormat="1" ht="93" thickTop="1" thickBot="1" x14ac:dyDescent="0.25">
      <c r="A109" s="89" t="s">
        <v>251</v>
      </c>
      <c r="B109" s="89" t="s">
        <v>252</v>
      </c>
      <c r="C109" s="89"/>
      <c r="D109" s="89" t="s">
        <v>253</v>
      </c>
      <c r="E109" s="121">
        <f t="shared" ref="E109:J109" si="49">SUM(E110:E111)</f>
        <v>56095389</v>
      </c>
      <c r="F109" s="121">
        <f t="shared" ref="F109" si="50">SUM(F110:F111)</f>
        <v>37507393</v>
      </c>
      <c r="G109" s="121">
        <f t="shared" si="49"/>
        <v>26160739.879999999</v>
      </c>
      <c r="H109" s="123">
        <f t="shared" si="33"/>
        <v>0.69748222383784442</v>
      </c>
      <c r="I109" s="121">
        <f t="shared" si="49"/>
        <v>27155030.16</v>
      </c>
      <c r="J109" s="121">
        <f t="shared" si="49"/>
        <v>3827998.25</v>
      </c>
      <c r="K109" s="123">
        <f t="shared" ref="K109:K111" si="51">J109/I109</f>
        <v>0.14096829307296191</v>
      </c>
      <c r="L109" s="121"/>
      <c r="M109" s="121"/>
      <c r="N109" s="121">
        <f t="shared" si="24"/>
        <v>29988738.129999999</v>
      </c>
      <c r="O109" s="20"/>
      <c r="P109" s="31"/>
    </row>
    <row r="110" spans="1:16" ht="93" thickTop="1" thickBot="1" x14ac:dyDescent="0.25">
      <c r="A110" s="87" t="s">
        <v>254</v>
      </c>
      <c r="B110" s="87" t="s">
        <v>255</v>
      </c>
      <c r="C110" s="87" t="s">
        <v>97</v>
      </c>
      <c r="D110" s="96" t="s">
        <v>256</v>
      </c>
      <c r="E110" s="120">
        <v>17924290</v>
      </c>
      <c r="F110" s="120">
        <v>10540087</v>
      </c>
      <c r="G110" s="134">
        <v>8248591.04</v>
      </c>
      <c r="H110" s="117">
        <f t="shared" si="33"/>
        <v>0.78259231067068047</v>
      </c>
      <c r="I110" s="120">
        <v>8701030.1600000001</v>
      </c>
      <c r="J110" s="120">
        <v>1619482.47</v>
      </c>
      <c r="K110" s="117">
        <f t="shared" si="51"/>
        <v>0.18612537138935742</v>
      </c>
      <c r="L110" s="120"/>
      <c r="M110" s="122"/>
      <c r="N110" s="120">
        <f t="shared" si="24"/>
        <v>9868073.5099999998</v>
      </c>
      <c r="P110" s="26"/>
    </row>
    <row r="111" spans="1:16" ht="93" thickTop="1" thickBot="1" x14ac:dyDescent="0.25">
      <c r="A111" s="73" t="s">
        <v>257</v>
      </c>
      <c r="B111" s="87" t="s">
        <v>258</v>
      </c>
      <c r="C111" s="87" t="s">
        <v>97</v>
      </c>
      <c r="D111" s="96" t="s">
        <v>259</v>
      </c>
      <c r="E111" s="120">
        <v>38171099</v>
      </c>
      <c r="F111" s="120">
        <v>26967306</v>
      </c>
      <c r="G111" s="120">
        <v>17912148.84</v>
      </c>
      <c r="H111" s="117">
        <f t="shared" si="33"/>
        <v>0.66421721324332506</v>
      </c>
      <c r="I111" s="120">
        <v>18454000</v>
      </c>
      <c r="J111" s="120">
        <v>2208515.7799999998</v>
      </c>
      <c r="K111" s="117">
        <f t="shared" si="51"/>
        <v>0.11967680611249593</v>
      </c>
      <c r="L111" s="120"/>
      <c r="M111" s="122"/>
      <c r="N111" s="120">
        <f t="shared" si="24"/>
        <v>20120664.620000001</v>
      </c>
      <c r="P111" s="26"/>
    </row>
    <row r="112" spans="1:16" s="11" customFormat="1" ht="92.25" customHeight="1" thickTop="1" thickBot="1" x14ac:dyDescent="0.25">
      <c r="A112" s="57" t="s">
        <v>270</v>
      </c>
      <c r="B112" s="91" t="s">
        <v>271</v>
      </c>
      <c r="C112" s="91"/>
      <c r="D112" s="92" t="s">
        <v>272</v>
      </c>
      <c r="E112" s="93">
        <f>SUM(E113:E120)-E118</f>
        <v>70139775</v>
      </c>
      <c r="F112" s="93">
        <f>SUM(F113:F120)-F118</f>
        <v>37187292</v>
      </c>
      <c r="G112" s="93">
        <f t="shared" ref="G112:J112" si="52">SUM(G113:G120)-G118</f>
        <v>31412247.040000007</v>
      </c>
      <c r="H112" s="94">
        <f>G112/F112</f>
        <v>0.84470380472985251</v>
      </c>
      <c r="I112" s="93">
        <f t="shared" si="52"/>
        <v>1871250.57</v>
      </c>
      <c r="J112" s="93">
        <f t="shared" si="52"/>
        <v>980953.09000000008</v>
      </c>
      <c r="K112" s="94">
        <f>J112/I112</f>
        <v>0.52422326850647272</v>
      </c>
      <c r="L112" s="93"/>
      <c r="M112" s="93"/>
      <c r="N112" s="95">
        <f>J112+G112</f>
        <v>32393200.130000006</v>
      </c>
      <c r="O112" s="53" t="b">
        <f>N112=N113+N114+N115+N116+N119+N120+N117</f>
        <v>1</v>
      </c>
      <c r="P112" s="30"/>
    </row>
    <row r="113" spans="1:16" ht="93" thickTop="1" thickBot="1" x14ac:dyDescent="0.25">
      <c r="A113" s="58" t="s">
        <v>273</v>
      </c>
      <c r="B113" s="87" t="s">
        <v>274</v>
      </c>
      <c r="C113" s="87" t="s">
        <v>275</v>
      </c>
      <c r="D113" s="87" t="s">
        <v>276</v>
      </c>
      <c r="E113" s="120">
        <v>1156300</v>
      </c>
      <c r="F113" s="120">
        <v>578400</v>
      </c>
      <c r="G113" s="120">
        <v>355696.86</v>
      </c>
      <c r="H113" s="117">
        <f>G113/F113</f>
        <v>0.61496690871369297</v>
      </c>
      <c r="I113" s="120"/>
      <c r="J113" s="120"/>
      <c r="K113" s="120"/>
      <c r="L113" s="120"/>
      <c r="M113" s="122"/>
      <c r="N113" s="120">
        <f t="shared" ref="N113:N136" si="53">G113+J113</f>
        <v>355696.86</v>
      </c>
      <c r="P113" s="30"/>
    </row>
    <row r="114" spans="1:16" ht="93" thickTop="1" thickBot="1" x14ac:dyDescent="0.25">
      <c r="A114" s="58" t="s">
        <v>277</v>
      </c>
      <c r="B114" s="87" t="s">
        <v>278</v>
      </c>
      <c r="C114" s="87" t="s">
        <v>279</v>
      </c>
      <c r="D114" s="87" t="s">
        <v>280</v>
      </c>
      <c r="E114" s="120">
        <v>16416487</v>
      </c>
      <c r="F114" s="120">
        <v>8409871</v>
      </c>
      <c r="G114" s="120">
        <v>7463386.6399999997</v>
      </c>
      <c r="H114" s="117">
        <f t="shared" ref="H114:H116" si="54">G114/F114</f>
        <v>0.88745554361059753</v>
      </c>
      <c r="I114" s="120">
        <v>202889</v>
      </c>
      <c r="J114" s="120">
        <v>102384.58</v>
      </c>
      <c r="K114" s="117">
        <f t="shared" ref="K114:K119" si="55">J114/I114</f>
        <v>0.50463346953260158</v>
      </c>
      <c r="L114" s="120"/>
      <c r="M114" s="122"/>
      <c r="N114" s="120">
        <f t="shared" si="53"/>
        <v>7565771.2199999997</v>
      </c>
      <c r="P114" s="26"/>
    </row>
    <row r="115" spans="1:16" ht="93" thickTop="1" thickBot="1" x14ac:dyDescent="0.25">
      <c r="A115" s="73" t="s">
        <v>281</v>
      </c>
      <c r="B115" s="87" t="s">
        <v>282</v>
      </c>
      <c r="C115" s="87" t="s">
        <v>279</v>
      </c>
      <c r="D115" s="87" t="s">
        <v>283</v>
      </c>
      <c r="E115" s="120">
        <v>2515350</v>
      </c>
      <c r="F115" s="120">
        <v>1328238</v>
      </c>
      <c r="G115" s="120">
        <v>962300.15</v>
      </c>
      <c r="H115" s="117">
        <f t="shared" si="54"/>
        <v>0.72449376542457</v>
      </c>
      <c r="I115" s="120">
        <v>201180</v>
      </c>
      <c r="J115" s="120">
        <v>13717.2</v>
      </c>
      <c r="K115" s="117">
        <f t="shared" si="55"/>
        <v>6.8183716075156581E-2</v>
      </c>
      <c r="L115" s="120"/>
      <c r="M115" s="122"/>
      <c r="N115" s="120">
        <f t="shared" si="53"/>
        <v>976017.35</v>
      </c>
      <c r="P115" s="26"/>
    </row>
    <row r="116" spans="1:16" ht="138.75" thickTop="1" thickBot="1" x14ac:dyDescent="0.25">
      <c r="A116" s="73" t="s">
        <v>284</v>
      </c>
      <c r="B116" s="87" t="s">
        <v>285</v>
      </c>
      <c r="C116" s="87" t="s">
        <v>286</v>
      </c>
      <c r="D116" s="87" t="s">
        <v>287</v>
      </c>
      <c r="E116" s="120">
        <v>19030730</v>
      </c>
      <c r="F116" s="120">
        <v>10256478</v>
      </c>
      <c r="G116" s="120">
        <v>8317091.0199999996</v>
      </c>
      <c r="H116" s="117">
        <f t="shared" si="54"/>
        <v>0.8109110183827235</v>
      </c>
      <c r="I116" s="120">
        <v>1213362.08</v>
      </c>
      <c r="J116" s="120">
        <v>758031.82</v>
      </c>
      <c r="K116" s="117">
        <f t="shared" si="55"/>
        <v>0.6247366985459113</v>
      </c>
      <c r="L116" s="120"/>
      <c r="M116" s="122"/>
      <c r="N116" s="120">
        <f t="shared" si="53"/>
        <v>9075122.8399999999</v>
      </c>
      <c r="P116" s="26"/>
    </row>
    <row r="117" spans="1:16" ht="48" thickTop="1" thickBot="1" x14ac:dyDescent="0.25">
      <c r="A117" s="73"/>
      <c r="B117" s="87" t="s">
        <v>532</v>
      </c>
      <c r="C117" s="87" t="s">
        <v>533</v>
      </c>
      <c r="D117" s="87" t="s">
        <v>534</v>
      </c>
      <c r="E117" s="120">
        <v>45500</v>
      </c>
      <c r="F117" s="120">
        <v>45500</v>
      </c>
      <c r="G117" s="120">
        <v>45495.360000000001</v>
      </c>
      <c r="H117" s="117">
        <f>G117/F117</f>
        <v>0.99989802197802202</v>
      </c>
      <c r="I117" s="120"/>
      <c r="J117" s="120"/>
      <c r="K117" s="117"/>
      <c r="L117" s="120"/>
      <c r="M117" s="122"/>
      <c r="N117" s="120">
        <f t="shared" si="53"/>
        <v>45495.360000000001</v>
      </c>
      <c r="P117" s="26"/>
    </row>
    <row r="118" spans="1:16" ht="93" thickTop="1" thickBot="1" x14ac:dyDescent="0.25">
      <c r="A118" s="89" t="s">
        <v>288</v>
      </c>
      <c r="B118" s="89" t="s">
        <v>289</v>
      </c>
      <c r="C118" s="89"/>
      <c r="D118" s="89" t="s">
        <v>290</v>
      </c>
      <c r="E118" s="121">
        <f t="shared" ref="E118:J118" si="56">SUM(E119:E120)</f>
        <v>30975408</v>
      </c>
      <c r="F118" s="121">
        <f t="shared" ref="F118" si="57">SUM(F119:F120)</f>
        <v>16568805</v>
      </c>
      <c r="G118" s="121">
        <f t="shared" si="56"/>
        <v>14268277.01</v>
      </c>
      <c r="H118" s="123">
        <f>G118/F118</f>
        <v>0.8611530529811896</v>
      </c>
      <c r="I118" s="121">
        <f t="shared" si="56"/>
        <v>253819.49</v>
      </c>
      <c r="J118" s="121">
        <f t="shared" si="56"/>
        <v>106819.49</v>
      </c>
      <c r="K118" s="123">
        <f t="shared" si="55"/>
        <v>0.4208482571610242</v>
      </c>
      <c r="L118" s="121"/>
      <c r="M118" s="121"/>
      <c r="N118" s="121">
        <f t="shared" si="53"/>
        <v>14375096.5</v>
      </c>
      <c r="P118" s="26"/>
    </row>
    <row r="119" spans="1:16" ht="93" thickTop="1" thickBot="1" x14ac:dyDescent="0.25">
      <c r="A119" s="87" t="s">
        <v>291</v>
      </c>
      <c r="B119" s="87" t="s">
        <v>292</v>
      </c>
      <c r="C119" s="87" t="s">
        <v>293</v>
      </c>
      <c r="D119" s="87" t="s">
        <v>294</v>
      </c>
      <c r="E119" s="120">
        <v>25361387</v>
      </c>
      <c r="F119" s="120">
        <v>15002405</v>
      </c>
      <c r="G119" s="120">
        <v>13174109.66</v>
      </c>
      <c r="H119" s="117">
        <f t="shared" ref="H119:H120" si="58">G119/F119</f>
        <v>0.87813318331294221</v>
      </c>
      <c r="I119" s="120">
        <v>253819.49</v>
      </c>
      <c r="J119" s="120">
        <v>106819.49</v>
      </c>
      <c r="K119" s="117">
        <f t="shared" si="55"/>
        <v>0.4208482571610242</v>
      </c>
      <c r="L119" s="120"/>
      <c r="M119" s="122"/>
      <c r="N119" s="120">
        <f t="shared" si="53"/>
        <v>13280929.15</v>
      </c>
      <c r="P119" s="30"/>
    </row>
    <row r="120" spans="1:16" ht="93" thickTop="1" thickBot="1" x14ac:dyDescent="0.25">
      <c r="A120" s="87" t="s">
        <v>295</v>
      </c>
      <c r="B120" s="87" t="s">
        <v>296</v>
      </c>
      <c r="C120" s="87" t="s">
        <v>293</v>
      </c>
      <c r="D120" s="87" t="s">
        <v>297</v>
      </c>
      <c r="E120" s="120">
        <v>5614021</v>
      </c>
      <c r="F120" s="120">
        <v>1566400</v>
      </c>
      <c r="G120" s="120">
        <v>1094167.3500000001</v>
      </c>
      <c r="H120" s="117">
        <f t="shared" si="58"/>
        <v>0.69852358912155266</v>
      </c>
      <c r="I120" s="120"/>
      <c r="J120" s="120"/>
      <c r="K120" s="120"/>
      <c r="L120" s="120"/>
      <c r="M120" s="122"/>
      <c r="N120" s="120">
        <f t="shared" si="53"/>
        <v>1094167.3500000001</v>
      </c>
      <c r="P120" s="30"/>
    </row>
    <row r="121" spans="1:16" ht="77.25" customHeight="1" thickTop="1" thickBot="1" x14ac:dyDescent="0.25">
      <c r="A121" s="57" t="s">
        <v>308</v>
      </c>
      <c r="B121" s="91" t="s">
        <v>309</v>
      </c>
      <c r="C121" s="91"/>
      <c r="D121" s="92" t="s">
        <v>310</v>
      </c>
      <c r="E121" s="93">
        <f>SUM(E122:E136)-E122-E125-E127-E133-E130</f>
        <v>103243983</v>
      </c>
      <c r="F121" s="93">
        <f>SUM(F122:F136)-F122-F125-F127-F133-F130</f>
        <v>49959891</v>
      </c>
      <c r="G121" s="93">
        <f>SUM(G122:G136)-G122-G125-G127-G133-G130</f>
        <v>45608604.29999999</v>
      </c>
      <c r="H121" s="94">
        <f>G121/F121</f>
        <v>0.91290439965131209</v>
      </c>
      <c r="I121" s="93">
        <f>SUM(I122:I136)-I122-I125-I127-I133-I130</f>
        <v>16718190.84</v>
      </c>
      <c r="J121" s="93">
        <f>SUM(J122:J136)-J122-J125-J127-J133-J130</f>
        <v>8164082.8600000003</v>
      </c>
      <c r="K121" s="94">
        <f>J121/I121</f>
        <v>0.48833530721916324</v>
      </c>
      <c r="L121" s="93"/>
      <c r="M121" s="93"/>
      <c r="N121" s="95">
        <f>J121+G121</f>
        <v>53772687.159999989</v>
      </c>
      <c r="O121" s="53" t="b">
        <f>N121=N123+N124+N126+N128+N129+N131+N134+N135+N136+N132</f>
        <v>1</v>
      </c>
      <c r="P121" s="26"/>
    </row>
    <row r="122" spans="1:16" s="18" customFormat="1" ht="93" thickTop="1" thickBot="1" x14ac:dyDescent="0.25">
      <c r="A122" s="74" t="s">
        <v>311</v>
      </c>
      <c r="B122" s="89" t="s">
        <v>312</v>
      </c>
      <c r="C122" s="89"/>
      <c r="D122" s="89" t="s">
        <v>313</v>
      </c>
      <c r="E122" s="136">
        <f t="shared" ref="E122:G122" si="59">SUM(E123:E124)</f>
        <v>29233742</v>
      </c>
      <c r="F122" s="136">
        <f t="shared" ref="F122" si="60">SUM(F123:F124)</f>
        <v>10463885</v>
      </c>
      <c r="G122" s="136">
        <f t="shared" si="59"/>
        <v>9731191.4300000016</v>
      </c>
      <c r="H122" s="123">
        <f>G122/F122</f>
        <v>0.92997882048589042</v>
      </c>
      <c r="I122" s="136"/>
      <c r="J122" s="136"/>
      <c r="K122" s="123"/>
      <c r="L122" s="136"/>
      <c r="M122" s="136"/>
      <c r="N122" s="121">
        <f t="shared" si="53"/>
        <v>9731191.4300000016</v>
      </c>
      <c r="O122" s="50"/>
      <c r="P122" s="32"/>
    </row>
    <row r="123" spans="1:16" s="35" customFormat="1" ht="93" thickTop="1" thickBot="1" x14ac:dyDescent="0.25">
      <c r="A123" s="73" t="s">
        <v>314</v>
      </c>
      <c r="B123" s="87" t="s">
        <v>315</v>
      </c>
      <c r="C123" s="87" t="s">
        <v>316</v>
      </c>
      <c r="D123" s="87" t="s">
        <v>317</v>
      </c>
      <c r="E123" s="134">
        <v>25132670</v>
      </c>
      <c r="F123" s="134">
        <v>8781718</v>
      </c>
      <c r="G123" s="120">
        <v>8421578.3800000008</v>
      </c>
      <c r="H123" s="117">
        <f t="shared" ref="H123:H136" si="61">G123/F123</f>
        <v>0.95898984458394143</v>
      </c>
      <c r="I123" s="120"/>
      <c r="J123" s="120"/>
      <c r="K123" s="120"/>
      <c r="L123" s="120"/>
      <c r="M123" s="122"/>
      <c r="N123" s="120">
        <f t="shared" si="53"/>
        <v>8421578.3800000008</v>
      </c>
      <c r="O123" s="33"/>
      <c r="P123" s="34"/>
    </row>
    <row r="124" spans="1:16" s="35" customFormat="1" ht="93" thickTop="1" thickBot="1" x14ac:dyDescent="0.25">
      <c r="A124" s="58" t="s">
        <v>318</v>
      </c>
      <c r="B124" s="87" t="s">
        <v>319</v>
      </c>
      <c r="C124" s="87" t="s">
        <v>316</v>
      </c>
      <c r="D124" s="87" t="s">
        <v>320</v>
      </c>
      <c r="E124" s="134">
        <v>4101072</v>
      </c>
      <c r="F124" s="134">
        <v>1682167</v>
      </c>
      <c r="G124" s="120">
        <v>1309613.05</v>
      </c>
      <c r="H124" s="117">
        <f t="shared" si="61"/>
        <v>0.77852736975579717</v>
      </c>
      <c r="I124" s="120"/>
      <c r="J124" s="120"/>
      <c r="K124" s="120"/>
      <c r="L124" s="120"/>
      <c r="M124" s="122"/>
      <c r="N124" s="120">
        <f t="shared" si="53"/>
        <v>1309613.05</v>
      </c>
      <c r="O124" s="33"/>
      <c r="P124" s="34"/>
    </row>
    <row r="125" spans="1:16" s="18" customFormat="1" ht="93" thickTop="1" thickBot="1" x14ac:dyDescent="0.25">
      <c r="A125" s="74" t="s">
        <v>321</v>
      </c>
      <c r="B125" s="89" t="s">
        <v>322</v>
      </c>
      <c r="C125" s="89"/>
      <c r="D125" s="89" t="s">
        <v>323</v>
      </c>
      <c r="E125" s="136">
        <f t="shared" ref="E125:F125" si="62">E126</f>
        <v>53300</v>
      </c>
      <c r="F125" s="136">
        <f t="shared" si="62"/>
        <v>34380</v>
      </c>
      <c r="G125" s="136">
        <f>G126</f>
        <v>0</v>
      </c>
      <c r="H125" s="123">
        <f t="shared" si="61"/>
        <v>0</v>
      </c>
      <c r="I125" s="136"/>
      <c r="J125" s="136"/>
      <c r="K125" s="123"/>
      <c r="L125" s="136"/>
      <c r="M125" s="136"/>
      <c r="N125" s="121">
        <f t="shared" si="53"/>
        <v>0</v>
      </c>
      <c r="O125" s="50"/>
      <c r="P125" s="36"/>
    </row>
    <row r="126" spans="1:16" s="35" customFormat="1" ht="93" thickTop="1" thickBot="1" x14ac:dyDescent="0.25">
      <c r="A126" s="73" t="s">
        <v>324</v>
      </c>
      <c r="B126" s="87" t="s">
        <v>325</v>
      </c>
      <c r="C126" s="87" t="s">
        <v>316</v>
      </c>
      <c r="D126" s="87" t="s">
        <v>326</v>
      </c>
      <c r="E126" s="134">
        <v>53300</v>
      </c>
      <c r="F126" s="134">
        <v>34380</v>
      </c>
      <c r="G126" s="134">
        <v>0</v>
      </c>
      <c r="H126" s="117">
        <f t="shared" si="61"/>
        <v>0</v>
      </c>
      <c r="I126" s="120"/>
      <c r="J126" s="134"/>
      <c r="K126" s="134"/>
      <c r="L126" s="134"/>
      <c r="M126" s="122"/>
      <c r="N126" s="120">
        <f t="shared" si="53"/>
        <v>0</v>
      </c>
      <c r="O126" s="33"/>
      <c r="P126" s="34"/>
    </row>
    <row r="127" spans="1:16" ht="93" thickTop="1" thickBot="1" x14ac:dyDescent="0.25">
      <c r="A127" s="89" t="s">
        <v>327</v>
      </c>
      <c r="B127" s="89" t="s">
        <v>328</v>
      </c>
      <c r="C127" s="89"/>
      <c r="D127" s="89" t="s">
        <v>329</v>
      </c>
      <c r="E127" s="136">
        <f t="shared" ref="E127:J127" si="63">SUM(E128:E129)</f>
        <v>67135491</v>
      </c>
      <c r="F127" s="136">
        <f t="shared" ref="F127" si="64">SUM(F128:F129)</f>
        <v>35926600</v>
      </c>
      <c r="G127" s="136">
        <f t="shared" si="63"/>
        <v>33260278.129999999</v>
      </c>
      <c r="H127" s="123">
        <f t="shared" si="61"/>
        <v>0.92578418581218369</v>
      </c>
      <c r="I127" s="136">
        <f t="shared" si="63"/>
        <v>13668190.84</v>
      </c>
      <c r="J127" s="136">
        <f t="shared" si="63"/>
        <v>8164082.8600000003</v>
      </c>
      <c r="K127" s="123">
        <f t="shared" ref="K127:K133" si="65">J127/I127</f>
        <v>0.59730530218438194</v>
      </c>
      <c r="L127" s="136"/>
      <c r="M127" s="136"/>
      <c r="N127" s="121">
        <f t="shared" si="53"/>
        <v>41424360.990000002</v>
      </c>
      <c r="P127" s="26"/>
    </row>
    <row r="128" spans="1:16" s="35" customFormat="1" ht="93" thickTop="1" thickBot="1" x14ac:dyDescent="0.25">
      <c r="A128" s="87" t="s">
        <v>330</v>
      </c>
      <c r="B128" s="87" t="s">
        <v>331</v>
      </c>
      <c r="C128" s="87" t="s">
        <v>316</v>
      </c>
      <c r="D128" s="87" t="s">
        <v>332</v>
      </c>
      <c r="E128" s="134">
        <v>60711152</v>
      </c>
      <c r="F128" s="134">
        <v>32232445</v>
      </c>
      <c r="G128" s="134">
        <v>29795877.989999998</v>
      </c>
      <c r="H128" s="117">
        <f t="shared" si="61"/>
        <v>0.92440638586368484</v>
      </c>
      <c r="I128" s="134">
        <v>13668190.84</v>
      </c>
      <c r="J128" s="134">
        <v>8164082.8600000003</v>
      </c>
      <c r="K128" s="117">
        <f t="shared" si="65"/>
        <v>0.59730530218438194</v>
      </c>
      <c r="L128" s="134"/>
      <c r="M128" s="122"/>
      <c r="N128" s="120">
        <f t="shared" si="53"/>
        <v>37959960.850000001</v>
      </c>
      <c r="O128" s="33"/>
      <c r="P128" s="34"/>
    </row>
    <row r="129" spans="1:16" s="35" customFormat="1" ht="138.75" thickTop="1" thickBot="1" x14ac:dyDescent="0.25">
      <c r="A129" s="87" t="s">
        <v>333</v>
      </c>
      <c r="B129" s="87" t="s">
        <v>334</v>
      </c>
      <c r="C129" s="87" t="s">
        <v>316</v>
      </c>
      <c r="D129" s="87" t="s">
        <v>335</v>
      </c>
      <c r="E129" s="134">
        <v>6424339</v>
      </c>
      <c r="F129" s="134">
        <v>3694155</v>
      </c>
      <c r="G129" s="134">
        <v>3464400.14</v>
      </c>
      <c r="H129" s="117">
        <f t="shared" si="61"/>
        <v>0.93780584193137539</v>
      </c>
      <c r="I129" s="134"/>
      <c r="J129" s="134"/>
      <c r="K129" s="117"/>
      <c r="L129" s="134"/>
      <c r="M129" s="122"/>
      <c r="N129" s="120">
        <f t="shared" si="53"/>
        <v>3464400.14</v>
      </c>
      <c r="O129" s="33"/>
      <c r="P129" s="34"/>
    </row>
    <row r="130" spans="1:16" s="35" customFormat="1" ht="93" thickTop="1" thickBot="1" x14ac:dyDescent="0.25">
      <c r="A130" s="73"/>
      <c r="B130" s="89" t="s">
        <v>393</v>
      </c>
      <c r="C130" s="89"/>
      <c r="D130" s="89" t="s">
        <v>394</v>
      </c>
      <c r="E130" s="136">
        <f>SUM(E131:E132)</f>
        <v>88281</v>
      </c>
      <c r="F130" s="136">
        <f t="shared" ref="F130:G130" si="66">SUM(F131:F132)</f>
        <v>29463</v>
      </c>
      <c r="G130" s="136">
        <f t="shared" si="66"/>
        <v>29463</v>
      </c>
      <c r="H130" s="123">
        <v>0</v>
      </c>
      <c r="I130" s="136">
        <f t="shared" ref="I130:J130" si="67">I131</f>
        <v>3000000</v>
      </c>
      <c r="J130" s="136">
        <f t="shared" si="67"/>
        <v>0</v>
      </c>
      <c r="K130" s="123">
        <f t="shared" si="65"/>
        <v>0</v>
      </c>
      <c r="L130" s="136"/>
      <c r="M130" s="136"/>
      <c r="N130" s="121">
        <f t="shared" si="53"/>
        <v>29463</v>
      </c>
      <c r="O130" s="33"/>
      <c r="P130" s="34"/>
    </row>
    <row r="131" spans="1:16" s="35" customFormat="1" ht="230.25" thickTop="1" thickBot="1" x14ac:dyDescent="0.25">
      <c r="A131" s="73"/>
      <c r="B131" s="87" t="s">
        <v>395</v>
      </c>
      <c r="C131" s="87" t="s">
        <v>316</v>
      </c>
      <c r="D131" s="87" t="s">
        <v>518</v>
      </c>
      <c r="E131" s="120"/>
      <c r="F131" s="120"/>
      <c r="G131" s="120"/>
      <c r="H131" s="117">
        <v>0</v>
      </c>
      <c r="I131" s="120">
        <v>3000000</v>
      </c>
      <c r="J131" s="120">
        <v>0</v>
      </c>
      <c r="K131" s="117">
        <f t="shared" si="65"/>
        <v>0</v>
      </c>
      <c r="L131" s="120"/>
      <c r="M131" s="122"/>
      <c r="N131" s="120">
        <f t="shared" si="53"/>
        <v>0</v>
      </c>
      <c r="O131" s="33"/>
      <c r="P131" s="34"/>
    </row>
    <row r="132" spans="1:16" s="35" customFormat="1" ht="138.75" thickTop="1" thickBot="1" x14ac:dyDescent="0.25">
      <c r="A132" s="73"/>
      <c r="B132" s="87" t="s">
        <v>548</v>
      </c>
      <c r="C132" s="87" t="s">
        <v>316</v>
      </c>
      <c r="D132" s="87" t="s">
        <v>549</v>
      </c>
      <c r="E132" s="120">
        <v>88281</v>
      </c>
      <c r="F132" s="120">
        <v>29463</v>
      </c>
      <c r="G132" s="120">
        <v>29463</v>
      </c>
      <c r="H132" s="117">
        <f t="shared" si="61"/>
        <v>1</v>
      </c>
      <c r="I132" s="120"/>
      <c r="J132" s="120"/>
      <c r="K132" s="117"/>
      <c r="L132" s="120"/>
      <c r="M132" s="122"/>
      <c r="N132" s="120">
        <f t="shared" si="53"/>
        <v>29463</v>
      </c>
      <c r="O132" s="33"/>
      <c r="P132" s="34"/>
    </row>
    <row r="133" spans="1:16" ht="93" thickTop="1" thickBot="1" x14ac:dyDescent="0.25">
      <c r="A133" s="76" t="s">
        <v>336</v>
      </c>
      <c r="B133" s="89" t="s">
        <v>337</v>
      </c>
      <c r="C133" s="89"/>
      <c r="D133" s="89" t="s">
        <v>338</v>
      </c>
      <c r="E133" s="136">
        <f t="shared" ref="E133:J133" si="68">SUM(E134:E136)</f>
        <v>6733169</v>
      </c>
      <c r="F133" s="136">
        <f t="shared" ref="F133" si="69">SUM(F134:F136)</f>
        <v>3505563</v>
      </c>
      <c r="G133" s="136">
        <f t="shared" si="68"/>
        <v>2587671.7400000002</v>
      </c>
      <c r="H133" s="123">
        <f t="shared" si="61"/>
        <v>0.73816152783447342</v>
      </c>
      <c r="I133" s="136">
        <f t="shared" si="68"/>
        <v>50000</v>
      </c>
      <c r="J133" s="136">
        <f t="shared" si="68"/>
        <v>0</v>
      </c>
      <c r="K133" s="123">
        <f t="shared" si="65"/>
        <v>0</v>
      </c>
      <c r="L133" s="136"/>
      <c r="M133" s="136"/>
      <c r="N133" s="121">
        <f t="shared" si="53"/>
        <v>2587671.7400000002</v>
      </c>
      <c r="O133" s="50"/>
      <c r="P133" s="26"/>
    </row>
    <row r="134" spans="1:16" s="35" customFormat="1" ht="184.5" thickTop="1" thickBot="1" x14ac:dyDescent="0.25">
      <c r="A134" s="77" t="s">
        <v>339</v>
      </c>
      <c r="B134" s="98" t="s">
        <v>340</v>
      </c>
      <c r="C134" s="98" t="s">
        <v>316</v>
      </c>
      <c r="D134" s="87" t="s">
        <v>341</v>
      </c>
      <c r="E134" s="134">
        <v>1068095</v>
      </c>
      <c r="F134" s="134">
        <v>649937</v>
      </c>
      <c r="G134" s="120">
        <v>102796</v>
      </c>
      <c r="H134" s="117">
        <f t="shared" si="61"/>
        <v>0.15816302195443557</v>
      </c>
      <c r="I134" s="120"/>
      <c r="J134" s="120"/>
      <c r="K134" s="120"/>
      <c r="L134" s="120"/>
      <c r="M134" s="122"/>
      <c r="N134" s="120">
        <f t="shared" si="53"/>
        <v>102796</v>
      </c>
      <c r="O134" s="33"/>
      <c r="P134" s="34"/>
    </row>
    <row r="135" spans="1:16" s="35" customFormat="1" ht="138.75" thickTop="1" thickBot="1" x14ac:dyDescent="0.25">
      <c r="A135" s="77" t="s">
        <v>342</v>
      </c>
      <c r="B135" s="98" t="s">
        <v>343</v>
      </c>
      <c r="C135" s="98" t="s">
        <v>316</v>
      </c>
      <c r="D135" s="87" t="s">
        <v>344</v>
      </c>
      <c r="E135" s="134">
        <v>3791300</v>
      </c>
      <c r="F135" s="134">
        <v>1855650</v>
      </c>
      <c r="G135" s="120">
        <v>1565650</v>
      </c>
      <c r="H135" s="117">
        <f t="shared" si="61"/>
        <v>0.84372052919462182</v>
      </c>
      <c r="I135" s="120"/>
      <c r="J135" s="120"/>
      <c r="K135" s="120"/>
      <c r="L135" s="120"/>
      <c r="M135" s="122"/>
      <c r="N135" s="120">
        <f t="shared" si="53"/>
        <v>1565650</v>
      </c>
      <c r="O135" s="33"/>
      <c r="P135" s="34"/>
    </row>
    <row r="136" spans="1:16" s="35" customFormat="1" ht="93" thickTop="1" thickBot="1" x14ac:dyDescent="0.25">
      <c r="A136" s="77" t="s">
        <v>345</v>
      </c>
      <c r="B136" s="98" t="s">
        <v>346</v>
      </c>
      <c r="C136" s="98" t="s">
        <v>316</v>
      </c>
      <c r="D136" s="87" t="s">
        <v>347</v>
      </c>
      <c r="E136" s="134">
        <v>1873774</v>
      </c>
      <c r="F136" s="134">
        <v>999976</v>
      </c>
      <c r="G136" s="120">
        <v>919225.74</v>
      </c>
      <c r="H136" s="117">
        <f t="shared" si="61"/>
        <v>0.91924780194724676</v>
      </c>
      <c r="I136" s="120">
        <v>50000</v>
      </c>
      <c r="J136" s="120">
        <v>0</v>
      </c>
      <c r="K136" s="117">
        <f t="shared" ref="K136" si="70">J136/I136</f>
        <v>0</v>
      </c>
      <c r="L136" s="120"/>
      <c r="M136" s="122"/>
      <c r="N136" s="120">
        <f t="shared" si="53"/>
        <v>919225.74</v>
      </c>
      <c r="O136" s="33"/>
      <c r="P136" s="34"/>
    </row>
    <row r="137" spans="1:16" ht="91.5" thickTop="1" thickBot="1" x14ac:dyDescent="0.25">
      <c r="A137" s="57" t="s">
        <v>350</v>
      </c>
      <c r="B137" s="91" t="s">
        <v>260</v>
      </c>
      <c r="C137" s="91"/>
      <c r="D137" s="92" t="s">
        <v>261</v>
      </c>
      <c r="E137" s="93">
        <f>SUM(E138:E150)-E138-E146</f>
        <v>450400615</v>
      </c>
      <c r="F137" s="93">
        <f>SUM(F138:F150)-F138-F146</f>
        <v>207743785</v>
      </c>
      <c r="G137" s="93">
        <f>SUM(G138:G150)-G138-G146</f>
        <v>179957011.34999999</v>
      </c>
      <c r="H137" s="94">
        <f>G137/F137</f>
        <v>0.86624498225061219</v>
      </c>
      <c r="I137" s="93">
        <f>SUM(I138:I150)-I138-I146</f>
        <v>33252047</v>
      </c>
      <c r="J137" s="93">
        <f>SUM(J138:J150)-J138-J146</f>
        <v>4353995.42</v>
      </c>
      <c r="K137" s="94">
        <f>J137/I137</f>
        <v>0.13093916954947166</v>
      </c>
      <c r="L137" s="93"/>
      <c r="M137" s="93"/>
      <c r="N137" s="95">
        <f>J137+G137</f>
        <v>184311006.76999998</v>
      </c>
      <c r="O137" s="53" t="b">
        <f>N137=N139+N140+N141+N142+N144+N145+N147+N149+N150+N143</f>
        <v>1</v>
      </c>
      <c r="P137" s="37"/>
    </row>
    <row r="138" spans="1:16" s="18" customFormat="1" ht="93" thickTop="1" thickBot="1" x14ac:dyDescent="0.25">
      <c r="A138" s="89" t="s">
        <v>351</v>
      </c>
      <c r="B138" s="89" t="s">
        <v>352</v>
      </c>
      <c r="C138" s="89"/>
      <c r="D138" s="89" t="s">
        <v>353</v>
      </c>
      <c r="E138" s="121">
        <f t="shared" ref="E138:J138" si="71">SUM(E139:E143)</f>
        <v>127033100</v>
      </c>
      <c r="F138" s="121">
        <f t="shared" ref="F138" si="72">SUM(F139:F143)</f>
        <v>86175000</v>
      </c>
      <c r="G138" s="121">
        <f t="shared" si="71"/>
        <v>81017524.060000002</v>
      </c>
      <c r="H138" s="123">
        <f>G138/F138</f>
        <v>0.94015113501595593</v>
      </c>
      <c r="I138" s="121">
        <f t="shared" si="71"/>
        <v>16585047</v>
      </c>
      <c r="J138" s="121">
        <f t="shared" si="71"/>
        <v>3596900.79</v>
      </c>
      <c r="K138" s="123">
        <f t="shared" ref="K138:K139" si="73">J138/I138</f>
        <v>0.21687612884063578</v>
      </c>
      <c r="L138" s="121"/>
      <c r="M138" s="121"/>
      <c r="N138" s="121">
        <f t="shared" ref="N138:N187" si="74">G138+J138</f>
        <v>84614424.850000009</v>
      </c>
      <c r="O138" s="20"/>
      <c r="P138" s="37"/>
    </row>
    <row r="139" spans="1:16" ht="93" thickTop="1" thickBot="1" x14ac:dyDescent="0.25">
      <c r="A139" s="87" t="s">
        <v>354</v>
      </c>
      <c r="B139" s="87" t="s">
        <v>355</v>
      </c>
      <c r="C139" s="87" t="s">
        <v>264</v>
      </c>
      <c r="D139" s="87" t="s">
        <v>356</v>
      </c>
      <c r="E139" s="134">
        <v>1983100</v>
      </c>
      <c r="F139" s="134">
        <v>1760000</v>
      </c>
      <c r="G139" s="134">
        <v>1685945.59</v>
      </c>
      <c r="H139" s="117">
        <f>G139/F139</f>
        <v>0.95792363068181818</v>
      </c>
      <c r="I139" s="134">
        <v>3969055</v>
      </c>
      <c r="J139" s="135">
        <v>529488.36</v>
      </c>
      <c r="K139" s="117">
        <f t="shared" si="73"/>
        <v>0.13340413776075161</v>
      </c>
      <c r="L139" s="135"/>
      <c r="M139" s="122"/>
      <c r="N139" s="120">
        <f t="shared" si="74"/>
        <v>2215433.9500000002</v>
      </c>
      <c r="P139" s="37"/>
    </row>
    <row r="140" spans="1:16" ht="138.75" customHeight="1" thickTop="1" thickBot="1" x14ac:dyDescent="0.25">
      <c r="A140" s="73"/>
      <c r="B140" s="87" t="s">
        <v>376</v>
      </c>
      <c r="C140" s="87" t="s">
        <v>359</v>
      </c>
      <c r="D140" s="87" t="s">
        <v>377</v>
      </c>
      <c r="E140" s="134">
        <v>100000000</v>
      </c>
      <c r="F140" s="134">
        <v>76000000</v>
      </c>
      <c r="G140" s="134">
        <v>71000000</v>
      </c>
      <c r="H140" s="117">
        <f t="shared" ref="H140:H150" si="75">G140/F140</f>
        <v>0.93421052631578949</v>
      </c>
      <c r="I140" s="134"/>
      <c r="J140" s="135"/>
      <c r="K140" s="135"/>
      <c r="L140" s="135"/>
      <c r="M140" s="122"/>
      <c r="N140" s="120">
        <f t="shared" si="74"/>
        <v>71000000</v>
      </c>
      <c r="P140" s="37"/>
    </row>
    <row r="141" spans="1:16" ht="93" thickTop="1" thickBot="1" x14ac:dyDescent="0.25">
      <c r="A141" s="73"/>
      <c r="B141" s="87" t="s">
        <v>378</v>
      </c>
      <c r="C141" s="87" t="s">
        <v>359</v>
      </c>
      <c r="D141" s="87" t="s">
        <v>379</v>
      </c>
      <c r="E141" s="134">
        <v>25050000</v>
      </c>
      <c r="F141" s="134">
        <v>8415000</v>
      </c>
      <c r="G141" s="134">
        <v>8331578.4699999997</v>
      </c>
      <c r="H141" s="117">
        <f t="shared" si="75"/>
        <v>0.99008656803327388</v>
      </c>
      <c r="I141" s="134">
        <v>2000000</v>
      </c>
      <c r="J141" s="135">
        <v>33486.44</v>
      </c>
      <c r="K141" s="117">
        <f t="shared" ref="K141:K148" si="76">J141/I141</f>
        <v>1.674322E-2</v>
      </c>
      <c r="L141" s="135"/>
      <c r="M141" s="122"/>
      <c r="N141" s="120">
        <f t="shared" si="74"/>
        <v>8365064.9100000001</v>
      </c>
      <c r="P141" s="37"/>
    </row>
    <row r="142" spans="1:16" ht="123" thickTop="1" thickBot="1" x14ac:dyDescent="0.25">
      <c r="A142" s="58" t="s">
        <v>357</v>
      </c>
      <c r="B142" s="87" t="s">
        <v>358</v>
      </c>
      <c r="C142" s="87" t="s">
        <v>359</v>
      </c>
      <c r="D142" s="87" t="s">
        <v>360</v>
      </c>
      <c r="E142" s="134"/>
      <c r="F142" s="134"/>
      <c r="G142" s="134"/>
      <c r="H142" s="117">
        <v>0</v>
      </c>
      <c r="I142" s="134">
        <f>10237500</f>
        <v>10237500</v>
      </c>
      <c r="J142" s="135">
        <f>3033925.99</f>
        <v>3033925.99</v>
      </c>
      <c r="K142" s="117">
        <f t="shared" si="76"/>
        <v>0.29635418705738709</v>
      </c>
      <c r="L142" s="135"/>
      <c r="M142" s="122"/>
      <c r="N142" s="120">
        <f t="shared" si="74"/>
        <v>3033925.99</v>
      </c>
      <c r="O142" s="50" t="s">
        <v>433</v>
      </c>
      <c r="P142" s="37"/>
    </row>
    <row r="143" spans="1:16" ht="123" thickTop="1" thickBot="1" x14ac:dyDescent="0.25">
      <c r="A143" s="58" t="s">
        <v>361</v>
      </c>
      <c r="B143" s="87" t="s">
        <v>362</v>
      </c>
      <c r="C143" s="87" t="s">
        <v>359</v>
      </c>
      <c r="D143" s="87" t="s">
        <v>363</v>
      </c>
      <c r="E143" s="134"/>
      <c r="F143" s="134"/>
      <c r="G143" s="134"/>
      <c r="H143" s="117">
        <v>0</v>
      </c>
      <c r="I143" s="134">
        <v>378492</v>
      </c>
      <c r="J143" s="135">
        <v>0</v>
      </c>
      <c r="K143" s="117">
        <f t="shared" si="76"/>
        <v>0</v>
      </c>
      <c r="L143" s="135"/>
      <c r="M143" s="122"/>
      <c r="N143" s="120">
        <f t="shared" si="74"/>
        <v>0</v>
      </c>
      <c r="O143" s="50" t="s">
        <v>433</v>
      </c>
      <c r="P143" s="37"/>
    </row>
    <row r="144" spans="1:16" ht="184.5" thickTop="1" thickBot="1" x14ac:dyDescent="0.25">
      <c r="A144" s="73" t="s">
        <v>364</v>
      </c>
      <c r="B144" s="87" t="s">
        <v>365</v>
      </c>
      <c r="C144" s="87" t="s">
        <v>359</v>
      </c>
      <c r="D144" s="87" t="s">
        <v>366</v>
      </c>
      <c r="E144" s="134">
        <v>1900000</v>
      </c>
      <c r="F144" s="134">
        <v>1314250</v>
      </c>
      <c r="G144" s="134">
        <v>536946.66</v>
      </c>
      <c r="H144" s="117">
        <f t="shared" si="75"/>
        <v>0.40855747384439794</v>
      </c>
      <c r="I144" s="134"/>
      <c r="J144" s="135"/>
      <c r="K144" s="135"/>
      <c r="L144" s="135"/>
      <c r="M144" s="122"/>
      <c r="N144" s="120">
        <f t="shared" si="74"/>
        <v>536946.66</v>
      </c>
      <c r="O144" s="50"/>
      <c r="P144" s="37"/>
    </row>
    <row r="145" spans="1:16" ht="62.25" thickTop="1" thickBot="1" x14ac:dyDescent="0.25">
      <c r="A145" s="58"/>
      <c r="B145" s="87" t="s">
        <v>368</v>
      </c>
      <c r="C145" s="87" t="s">
        <v>359</v>
      </c>
      <c r="D145" s="87" t="s">
        <v>369</v>
      </c>
      <c r="E145" s="134">
        <v>315378930</v>
      </c>
      <c r="F145" s="134">
        <v>114392135</v>
      </c>
      <c r="G145" s="134">
        <v>96923629.599999994</v>
      </c>
      <c r="H145" s="117">
        <f t="shared" si="75"/>
        <v>0.84729277585386442</v>
      </c>
      <c r="I145" s="120">
        <f>3074000+3593000</f>
        <v>6667000</v>
      </c>
      <c r="J145" s="134">
        <f>22784+734310.63</f>
        <v>757094.63</v>
      </c>
      <c r="K145" s="117">
        <f t="shared" si="76"/>
        <v>0.11355851657417129</v>
      </c>
      <c r="L145" s="134"/>
      <c r="M145" s="122"/>
      <c r="N145" s="120">
        <f t="shared" si="74"/>
        <v>97680724.229999989</v>
      </c>
      <c r="O145" s="52"/>
      <c r="P145" s="37"/>
    </row>
    <row r="146" spans="1:16" ht="123" thickTop="1" thickBot="1" x14ac:dyDescent="0.25">
      <c r="A146" s="58"/>
      <c r="B146" s="89" t="s">
        <v>262</v>
      </c>
      <c r="C146" s="89"/>
      <c r="D146" s="89" t="s">
        <v>434</v>
      </c>
      <c r="E146" s="136">
        <f>SUM(E147:E149)</f>
        <v>39000</v>
      </c>
      <c r="F146" s="136">
        <f>SUM(F147:F149)</f>
        <v>0</v>
      </c>
      <c r="G146" s="136">
        <f>SUM(G147:G149)</f>
        <v>0</v>
      </c>
      <c r="H146" s="123">
        <v>0</v>
      </c>
      <c r="I146" s="136">
        <f>SUM(I147:I149)</f>
        <v>10000000</v>
      </c>
      <c r="J146" s="136">
        <f>SUM(J147:J149)</f>
        <v>0</v>
      </c>
      <c r="K146" s="117">
        <f t="shared" si="76"/>
        <v>0</v>
      </c>
      <c r="L146" s="136"/>
      <c r="M146" s="124"/>
      <c r="N146" s="121">
        <f t="shared" si="74"/>
        <v>0</v>
      </c>
      <c r="O146" s="50" t="s">
        <v>433</v>
      </c>
      <c r="P146" s="37"/>
    </row>
    <row r="147" spans="1:16" ht="123" thickTop="1" thickBot="1" x14ac:dyDescent="0.25">
      <c r="A147" s="58" t="s">
        <v>367</v>
      </c>
      <c r="B147" s="87" t="s">
        <v>263</v>
      </c>
      <c r="C147" s="87" t="s">
        <v>264</v>
      </c>
      <c r="D147" s="87" t="s">
        <v>435</v>
      </c>
      <c r="E147" s="134"/>
      <c r="F147" s="134"/>
      <c r="G147" s="134"/>
      <c r="H147" s="117">
        <v>0</v>
      </c>
      <c r="I147" s="120">
        <v>10000000</v>
      </c>
      <c r="J147" s="134">
        <v>0</v>
      </c>
      <c r="K147" s="117">
        <f t="shared" si="76"/>
        <v>0</v>
      </c>
      <c r="L147" s="134"/>
      <c r="M147" s="122"/>
      <c r="N147" s="120">
        <f t="shared" si="74"/>
        <v>0</v>
      </c>
      <c r="O147" s="50" t="s">
        <v>433</v>
      </c>
      <c r="P147" s="30"/>
    </row>
    <row r="148" spans="1:16" ht="409.6" hidden="1" customHeight="1" thickTop="1" thickBot="1" x14ac:dyDescent="0.25">
      <c r="A148" s="58"/>
      <c r="B148" s="87" t="s">
        <v>495</v>
      </c>
      <c r="C148" s="87" t="s">
        <v>264</v>
      </c>
      <c r="D148" s="87" t="s">
        <v>496</v>
      </c>
      <c r="E148" s="134"/>
      <c r="F148" s="134"/>
      <c r="G148" s="134"/>
      <c r="H148" s="117" t="e">
        <f t="shared" si="75"/>
        <v>#DIV/0!</v>
      </c>
      <c r="I148" s="120">
        <v>0</v>
      </c>
      <c r="J148" s="134">
        <v>0</v>
      </c>
      <c r="K148" s="117" t="e">
        <f t="shared" si="76"/>
        <v>#DIV/0!</v>
      </c>
      <c r="L148" s="134"/>
      <c r="M148" s="122"/>
      <c r="N148" s="120">
        <f t="shared" si="74"/>
        <v>0</v>
      </c>
      <c r="P148" s="30"/>
    </row>
    <row r="149" spans="1:16" ht="184.5" thickTop="1" thickBot="1" x14ac:dyDescent="0.25">
      <c r="A149" s="73"/>
      <c r="B149" s="98" t="s">
        <v>348</v>
      </c>
      <c r="C149" s="98" t="s">
        <v>264</v>
      </c>
      <c r="D149" s="87" t="s">
        <v>349</v>
      </c>
      <c r="E149" s="134">
        <v>39000</v>
      </c>
      <c r="F149" s="134">
        <v>0</v>
      </c>
      <c r="G149" s="120">
        <v>0</v>
      </c>
      <c r="H149" s="117">
        <v>0</v>
      </c>
      <c r="I149" s="120"/>
      <c r="J149" s="120"/>
      <c r="K149" s="120"/>
      <c r="L149" s="120"/>
      <c r="M149" s="122"/>
      <c r="N149" s="120">
        <f t="shared" si="74"/>
        <v>0</v>
      </c>
      <c r="O149" s="203" t="s">
        <v>433</v>
      </c>
      <c r="P149" s="204"/>
    </row>
    <row r="150" spans="1:16" ht="93" thickTop="1" thickBot="1" x14ac:dyDescent="0.25">
      <c r="A150" s="73"/>
      <c r="B150" s="87" t="s">
        <v>508</v>
      </c>
      <c r="C150" s="87" t="s">
        <v>509</v>
      </c>
      <c r="D150" s="87" t="s">
        <v>510</v>
      </c>
      <c r="E150" s="134">
        <v>6049585</v>
      </c>
      <c r="F150" s="134">
        <v>5862400</v>
      </c>
      <c r="G150" s="120">
        <v>1478911.03</v>
      </c>
      <c r="H150" s="117">
        <f t="shared" si="75"/>
        <v>0.25227057689683408</v>
      </c>
      <c r="I150" s="120"/>
      <c r="J150" s="120"/>
      <c r="K150" s="120"/>
      <c r="L150" s="120"/>
      <c r="M150" s="122"/>
      <c r="N150" s="120">
        <f t="shared" si="74"/>
        <v>1478911.03</v>
      </c>
      <c r="O150" s="203" t="s">
        <v>433</v>
      </c>
      <c r="P150" s="204"/>
    </row>
    <row r="151" spans="1:16" s="38" customFormat="1" ht="101.25" customHeight="1" thickTop="1" thickBot="1" x14ac:dyDescent="0.25">
      <c r="A151" s="60" t="s">
        <v>370</v>
      </c>
      <c r="B151" s="91" t="s">
        <v>31</v>
      </c>
      <c r="C151" s="91"/>
      <c r="D151" s="92" t="s">
        <v>371</v>
      </c>
      <c r="E151" s="93">
        <f>E152+E154+E167+E175+E178</f>
        <v>240333219.47999999</v>
      </c>
      <c r="F151" s="93">
        <f>F152+F154+F167+F175+F178</f>
        <v>99302238.480000004</v>
      </c>
      <c r="G151" s="93">
        <f>G152+G154+G167+G175+G178</f>
        <v>75986720.24000001</v>
      </c>
      <c r="H151" s="94">
        <f>G151/F151</f>
        <v>0.76520651903838133</v>
      </c>
      <c r="I151" s="93">
        <f>I152+I154+I167+I175+I178</f>
        <v>647375918.27999997</v>
      </c>
      <c r="J151" s="93">
        <f>J152+J154+J167+J175+J178</f>
        <v>98047395.659999996</v>
      </c>
      <c r="K151" s="94">
        <f>J151/I151</f>
        <v>0.15145357263288406</v>
      </c>
      <c r="L151" s="93"/>
      <c r="M151" s="93"/>
      <c r="N151" s="95">
        <f>J151+G151</f>
        <v>174034115.90000001</v>
      </c>
      <c r="O151" s="53" t="b">
        <f>N151=N153+N155+N157+N158+N160+N161+N162+N166+N171+N174+N176+N179+N181+N182+N183+N184+N185+N186+N188+N190+N169</f>
        <v>1</v>
      </c>
      <c r="P151" s="51"/>
    </row>
    <row r="152" spans="1:16" s="38" customFormat="1" ht="91.5" thickTop="1" thickBot="1" x14ac:dyDescent="0.25">
      <c r="A152" s="99"/>
      <c r="B152" s="100" t="s">
        <v>414</v>
      </c>
      <c r="C152" s="100"/>
      <c r="D152" s="100" t="s">
        <v>415</v>
      </c>
      <c r="E152" s="130">
        <f>SUM(E153)</f>
        <v>190000</v>
      </c>
      <c r="F152" s="130">
        <f>SUM(F153)</f>
        <v>190000</v>
      </c>
      <c r="G152" s="130">
        <f>SUM(G153)</f>
        <v>52268.67</v>
      </c>
      <c r="H152" s="139">
        <f>G152/F152</f>
        <v>0.27509826315789471</v>
      </c>
      <c r="I152" s="130">
        <f>SUM(I153)</f>
        <v>210000</v>
      </c>
      <c r="J152" s="130">
        <f t="shared" ref="J152" si="77">SUM(J153)</f>
        <v>56000</v>
      </c>
      <c r="K152" s="139">
        <f t="shared" ref="K152:K154" si="78">J152/I152</f>
        <v>0.26666666666666666</v>
      </c>
      <c r="L152" s="130"/>
      <c r="M152" s="130"/>
      <c r="N152" s="130">
        <f t="shared" si="74"/>
        <v>108268.67</v>
      </c>
      <c r="O152" s="39"/>
      <c r="P152" s="51"/>
    </row>
    <row r="153" spans="1:16" s="38" customFormat="1" ht="48" thickTop="1" thickBot="1" x14ac:dyDescent="0.25">
      <c r="A153" s="99"/>
      <c r="B153" s="87" t="s">
        <v>416</v>
      </c>
      <c r="C153" s="87" t="s">
        <v>417</v>
      </c>
      <c r="D153" s="87" t="s">
        <v>418</v>
      </c>
      <c r="E153" s="120">
        <v>190000</v>
      </c>
      <c r="F153" s="120">
        <v>190000</v>
      </c>
      <c r="G153" s="120">
        <v>52268.67</v>
      </c>
      <c r="H153" s="117">
        <f t="shared" ref="H153" si="79">G153/F153</f>
        <v>0.27509826315789471</v>
      </c>
      <c r="I153" s="120">
        <v>210000</v>
      </c>
      <c r="J153" s="120">
        <v>56000</v>
      </c>
      <c r="K153" s="117">
        <f>J153/I153</f>
        <v>0.26666666666666666</v>
      </c>
      <c r="L153" s="120"/>
      <c r="M153" s="122"/>
      <c r="N153" s="120">
        <f t="shared" si="74"/>
        <v>108268.67</v>
      </c>
      <c r="O153" s="39"/>
      <c r="P153" s="51"/>
    </row>
    <row r="154" spans="1:16" s="38" customFormat="1" ht="62.25" thickTop="1" thickBot="1" x14ac:dyDescent="0.25">
      <c r="A154" s="99"/>
      <c r="B154" s="100" t="s">
        <v>265</v>
      </c>
      <c r="C154" s="100"/>
      <c r="D154" s="100" t="s">
        <v>266</v>
      </c>
      <c r="E154" s="138">
        <f>SUM(E155:E166)-E156-E164</f>
        <v>50000</v>
      </c>
      <c r="F154" s="138">
        <f>SUM(F155:F166)-F156-F164</f>
        <v>7000</v>
      </c>
      <c r="G154" s="138">
        <f>SUM(G155:G166)-G156-G164</f>
        <v>0</v>
      </c>
      <c r="H154" s="139">
        <f>G154/F154</f>
        <v>0</v>
      </c>
      <c r="I154" s="138">
        <f>SUM(I155:I166)-I156-I164</f>
        <v>154961687.59999999</v>
      </c>
      <c r="J154" s="138">
        <f>SUM(J155:J166)-J156-J164</f>
        <v>9831594.5600000005</v>
      </c>
      <c r="K154" s="139">
        <f t="shared" si="78"/>
        <v>6.3445324533236439E-2</v>
      </c>
      <c r="L154" s="138"/>
      <c r="M154" s="138"/>
      <c r="N154" s="130">
        <f>G154+J154</f>
        <v>9831594.5600000005</v>
      </c>
      <c r="O154" s="203"/>
      <c r="P154" s="204"/>
    </row>
    <row r="155" spans="1:16" s="38" customFormat="1" ht="93" customHeight="1" thickTop="1" thickBot="1" x14ac:dyDescent="0.25">
      <c r="A155" s="99"/>
      <c r="B155" s="87" t="s">
        <v>380</v>
      </c>
      <c r="C155" s="87" t="s">
        <v>268</v>
      </c>
      <c r="D155" s="87" t="s">
        <v>525</v>
      </c>
      <c r="E155" s="134"/>
      <c r="F155" s="134"/>
      <c r="G155" s="134"/>
      <c r="H155" s="134"/>
      <c r="I155" s="120">
        <f>4700000+226400+1100000</f>
        <v>6026400</v>
      </c>
      <c r="J155" s="134">
        <f>0+226400+53139.8</f>
        <v>279539.8</v>
      </c>
      <c r="K155" s="117">
        <f>J155/I155</f>
        <v>4.6385868843754147E-2</v>
      </c>
      <c r="L155" s="134"/>
      <c r="M155" s="122"/>
      <c r="N155" s="120">
        <f t="shared" si="74"/>
        <v>279539.8</v>
      </c>
      <c r="O155" s="39"/>
      <c r="P155" s="51"/>
    </row>
    <row r="156" spans="1:16" s="38" customFormat="1" ht="93" thickTop="1" thickBot="1" x14ac:dyDescent="0.25">
      <c r="A156" s="60"/>
      <c r="B156" s="89" t="s">
        <v>267</v>
      </c>
      <c r="C156" s="89"/>
      <c r="D156" s="89" t="s">
        <v>526</v>
      </c>
      <c r="E156" s="121"/>
      <c r="F156" s="121"/>
      <c r="G156" s="121"/>
      <c r="H156" s="123"/>
      <c r="I156" s="121">
        <f>SUM(I157:I161)</f>
        <v>137304236.59999999</v>
      </c>
      <c r="J156" s="121">
        <f>SUM(J157:J161)</f>
        <v>9126422.8800000008</v>
      </c>
      <c r="K156" s="123">
        <f t="shared" ref="K156:K157" si="80">J156/I156</f>
        <v>6.6468618201399335E-2</v>
      </c>
      <c r="L156" s="121"/>
      <c r="M156" s="121"/>
      <c r="N156" s="121">
        <f t="shared" si="74"/>
        <v>9126422.8800000008</v>
      </c>
      <c r="O156" s="39"/>
      <c r="P156" s="51"/>
    </row>
    <row r="157" spans="1:16" s="38" customFormat="1" ht="48" thickTop="1" thickBot="1" x14ac:dyDescent="0.25">
      <c r="A157" s="60"/>
      <c r="B157" s="87" t="s">
        <v>396</v>
      </c>
      <c r="C157" s="87" t="s">
        <v>268</v>
      </c>
      <c r="D157" s="87" t="s">
        <v>527</v>
      </c>
      <c r="E157" s="120"/>
      <c r="F157" s="120"/>
      <c r="G157" s="120"/>
      <c r="H157" s="120"/>
      <c r="I157" s="120">
        <f>73031091.6+51633650</f>
        <v>124664741.59999999</v>
      </c>
      <c r="J157" s="120">
        <f>2479978.47+3646444.41</f>
        <v>6126422.8800000008</v>
      </c>
      <c r="K157" s="117">
        <f t="shared" si="80"/>
        <v>4.9143188373640373E-2</v>
      </c>
      <c r="L157" s="120"/>
      <c r="M157" s="122"/>
      <c r="N157" s="120">
        <f t="shared" si="74"/>
        <v>6126422.8800000008</v>
      </c>
      <c r="O157" s="39"/>
      <c r="P157" s="51"/>
    </row>
    <row r="158" spans="1:16" s="38" customFormat="1" ht="48" thickTop="1" thickBot="1" x14ac:dyDescent="0.25">
      <c r="A158" s="60"/>
      <c r="B158" s="87" t="s">
        <v>519</v>
      </c>
      <c r="C158" s="87" t="s">
        <v>268</v>
      </c>
      <c r="D158" s="87" t="s">
        <v>528</v>
      </c>
      <c r="E158" s="120"/>
      <c r="F158" s="120"/>
      <c r="G158" s="120"/>
      <c r="H158" s="120"/>
      <c r="I158" s="120">
        <v>11239495</v>
      </c>
      <c r="J158" s="120">
        <v>3000000</v>
      </c>
      <c r="K158" s="117">
        <f t="shared" ref="K158" si="81">J158/I158</f>
        <v>0.26691590680898031</v>
      </c>
      <c r="L158" s="120"/>
      <c r="M158" s="122"/>
      <c r="N158" s="120">
        <f t="shared" ref="N158" si="82">G158+J158</f>
        <v>3000000</v>
      </c>
      <c r="O158" s="39"/>
      <c r="P158" s="51"/>
    </row>
    <row r="159" spans="1:16" s="38" customFormat="1" ht="123" hidden="1" thickTop="1" thickBot="1" x14ac:dyDescent="0.25">
      <c r="A159" s="60"/>
      <c r="B159" s="87" t="s">
        <v>448</v>
      </c>
      <c r="C159" s="87" t="s">
        <v>268</v>
      </c>
      <c r="D159" s="87" t="s">
        <v>523</v>
      </c>
      <c r="E159" s="120"/>
      <c r="F159" s="120"/>
      <c r="G159" s="120"/>
      <c r="H159" s="120"/>
      <c r="I159" s="152">
        <v>0</v>
      </c>
      <c r="J159" s="152">
        <v>0</v>
      </c>
      <c r="K159" s="150">
        <v>0</v>
      </c>
      <c r="L159" s="152"/>
      <c r="M159" s="153"/>
      <c r="N159" s="152">
        <f t="shared" si="74"/>
        <v>0</v>
      </c>
      <c r="O159" s="50" t="s">
        <v>433</v>
      </c>
      <c r="P159" s="51"/>
    </row>
    <row r="160" spans="1:16" s="38" customFormat="1" ht="48" thickTop="1" thickBot="1" x14ac:dyDescent="0.25">
      <c r="A160" s="60"/>
      <c r="B160" s="87" t="s">
        <v>397</v>
      </c>
      <c r="C160" s="87" t="s">
        <v>268</v>
      </c>
      <c r="D160" s="87" t="s">
        <v>529</v>
      </c>
      <c r="E160" s="120"/>
      <c r="F160" s="120"/>
      <c r="G160" s="120"/>
      <c r="H160" s="120"/>
      <c r="I160" s="120">
        <v>1400000</v>
      </c>
      <c r="J160" s="120">
        <v>0</v>
      </c>
      <c r="K160" s="117">
        <f t="shared" ref="K160" si="83">J160/I160</f>
        <v>0</v>
      </c>
      <c r="L160" s="120"/>
      <c r="M160" s="122"/>
      <c r="N160" s="120">
        <f t="shared" ref="N160" si="84">G160+J160</f>
        <v>0</v>
      </c>
      <c r="O160" s="39"/>
      <c r="P160" s="51"/>
    </row>
    <row r="161" spans="1:16" s="38" customFormat="1" ht="93" hidden="1" thickTop="1" thickBot="1" x14ac:dyDescent="0.25">
      <c r="A161" s="99"/>
      <c r="B161" s="87" t="s">
        <v>520</v>
      </c>
      <c r="C161" s="87" t="s">
        <v>268</v>
      </c>
      <c r="D161" s="87" t="s">
        <v>524</v>
      </c>
      <c r="E161" s="120"/>
      <c r="F161" s="120"/>
      <c r="G161" s="120"/>
      <c r="H161" s="120"/>
      <c r="I161" s="120">
        <v>0</v>
      </c>
      <c r="J161" s="120">
        <v>0</v>
      </c>
      <c r="K161" s="117" t="e">
        <f t="shared" ref="K161:K167" si="85">J161/I161</f>
        <v>#DIV/0!</v>
      </c>
      <c r="L161" s="120"/>
      <c r="M161" s="122"/>
      <c r="N161" s="120">
        <f t="shared" si="74"/>
        <v>0</v>
      </c>
      <c r="O161" s="39"/>
      <c r="P161" s="51"/>
    </row>
    <row r="162" spans="1:16" s="38" customFormat="1" ht="93" thickTop="1" thickBot="1" x14ac:dyDescent="0.25">
      <c r="A162" s="101"/>
      <c r="B162" s="87" t="s">
        <v>398</v>
      </c>
      <c r="C162" s="87" t="s">
        <v>268</v>
      </c>
      <c r="D162" s="87" t="s">
        <v>530</v>
      </c>
      <c r="E162" s="120"/>
      <c r="F162" s="120"/>
      <c r="G162" s="120"/>
      <c r="H162" s="120"/>
      <c r="I162" s="120">
        <v>10631051</v>
      </c>
      <c r="J162" s="120">
        <v>425631.88</v>
      </c>
      <c r="K162" s="117">
        <f t="shared" si="85"/>
        <v>4.0036669939782998E-2</v>
      </c>
      <c r="L162" s="120"/>
      <c r="M162" s="122"/>
      <c r="N162" s="120">
        <f t="shared" si="74"/>
        <v>425631.88</v>
      </c>
      <c r="O162" s="39"/>
      <c r="P162" s="51"/>
    </row>
    <row r="163" spans="1:16" s="38" customFormat="1" ht="93" thickTop="1" thickBot="1" x14ac:dyDescent="0.25">
      <c r="A163" s="99"/>
      <c r="B163" s="87" t="s">
        <v>449</v>
      </c>
      <c r="C163" s="87" t="s">
        <v>268</v>
      </c>
      <c r="D163" s="87" t="s">
        <v>450</v>
      </c>
      <c r="E163" s="120"/>
      <c r="F163" s="120"/>
      <c r="G163" s="120"/>
      <c r="H163" s="120"/>
      <c r="I163" s="120">
        <v>1000000</v>
      </c>
      <c r="J163" s="120">
        <v>0</v>
      </c>
      <c r="K163" s="117">
        <f t="shared" si="85"/>
        <v>0</v>
      </c>
      <c r="L163" s="120"/>
      <c r="M163" s="122"/>
      <c r="N163" s="120">
        <f t="shared" si="74"/>
        <v>0</v>
      </c>
      <c r="O163" s="39"/>
      <c r="P163" s="51"/>
    </row>
    <row r="164" spans="1:16" s="38" customFormat="1" ht="123" hidden="1" thickTop="1" thickBot="1" x14ac:dyDescent="0.25">
      <c r="A164" s="99"/>
      <c r="B164" s="89" t="s">
        <v>497</v>
      </c>
      <c r="C164" s="89"/>
      <c r="D164" s="89" t="s">
        <v>499</v>
      </c>
      <c r="E164" s="121">
        <f>E165</f>
        <v>0</v>
      </c>
      <c r="F164" s="121">
        <f>F165</f>
        <v>0</v>
      </c>
      <c r="G164" s="121">
        <f t="shared" ref="G164" si="86">G165</f>
        <v>0</v>
      </c>
      <c r="H164" s="123"/>
      <c r="I164" s="155">
        <f>I165</f>
        <v>0</v>
      </c>
      <c r="J164" s="155">
        <f>J165</f>
        <v>0</v>
      </c>
      <c r="K164" s="150" t="e">
        <f t="shared" si="85"/>
        <v>#DIV/0!</v>
      </c>
      <c r="L164" s="155"/>
      <c r="M164" s="155"/>
      <c r="N164" s="155">
        <f t="shared" si="74"/>
        <v>0</v>
      </c>
      <c r="O164" s="50" t="s">
        <v>433</v>
      </c>
      <c r="P164" s="51"/>
    </row>
    <row r="165" spans="1:16" s="38" customFormat="1" ht="138.75" hidden="1" thickTop="1" thickBot="1" x14ac:dyDescent="0.25">
      <c r="A165" s="99"/>
      <c r="B165" s="87" t="s">
        <v>498</v>
      </c>
      <c r="C165" s="87" t="s">
        <v>39</v>
      </c>
      <c r="D165" s="87" t="s">
        <v>500</v>
      </c>
      <c r="E165" s="120"/>
      <c r="F165" s="120"/>
      <c r="G165" s="120"/>
      <c r="H165" s="120"/>
      <c r="I165" s="152"/>
      <c r="J165" s="152">
        <v>0</v>
      </c>
      <c r="K165" s="150" t="e">
        <f t="shared" si="85"/>
        <v>#DIV/0!</v>
      </c>
      <c r="L165" s="152"/>
      <c r="M165" s="153"/>
      <c r="N165" s="152">
        <f t="shared" si="74"/>
        <v>0</v>
      </c>
      <c r="O165" s="39"/>
      <c r="P165" s="51"/>
    </row>
    <row r="166" spans="1:16" s="38" customFormat="1" ht="93" thickTop="1" thickBot="1" x14ac:dyDescent="0.25">
      <c r="A166" s="99"/>
      <c r="B166" s="87" t="s">
        <v>399</v>
      </c>
      <c r="C166" s="87" t="s">
        <v>39</v>
      </c>
      <c r="D166" s="87" t="s">
        <v>400</v>
      </c>
      <c r="E166" s="120">
        <v>50000</v>
      </c>
      <c r="F166" s="120">
        <v>7000</v>
      </c>
      <c r="G166" s="120">
        <v>0</v>
      </c>
      <c r="H166" s="117">
        <f>G166/F166</f>
        <v>0</v>
      </c>
      <c r="I166" s="120"/>
      <c r="J166" s="120"/>
      <c r="K166" s="117"/>
      <c r="L166" s="120"/>
      <c r="M166" s="122"/>
      <c r="N166" s="120">
        <f>G166+J166</f>
        <v>0</v>
      </c>
      <c r="O166" s="203"/>
      <c r="P166" s="204"/>
    </row>
    <row r="167" spans="1:16" s="38" customFormat="1" ht="91.5" thickTop="1" thickBot="1" x14ac:dyDescent="0.25">
      <c r="A167" s="78"/>
      <c r="B167" s="100" t="s">
        <v>381</v>
      </c>
      <c r="C167" s="100"/>
      <c r="D167" s="100" t="s">
        <v>382</v>
      </c>
      <c r="E167" s="130">
        <f>SUM(E168:E174)-E170-E173-E168</f>
        <v>215739161</v>
      </c>
      <c r="F167" s="130">
        <f>SUM(F168:F174)-F170-F173-F168</f>
        <v>85824675</v>
      </c>
      <c r="G167" s="130">
        <f>SUM(G168:G174)-G170-G173-G168</f>
        <v>64894223.150000006</v>
      </c>
      <c r="H167" s="139">
        <f t="shared" ref="H167" si="87">G167/F167</f>
        <v>0.75612547498723426</v>
      </c>
      <c r="I167" s="130">
        <f>SUM(I168:I174)-I170-I173-I168</f>
        <v>75969890</v>
      </c>
      <c r="J167" s="130">
        <f>SUM(J168:J174)-J170-J173-J168</f>
        <v>8539689.6400000006</v>
      </c>
      <c r="K167" s="139">
        <f t="shared" si="85"/>
        <v>0.11240887198862602</v>
      </c>
      <c r="L167" s="130"/>
      <c r="M167" s="130"/>
      <c r="N167" s="130">
        <f>G167+J167</f>
        <v>73433912.790000007</v>
      </c>
      <c r="O167" s="39"/>
      <c r="P167" s="51"/>
    </row>
    <row r="168" spans="1:16" s="38" customFormat="1" ht="93" thickTop="1" thickBot="1" x14ac:dyDescent="0.25">
      <c r="A168" s="78"/>
      <c r="B168" s="89" t="s">
        <v>465</v>
      </c>
      <c r="C168" s="89"/>
      <c r="D168" s="89" t="s">
        <v>466</v>
      </c>
      <c r="E168" s="121">
        <f>E169</f>
        <v>505540</v>
      </c>
      <c r="F168" s="121">
        <f>F169</f>
        <v>100000</v>
      </c>
      <c r="G168" s="121">
        <f>G169</f>
        <v>13197</v>
      </c>
      <c r="H168" s="123">
        <f t="shared" ref="H168:H183" si="88">G168/F168</f>
        <v>0.13197</v>
      </c>
      <c r="I168" s="121">
        <f>I169</f>
        <v>0</v>
      </c>
      <c r="J168" s="121">
        <f>J169</f>
        <v>0</v>
      </c>
      <c r="K168" s="117">
        <v>0</v>
      </c>
      <c r="L168" s="121"/>
      <c r="M168" s="121"/>
      <c r="N168" s="121">
        <f t="shared" si="74"/>
        <v>13197</v>
      </c>
      <c r="O168" s="50"/>
      <c r="P168" s="51"/>
    </row>
    <row r="169" spans="1:16" s="38" customFormat="1" ht="48" thickTop="1" thickBot="1" x14ac:dyDescent="0.25">
      <c r="A169" s="78"/>
      <c r="B169" s="87" t="s">
        <v>467</v>
      </c>
      <c r="C169" s="87" t="s">
        <v>468</v>
      </c>
      <c r="D169" s="87" t="s">
        <v>469</v>
      </c>
      <c r="E169" s="120">
        <v>505540</v>
      </c>
      <c r="F169" s="120">
        <v>100000</v>
      </c>
      <c r="G169" s="120">
        <v>13197</v>
      </c>
      <c r="H169" s="117">
        <f>G169/F169</f>
        <v>0.13197</v>
      </c>
      <c r="I169" s="120"/>
      <c r="J169" s="120"/>
      <c r="K169" s="120"/>
      <c r="L169" s="120"/>
      <c r="M169" s="122"/>
      <c r="N169" s="120">
        <f t="shared" si="74"/>
        <v>13197</v>
      </c>
      <c r="O169" s="39"/>
      <c r="P169" s="51"/>
    </row>
    <row r="170" spans="1:16" s="38" customFormat="1" ht="93" thickTop="1" thickBot="1" x14ac:dyDescent="0.25">
      <c r="A170" s="78"/>
      <c r="B170" s="89" t="s">
        <v>401</v>
      </c>
      <c r="C170" s="89"/>
      <c r="D170" s="89" t="s">
        <v>402</v>
      </c>
      <c r="E170" s="121">
        <f t="shared" ref="E170:G170" si="89">E171</f>
        <v>136683221</v>
      </c>
      <c r="F170" s="121">
        <f t="shared" si="89"/>
        <v>67724675</v>
      </c>
      <c r="G170" s="121">
        <f t="shared" si="89"/>
        <v>55990724.68</v>
      </c>
      <c r="H170" s="117">
        <f t="shared" si="88"/>
        <v>0.82674039676085564</v>
      </c>
      <c r="I170" s="121"/>
      <c r="J170" s="121"/>
      <c r="K170" s="123"/>
      <c r="L170" s="121"/>
      <c r="M170" s="121"/>
      <c r="N170" s="121">
        <f t="shared" si="74"/>
        <v>55990724.68</v>
      </c>
      <c r="O170" s="50"/>
      <c r="P170" s="51"/>
    </row>
    <row r="171" spans="1:16" s="38" customFormat="1" ht="48" thickTop="1" thickBot="1" x14ac:dyDescent="0.25">
      <c r="A171" s="78"/>
      <c r="B171" s="87" t="s">
        <v>403</v>
      </c>
      <c r="C171" s="87" t="s">
        <v>404</v>
      </c>
      <c r="D171" s="87" t="s">
        <v>405</v>
      </c>
      <c r="E171" s="120">
        <v>136683221</v>
      </c>
      <c r="F171" s="120">
        <v>67724675</v>
      </c>
      <c r="G171" s="120">
        <v>55990724.68</v>
      </c>
      <c r="H171" s="117">
        <f t="shared" si="88"/>
        <v>0.82674039676085564</v>
      </c>
      <c r="I171" s="120"/>
      <c r="J171" s="120"/>
      <c r="K171" s="120"/>
      <c r="L171" s="120"/>
      <c r="M171" s="122"/>
      <c r="N171" s="120">
        <f t="shared" si="74"/>
        <v>55990724.68</v>
      </c>
      <c r="O171" s="39"/>
      <c r="P171" s="51"/>
    </row>
    <row r="172" spans="1:16" s="38" customFormat="1" ht="62.25" hidden="1" thickTop="1" thickBot="1" x14ac:dyDescent="0.25">
      <c r="A172" s="78"/>
      <c r="B172" s="87" t="s">
        <v>511</v>
      </c>
      <c r="C172" s="87" t="s">
        <v>384</v>
      </c>
      <c r="D172" s="87" t="s">
        <v>512</v>
      </c>
      <c r="E172" s="120">
        <v>0</v>
      </c>
      <c r="F172" s="120">
        <v>0</v>
      </c>
      <c r="G172" s="120">
        <v>0</v>
      </c>
      <c r="H172" s="117" t="e">
        <f t="shared" si="88"/>
        <v>#DIV/0!</v>
      </c>
      <c r="I172" s="120"/>
      <c r="J172" s="120"/>
      <c r="K172" s="120"/>
      <c r="L172" s="120"/>
      <c r="M172" s="122"/>
      <c r="N172" s="120">
        <f t="shared" si="74"/>
        <v>0</v>
      </c>
      <c r="O172" s="50"/>
      <c r="P172" s="51"/>
    </row>
    <row r="173" spans="1:16" s="38" customFormat="1" ht="93" thickTop="1" thickBot="1" x14ac:dyDescent="0.25">
      <c r="A173" s="78"/>
      <c r="B173" s="89" t="s">
        <v>446</v>
      </c>
      <c r="C173" s="89"/>
      <c r="D173" s="89" t="s">
        <v>447</v>
      </c>
      <c r="E173" s="121">
        <f>E174</f>
        <v>78550400</v>
      </c>
      <c r="F173" s="121">
        <f>F174</f>
        <v>18000000</v>
      </c>
      <c r="G173" s="121">
        <f>G174</f>
        <v>8890301.4700000007</v>
      </c>
      <c r="H173" s="123">
        <f t="shared" si="88"/>
        <v>0.49390563722222225</v>
      </c>
      <c r="I173" s="121">
        <f>I174</f>
        <v>75969890</v>
      </c>
      <c r="J173" s="121">
        <f>J174</f>
        <v>8539689.6400000006</v>
      </c>
      <c r="K173" s="123">
        <f t="shared" ref="K173:K174" si="90">J173/I173</f>
        <v>0.11240887198862602</v>
      </c>
      <c r="L173" s="121"/>
      <c r="M173" s="124"/>
      <c r="N173" s="121">
        <f t="shared" si="74"/>
        <v>17429991.109999999</v>
      </c>
      <c r="O173" s="39"/>
      <c r="P173" s="51"/>
    </row>
    <row r="174" spans="1:16" s="38" customFormat="1" ht="138.75" thickTop="1" thickBot="1" x14ac:dyDescent="0.25">
      <c r="A174" s="101"/>
      <c r="B174" s="87" t="s">
        <v>383</v>
      </c>
      <c r="C174" s="87" t="s">
        <v>384</v>
      </c>
      <c r="D174" s="87" t="s">
        <v>385</v>
      </c>
      <c r="E174" s="134">
        <v>78550400</v>
      </c>
      <c r="F174" s="134">
        <v>18000000</v>
      </c>
      <c r="G174" s="134">
        <v>8890301.4700000007</v>
      </c>
      <c r="H174" s="117">
        <f t="shared" si="88"/>
        <v>0.49390563722222225</v>
      </c>
      <c r="I174" s="134">
        <v>75969890</v>
      </c>
      <c r="J174" s="135">
        <v>8539689.6400000006</v>
      </c>
      <c r="K174" s="117">
        <f t="shared" si="90"/>
        <v>0.11240887198862602</v>
      </c>
      <c r="L174" s="135"/>
      <c r="M174" s="122"/>
      <c r="N174" s="120">
        <f t="shared" si="74"/>
        <v>17429991.109999999</v>
      </c>
      <c r="O174" s="50"/>
      <c r="P174" s="51"/>
    </row>
    <row r="175" spans="1:16" s="38" customFormat="1" ht="47.25" thickTop="1" thickBot="1" x14ac:dyDescent="0.25">
      <c r="A175" s="101"/>
      <c r="B175" s="100" t="s">
        <v>32</v>
      </c>
      <c r="C175" s="101"/>
      <c r="D175" s="100" t="s">
        <v>33</v>
      </c>
      <c r="E175" s="138">
        <f>E176+E177</f>
        <v>5028364.9800000004</v>
      </c>
      <c r="F175" s="138">
        <f>F176+F177</f>
        <v>2559716.98</v>
      </c>
      <c r="G175" s="138">
        <f>G176+G177</f>
        <v>2372144.65</v>
      </c>
      <c r="H175" s="139">
        <f t="shared" si="88"/>
        <v>0.92672145730736211</v>
      </c>
      <c r="I175" s="138">
        <f>I176+I177</f>
        <v>1680000</v>
      </c>
      <c r="J175" s="138">
        <f>J176+J177</f>
        <v>1676169</v>
      </c>
      <c r="K175" s="139">
        <f>J175/I175</f>
        <v>0.99771964285714287</v>
      </c>
      <c r="L175" s="140"/>
      <c r="M175" s="140"/>
      <c r="N175" s="130">
        <f>G175+J175</f>
        <v>4048313.65</v>
      </c>
      <c r="O175" s="39"/>
      <c r="P175" s="51"/>
    </row>
    <row r="176" spans="1:16" s="38" customFormat="1" ht="48" thickTop="1" thickBot="1" x14ac:dyDescent="0.25">
      <c r="A176" s="101"/>
      <c r="B176" s="87" t="s">
        <v>34</v>
      </c>
      <c r="C176" s="87" t="s">
        <v>501</v>
      </c>
      <c r="D176" s="87" t="s">
        <v>35</v>
      </c>
      <c r="E176" s="134">
        <v>5028364.9800000004</v>
      </c>
      <c r="F176" s="134">
        <v>2559716.98</v>
      </c>
      <c r="G176" s="134">
        <v>2372144.65</v>
      </c>
      <c r="H176" s="117">
        <f t="shared" si="88"/>
        <v>0.92672145730736211</v>
      </c>
      <c r="I176" s="134">
        <v>1680000</v>
      </c>
      <c r="J176" s="134">
        <v>1676169</v>
      </c>
      <c r="K176" s="117">
        <f>J176/I176</f>
        <v>0.99771964285714287</v>
      </c>
      <c r="L176" s="140"/>
      <c r="M176" s="140"/>
      <c r="N176" s="120">
        <f t="shared" si="74"/>
        <v>4048313.65</v>
      </c>
      <c r="O176" s="39"/>
      <c r="P176" s="51"/>
    </row>
    <row r="177" spans="1:16" s="38" customFormat="1" ht="244.5" hidden="1" customHeight="1" thickTop="1" thickBot="1" x14ac:dyDescent="0.25">
      <c r="A177" s="78"/>
      <c r="B177" s="73" t="s">
        <v>451</v>
      </c>
      <c r="C177" s="73" t="s">
        <v>501</v>
      </c>
      <c r="D177" s="73" t="s">
        <v>452</v>
      </c>
      <c r="E177" s="137"/>
      <c r="F177" s="137"/>
      <c r="G177" s="137"/>
      <c r="H177" s="117" t="e">
        <f t="shared" si="88"/>
        <v>#DIV/0!</v>
      </c>
      <c r="I177" s="137">
        <v>0</v>
      </c>
      <c r="J177" s="137">
        <v>0</v>
      </c>
      <c r="K177" s="128">
        <v>0</v>
      </c>
      <c r="L177" s="166"/>
      <c r="M177" s="166"/>
      <c r="N177" s="127">
        <f t="shared" si="74"/>
        <v>0</v>
      </c>
      <c r="O177" s="50" t="s">
        <v>433</v>
      </c>
      <c r="P177" s="51"/>
    </row>
    <row r="178" spans="1:16" s="38" customFormat="1" ht="91.5" thickTop="1" thickBot="1" x14ac:dyDescent="0.25">
      <c r="A178" s="78"/>
      <c r="B178" s="100" t="s">
        <v>36</v>
      </c>
      <c r="C178" s="101"/>
      <c r="D178" s="100" t="s">
        <v>37</v>
      </c>
      <c r="E178" s="138">
        <f>SUM(E179:E190)-E187-E180</f>
        <v>19325693.5</v>
      </c>
      <c r="F178" s="138">
        <f>SUM(F179:F190)-F187-F180</f>
        <v>10720846.5</v>
      </c>
      <c r="G178" s="138">
        <f>SUM(G179:G190)-G187-G180</f>
        <v>8668083.7699999996</v>
      </c>
      <c r="H178" s="139">
        <f t="shared" si="88"/>
        <v>0.80852605901968655</v>
      </c>
      <c r="I178" s="138">
        <f>SUM(I179:I190)-I187-I180</f>
        <v>414554340.68000001</v>
      </c>
      <c r="J178" s="138">
        <f>SUM(J179:J190)-J187-J180</f>
        <v>77943942.459999993</v>
      </c>
      <c r="K178" s="139">
        <f>J178/I178</f>
        <v>0.18801863787542863</v>
      </c>
      <c r="L178" s="140"/>
      <c r="M178" s="140"/>
      <c r="N178" s="130">
        <f t="shared" si="74"/>
        <v>86612026.229999989</v>
      </c>
      <c r="O178" s="39"/>
      <c r="P178" s="51"/>
    </row>
    <row r="179" spans="1:16" s="38" customFormat="1" ht="93" thickTop="1" thickBot="1" x14ac:dyDescent="0.25">
      <c r="A179" s="78"/>
      <c r="B179" s="87" t="s">
        <v>406</v>
      </c>
      <c r="C179" s="87" t="s">
        <v>407</v>
      </c>
      <c r="D179" s="87" t="s">
        <v>408</v>
      </c>
      <c r="E179" s="120">
        <v>6205000</v>
      </c>
      <c r="F179" s="120">
        <v>1424555</v>
      </c>
      <c r="G179" s="120">
        <v>993671.37</v>
      </c>
      <c r="H179" s="117">
        <f t="shared" si="88"/>
        <v>0.6975310675965477</v>
      </c>
      <c r="I179" s="120"/>
      <c r="J179" s="120"/>
      <c r="K179" s="117"/>
      <c r="L179" s="120"/>
      <c r="M179" s="122"/>
      <c r="N179" s="120">
        <f t="shared" si="74"/>
        <v>993671.37</v>
      </c>
      <c r="O179" s="39"/>
      <c r="P179" s="51"/>
    </row>
    <row r="180" spans="1:16" s="38" customFormat="1" ht="62.25" thickTop="1" thickBot="1" x14ac:dyDescent="0.25">
      <c r="A180" s="60"/>
      <c r="B180" s="89" t="s">
        <v>470</v>
      </c>
      <c r="C180" s="89"/>
      <c r="D180" s="89" t="s">
        <v>472</v>
      </c>
      <c r="E180" s="121">
        <f>E181</f>
        <v>1062625</v>
      </c>
      <c r="F180" s="121">
        <f>F181</f>
        <v>531300</v>
      </c>
      <c r="G180" s="121">
        <f>G181</f>
        <v>491413.38</v>
      </c>
      <c r="H180" s="117">
        <f t="shared" si="88"/>
        <v>0.92492636928289107</v>
      </c>
      <c r="I180" s="121">
        <f>I181</f>
        <v>0</v>
      </c>
      <c r="J180" s="121">
        <f>J181</f>
        <v>0</v>
      </c>
      <c r="K180" s="123">
        <v>0</v>
      </c>
      <c r="L180" s="121"/>
      <c r="M180" s="124"/>
      <c r="N180" s="121">
        <f t="shared" si="74"/>
        <v>491413.38</v>
      </c>
      <c r="O180" s="203" t="s">
        <v>433</v>
      </c>
      <c r="P180" s="204"/>
    </row>
    <row r="181" spans="1:16" s="38" customFormat="1" ht="93" thickTop="1" thickBot="1" x14ac:dyDescent="0.25">
      <c r="A181" s="78"/>
      <c r="B181" s="87" t="s">
        <v>471</v>
      </c>
      <c r="C181" s="87" t="s">
        <v>373</v>
      </c>
      <c r="D181" s="87" t="s">
        <v>473</v>
      </c>
      <c r="E181" s="120">
        <v>1062625</v>
      </c>
      <c r="F181" s="120">
        <v>531300</v>
      </c>
      <c r="G181" s="120">
        <v>491413.38</v>
      </c>
      <c r="H181" s="117">
        <f t="shared" si="88"/>
        <v>0.92492636928289107</v>
      </c>
      <c r="I181" s="120"/>
      <c r="J181" s="120"/>
      <c r="K181" s="117"/>
      <c r="L181" s="120"/>
      <c r="M181" s="122"/>
      <c r="N181" s="120">
        <f t="shared" si="74"/>
        <v>491413.38</v>
      </c>
      <c r="O181" s="39"/>
      <c r="P181" s="51"/>
    </row>
    <row r="182" spans="1:16" s="38" customFormat="1" ht="93" thickTop="1" thickBot="1" x14ac:dyDescent="0.25">
      <c r="A182" s="78"/>
      <c r="B182" s="87" t="s">
        <v>409</v>
      </c>
      <c r="C182" s="87" t="s">
        <v>373</v>
      </c>
      <c r="D182" s="87" t="s">
        <v>410</v>
      </c>
      <c r="E182" s="120">
        <v>615000</v>
      </c>
      <c r="F182" s="120">
        <v>405000</v>
      </c>
      <c r="G182" s="120">
        <v>344640.98</v>
      </c>
      <c r="H182" s="117">
        <f t="shared" si="88"/>
        <v>0.85096538271604938</v>
      </c>
      <c r="I182" s="120"/>
      <c r="J182" s="120"/>
      <c r="K182" s="120"/>
      <c r="L182" s="120"/>
      <c r="M182" s="122"/>
      <c r="N182" s="120">
        <f t="shared" si="74"/>
        <v>344640.98</v>
      </c>
      <c r="O182" s="39"/>
      <c r="P182" s="51"/>
    </row>
    <row r="183" spans="1:16" s="38" customFormat="1" ht="62.25" thickTop="1" thickBot="1" x14ac:dyDescent="0.25">
      <c r="A183" s="78"/>
      <c r="B183" s="87" t="s">
        <v>372</v>
      </c>
      <c r="C183" s="87" t="s">
        <v>373</v>
      </c>
      <c r="D183" s="87" t="s">
        <v>374</v>
      </c>
      <c r="E183" s="134">
        <v>8593624</v>
      </c>
      <c r="F183" s="134">
        <v>6821447</v>
      </c>
      <c r="G183" s="134">
        <v>5765470.4900000002</v>
      </c>
      <c r="H183" s="117">
        <f t="shared" si="88"/>
        <v>0.84519757904737813</v>
      </c>
      <c r="I183" s="120">
        <f>45000000+23069864+1000000+2005017+4229000+16434368+195396</f>
        <v>91933645</v>
      </c>
      <c r="J183" s="134">
        <f>1085592.34+4513903.94+296971+125060+146500+928018.36+97698</f>
        <v>7193743.6400000006</v>
      </c>
      <c r="K183" s="117">
        <f>J183/I183</f>
        <v>7.8249302961935219E-2</v>
      </c>
      <c r="L183" s="134"/>
      <c r="M183" s="122"/>
      <c r="N183" s="120">
        <f t="shared" si="74"/>
        <v>12959214.130000001</v>
      </c>
      <c r="O183" s="203" t="s">
        <v>433</v>
      </c>
      <c r="P183" s="204"/>
    </row>
    <row r="184" spans="1:16" s="38" customFormat="1" ht="93" thickTop="1" thickBot="1" x14ac:dyDescent="0.25">
      <c r="A184" s="78"/>
      <c r="B184" s="87" t="s">
        <v>419</v>
      </c>
      <c r="C184" s="87" t="s">
        <v>39</v>
      </c>
      <c r="D184" s="87" t="s">
        <v>420</v>
      </c>
      <c r="E184" s="120"/>
      <c r="F184" s="120"/>
      <c r="G184" s="120"/>
      <c r="H184" s="120"/>
      <c r="I184" s="120">
        <v>112500</v>
      </c>
      <c r="J184" s="120">
        <v>30600</v>
      </c>
      <c r="K184" s="117">
        <f>J184/I184</f>
        <v>0.27200000000000002</v>
      </c>
      <c r="L184" s="120"/>
      <c r="M184" s="122"/>
      <c r="N184" s="120">
        <f t="shared" si="74"/>
        <v>30600</v>
      </c>
      <c r="O184" s="39"/>
      <c r="P184" s="51"/>
    </row>
    <row r="185" spans="1:16" s="38" customFormat="1" ht="93" thickTop="1" thickBot="1" x14ac:dyDescent="0.25">
      <c r="A185" s="78"/>
      <c r="B185" s="87" t="s">
        <v>188</v>
      </c>
      <c r="C185" s="87" t="s">
        <v>39</v>
      </c>
      <c r="D185" s="87" t="s">
        <v>189</v>
      </c>
      <c r="E185" s="134"/>
      <c r="F185" s="134"/>
      <c r="G185" s="134"/>
      <c r="H185" s="134"/>
      <c r="I185" s="120">
        <f>171034+279039797.6+39060000</f>
        <v>318270831.60000002</v>
      </c>
      <c r="J185" s="134">
        <f>0+38789670.08+30999000</f>
        <v>69788670.079999998</v>
      </c>
      <c r="K185" s="117">
        <f>J185/I185</f>
        <v>0.21927447680065695</v>
      </c>
      <c r="L185" s="134"/>
      <c r="M185" s="122"/>
      <c r="N185" s="120">
        <f t="shared" si="74"/>
        <v>69788670.079999998</v>
      </c>
      <c r="O185" s="39"/>
      <c r="P185" s="51"/>
    </row>
    <row r="186" spans="1:16" s="38" customFormat="1" ht="93" thickTop="1" thickBot="1" x14ac:dyDescent="0.25">
      <c r="A186" s="78"/>
      <c r="B186" s="87" t="s">
        <v>38</v>
      </c>
      <c r="C186" s="87" t="s">
        <v>39</v>
      </c>
      <c r="D186" s="87" t="s">
        <v>40</v>
      </c>
      <c r="E186" s="120">
        <v>341770.5</v>
      </c>
      <c r="F186" s="120">
        <v>195870.5</v>
      </c>
      <c r="G186" s="120">
        <v>195320.48</v>
      </c>
      <c r="H186" s="117">
        <f t="shared" ref="H186:H187" si="91">G186/F186</f>
        <v>0.99719192017174618</v>
      </c>
      <c r="I186" s="140"/>
      <c r="J186" s="140"/>
      <c r="K186" s="140"/>
      <c r="L186" s="140"/>
      <c r="M186" s="140"/>
      <c r="N186" s="120">
        <f t="shared" si="74"/>
        <v>195320.48</v>
      </c>
      <c r="O186" s="39"/>
      <c r="P186" s="51"/>
    </row>
    <row r="187" spans="1:16" s="38" customFormat="1" ht="48" thickTop="1" thickBot="1" x14ac:dyDescent="0.25">
      <c r="A187" s="78"/>
      <c r="B187" s="89" t="s">
        <v>41</v>
      </c>
      <c r="C187" s="89"/>
      <c r="D187" s="89" t="s">
        <v>375</v>
      </c>
      <c r="E187" s="136">
        <f>SUM(E188:E190)</f>
        <v>2507674</v>
      </c>
      <c r="F187" s="136">
        <f>SUM(F188:F190)</f>
        <v>1342674</v>
      </c>
      <c r="G187" s="136">
        <f>SUM(G188:G190)</f>
        <v>877567.07</v>
      </c>
      <c r="H187" s="117">
        <f t="shared" si="91"/>
        <v>0.65359653199510825</v>
      </c>
      <c r="I187" s="136">
        <f>SUM(I188:I190)</f>
        <v>4237364.08</v>
      </c>
      <c r="J187" s="136">
        <f>SUM(J188:J190)</f>
        <v>930928.74</v>
      </c>
      <c r="K187" s="123">
        <f>J187/I187</f>
        <v>0.21969524506848606</v>
      </c>
      <c r="L187" s="136"/>
      <c r="M187" s="136"/>
      <c r="N187" s="121">
        <f t="shared" si="74"/>
        <v>1808495.81</v>
      </c>
      <c r="O187" s="39"/>
      <c r="P187" s="51"/>
    </row>
    <row r="188" spans="1:16" s="38" customFormat="1" ht="276" thickTop="1" thickBot="1" x14ac:dyDescent="0.7">
      <c r="A188" s="78"/>
      <c r="B188" s="205" t="s">
        <v>42</v>
      </c>
      <c r="C188" s="205" t="s">
        <v>39</v>
      </c>
      <c r="D188" s="102" t="s">
        <v>43</v>
      </c>
      <c r="E188" s="191"/>
      <c r="F188" s="191"/>
      <c r="G188" s="191"/>
      <c r="H188" s="191"/>
      <c r="I188" s="191">
        <f>3757638.21+479725.87</f>
        <v>4237364.08</v>
      </c>
      <c r="J188" s="191">
        <f>789202.87+141725.87</f>
        <v>930928.74</v>
      </c>
      <c r="K188" s="207">
        <f>J188/I188</f>
        <v>0.21969524506848606</v>
      </c>
      <c r="L188" s="191"/>
      <c r="M188" s="193"/>
      <c r="N188" s="191">
        <f>J188+G188</f>
        <v>930928.74</v>
      </c>
      <c r="O188" s="39"/>
      <c r="P188" s="51"/>
    </row>
    <row r="189" spans="1:16" s="38" customFormat="1" ht="138.75" thickTop="1" thickBot="1" x14ac:dyDescent="0.25">
      <c r="A189" s="78"/>
      <c r="B189" s="206"/>
      <c r="C189" s="206"/>
      <c r="D189" s="103" t="s">
        <v>44</v>
      </c>
      <c r="E189" s="192"/>
      <c r="F189" s="192"/>
      <c r="G189" s="192"/>
      <c r="H189" s="192"/>
      <c r="I189" s="192"/>
      <c r="J189" s="192"/>
      <c r="K189" s="208"/>
      <c r="L189" s="192"/>
      <c r="M189" s="194"/>
      <c r="N189" s="192"/>
      <c r="O189" s="39"/>
      <c r="P189" s="51"/>
    </row>
    <row r="190" spans="1:16" s="38" customFormat="1" ht="48" thickTop="1" thickBot="1" x14ac:dyDescent="0.25">
      <c r="A190" s="78"/>
      <c r="B190" s="87" t="s">
        <v>45</v>
      </c>
      <c r="C190" s="87" t="s">
        <v>39</v>
      </c>
      <c r="D190" s="87" t="s">
        <v>46</v>
      </c>
      <c r="E190" s="120">
        <v>2507674</v>
      </c>
      <c r="F190" s="120">
        <v>1342674</v>
      </c>
      <c r="G190" s="120">
        <v>877567.07</v>
      </c>
      <c r="H190" s="117">
        <f t="shared" ref="H190" si="92">G190/F190</f>
        <v>0.65359653199510825</v>
      </c>
      <c r="I190" s="120"/>
      <c r="J190" s="120"/>
      <c r="K190" s="117"/>
      <c r="L190" s="120"/>
      <c r="M190" s="122"/>
      <c r="N190" s="120">
        <f t="shared" ref="N190:N211" si="93">G190+J190</f>
        <v>877567.07</v>
      </c>
      <c r="O190" s="39"/>
      <c r="P190" s="51"/>
    </row>
    <row r="191" spans="1:16" s="38" customFormat="1" ht="107.45" customHeight="1" thickTop="1" thickBot="1" x14ac:dyDescent="0.25">
      <c r="A191" s="60"/>
      <c r="B191" s="91" t="s">
        <v>47</v>
      </c>
      <c r="C191" s="91"/>
      <c r="D191" s="92" t="s">
        <v>48</v>
      </c>
      <c r="E191" s="93">
        <f>SUM(E192:E205)-E192-E199-E201-E204-E195</f>
        <v>51079619.590000004</v>
      </c>
      <c r="F191" s="93">
        <f>SUM(F192:F205)-F192-F199-F201-F204-F195</f>
        <v>13114829</v>
      </c>
      <c r="G191" s="93">
        <f>SUM(G192:G205)-G192-G199-G201-G204-G195</f>
        <v>9621036.4099999964</v>
      </c>
      <c r="H191" s="94">
        <f>G191/F191</f>
        <v>0.73359983649043359</v>
      </c>
      <c r="I191" s="93">
        <f>SUM(I192:I205)-I192-I199-I201-I204-I195</f>
        <v>12382623.460000001</v>
      </c>
      <c r="J191" s="93">
        <f>SUM(J192:J205)-J192-J199-J201-J204-J195</f>
        <v>4468021.3499999996</v>
      </c>
      <c r="K191" s="94">
        <f t="shared" ref="K191:K197" si="94">J191/I191</f>
        <v>0.36082994564384496</v>
      </c>
      <c r="L191" s="93"/>
      <c r="M191" s="93"/>
      <c r="N191" s="95">
        <f>J191+G191</f>
        <v>14089057.759999996</v>
      </c>
      <c r="O191" s="53" t="b">
        <f>N191=N193+N194+N196+N197+N198+N200+N202+N205+N203</f>
        <v>1</v>
      </c>
      <c r="P191" s="51"/>
    </row>
    <row r="192" spans="1:16" s="38" customFormat="1" ht="107.45" customHeight="1" thickTop="1" thickBot="1" x14ac:dyDescent="0.25">
      <c r="A192" s="60"/>
      <c r="B192" s="100" t="s">
        <v>386</v>
      </c>
      <c r="C192" s="100"/>
      <c r="D192" s="104" t="s">
        <v>387</v>
      </c>
      <c r="E192" s="130">
        <f>SUM(E193:E194)</f>
        <v>6591684</v>
      </c>
      <c r="F192" s="130">
        <f>SUM(F193:F194)</f>
        <v>2712824</v>
      </c>
      <c r="G192" s="130">
        <f>SUM(G193:G194)</f>
        <v>1322150.45</v>
      </c>
      <c r="H192" s="139">
        <f>G192/F192</f>
        <v>0.48737052237815648</v>
      </c>
      <c r="I192" s="130">
        <f>SUM(I193:I194)</f>
        <v>1005734.46</v>
      </c>
      <c r="J192" s="130">
        <f>SUM(J193:J194)</f>
        <v>197607.63</v>
      </c>
      <c r="K192" s="139">
        <f t="shared" si="94"/>
        <v>0.19648091803476636</v>
      </c>
      <c r="L192" s="130"/>
      <c r="M192" s="130"/>
      <c r="N192" s="130">
        <f t="shared" si="93"/>
        <v>1519758.08</v>
      </c>
      <c r="O192" s="203"/>
      <c r="P192" s="204"/>
    </row>
    <row r="193" spans="1:17" s="38" customFormat="1" ht="93" thickTop="1" thickBot="1" x14ac:dyDescent="0.25">
      <c r="A193" s="60"/>
      <c r="B193" s="87" t="s">
        <v>388</v>
      </c>
      <c r="C193" s="87" t="s">
        <v>389</v>
      </c>
      <c r="D193" s="87" t="s">
        <v>390</v>
      </c>
      <c r="E193" s="134">
        <v>4361250</v>
      </c>
      <c r="F193" s="134">
        <v>1583490</v>
      </c>
      <c r="G193" s="134">
        <v>489652.26</v>
      </c>
      <c r="H193" s="117">
        <f>G193/F193</f>
        <v>0.3092234620995396</v>
      </c>
      <c r="I193" s="120">
        <v>1000000</v>
      </c>
      <c r="J193" s="120">
        <v>195273.7</v>
      </c>
      <c r="K193" s="117">
        <f t="shared" si="94"/>
        <v>0.19527370000000002</v>
      </c>
      <c r="L193" s="134"/>
      <c r="M193" s="122"/>
      <c r="N193" s="120">
        <f t="shared" si="93"/>
        <v>684925.96</v>
      </c>
      <c r="O193" s="203"/>
      <c r="P193" s="204"/>
    </row>
    <row r="194" spans="1:17" s="38" customFormat="1" ht="48" thickTop="1" thickBot="1" x14ac:dyDescent="0.25">
      <c r="A194" s="60"/>
      <c r="B194" s="87" t="s">
        <v>391</v>
      </c>
      <c r="C194" s="87" t="s">
        <v>389</v>
      </c>
      <c r="D194" s="87" t="s">
        <v>392</v>
      </c>
      <c r="E194" s="134">
        <v>2230434</v>
      </c>
      <c r="F194" s="134">
        <v>1129334</v>
      </c>
      <c r="G194" s="134">
        <v>832498.19</v>
      </c>
      <c r="H194" s="117">
        <f t="shared" ref="H194:H202" si="95">G194/F194</f>
        <v>0.73715852883203725</v>
      </c>
      <c r="I194" s="120">
        <v>5734.46</v>
      </c>
      <c r="J194" s="120">
        <v>2333.9299999999998</v>
      </c>
      <c r="K194" s="117">
        <f t="shared" si="94"/>
        <v>0.40700083355712652</v>
      </c>
      <c r="L194" s="134"/>
      <c r="M194" s="122"/>
      <c r="N194" s="120">
        <f t="shared" si="93"/>
        <v>834832.12</v>
      </c>
      <c r="O194" s="12"/>
      <c r="P194" s="51"/>
    </row>
    <row r="195" spans="1:17" s="38" customFormat="1" ht="62.25" thickTop="1" thickBot="1" x14ac:dyDescent="0.25">
      <c r="A195" s="60"/>
      <c r="B195" s="100" t="s">
        <v>513</v>
      </c>
      <c r="C195" s="100"/>
      <c r="D195" s="100" t="s">
        <v>514</v>
      </c>
      <c r="E195" s="138">
        <f>SUM(E196:E198)</f>
        <v>14007611</v>
      </c>
      <c r="F195" s="138">
        <f>SUM(F196:F198)</f>
        <v>5805605</v>
      </c>
      <c r="G195" s="138">
        <f>SUM(G196:G198)</f>
        <v>4320042.62</v>
      </c>
      <c r="H195" s="139">
        <f t="shared" si="95"/>
        <v>0.74411583633402545</v>
      </c>
      <c r="I195" s="138">
        <f t="shared" ref="I195:J195" si="96">SUM(I196:I198)</f>
        <v>7420455</v>
      </c>
      <c r="J195" s="138">
        <f t="shared" si="96"/>
        <v>4063623.5</v>
      </c>
      <c r="K195" s="139">
        <f t="shared" si="94"/>
        <v>0.54762457288670308</v>
      </c>
      <c r="L195" s="138"/>
      <c r="M195" s="138"/>
      <c r="N195" s="130">
        <f t="shared" ref="N195:N198" si="97">G195+J195</f>
        <v>8383666.1200000001</v>
      </c>
      <c r="O195" s="203"/>
      <c r="P195" s="204"/>
    </row>
    <row r="196" spans="1:17" s="38" customFormat="1" ht="93" thickTop="1" thickBot="1" x14ac:dyDescent="0.25">
      <c r="A196" s="60"/>
      <c r="B196" s="87" t="s">
        <v>536</v>
      </c>
      <c r="C196" s="87" t="s">
        <v>516</v>
      </c>
      <c r="D196" s="87" t="s">
        <v>537</v>
      </c>
      <c r="E196" s="134">
        <v>4750000</v>
      </c>
      <c r="F196" s="134">
        <v>2220000</v>
      </c>
      <c r="G196" s="134">
        <v>1808701.04</v>
      </c>
      <c r="H196" s="117">
        <f t="shared" si="95"/>
        <v>0.81473019819819825</v>
      </c>
      <c r="I196" s="120"/>
      <c r="J196" s="134"/>
      <c r="K196" s="123"/>
      <c r="L196" s="134"/>
      <c r="M196" s="122"/>
      <c r="N196" s="120">
        <f t="shared" si="97"/>
        <v>1808701.04</v>
      </c>
      <c r="O196" s="68"/>
      <c r="P196" s="68"/>
    </row>
    <row r="197" spans="1:17" s="38" customFormat="1" ht="62.25" thickTop="1" thickBot="1" x14ac:dyDescent="0.25">
      <c r="A197" s="60"/>
      <c r="B197" s="87" t="s">
        <v>538</v>
      </c>
      <c r="C197" s="87" t="s">
        <v>516</v>
      </c>
      <c r="D197" s="87" t="s">
        <v>539</v>
      </c>
      <c r="E197" s="134">
        <v>600000</v>
      </c>
      <c r="F197" s="134">
        <v>600000</v>
      </c>
      <c r="G197" s="134">
        <v>566370</v>
      </c>
      <c r="H197" s="117">
        <f t="shared" si="95"/>
        <v>0.94394999999999996</v>
      </c>
      <c r="I197" s="120">
        <f>400000</f>
        <v>400000</v>
      </c>
      <c r="J197" s="134">
        <f>365000</f>
        <v>365000</v>
      </c>
      <c r="K197" s="117">
        <f t="shared" si="94"/>
        <v>0.91249999999999998</v>
      </c>
      <c r="L197" s="134"/>
      <c r="M197" s="122"/>
      <c r="N197" s="120">
        <f>G197+J197</f>
        <v>931370</v>
      </c>
      <c r="O197" s="68"/>
      <c r="P197" s="68"/>
    </row>
    <row r="198" spans="1:17" s="38" customFormat="1" ht="48" thickTop="1" thickBot="1" x14ac:dyDescent="0.25">
      <c r="A198" s="78"/>
      <c r="B198" s="87" t="s">
        <v>515</v>
      </c>
      <c r="C198" s="87" t="s">
        <v>516</v>
      </c>
      <c r="D198" s="87" t="s">
        <v>517</v>
      </c>
      <c r="E198" s="134">
        <v>8657611</v>
      </c>
      <c r="F198" s="134">
        <v>2985605</v>
      </c>
      <c r="G198" s="134">
        <v>1944971.58</v>
      </c>
      <c r="H198" s="117">
        <f t="shared" si="95"/>
        <v>0.65144973296869479</v>
      </c>
      <c r="I198" s="120">
        <f>3100000+3770000+150455</f>
        <v>7020455</v>
      </c>
      <c r="J198" s="134">
        <f>588172+2973774+136677.5</f>
        <v>3698623.5</v>
      </c>
      <c r="K198" s="117">
        <f>J198/I198</f>
        <v>0.52683529771218529</v>
      </c>
      <c r="L198" s="134"/>
      <c r="M198" s="122"/>
      <c r="N198" s="120">
        <f t="shared" si="97"/>
        <v>5643595.0800000001</v>
      </c>
      <c r="O198" s="12"/>
      <c r="P198" s="51"/>
    </row>
    <row r="199" spans="1:17" s="38" customFormat="1" ht="91.5" thickTop="1" thickBot="1" x14ac:dyDescent="0.25">
      <c r="A199" s="78"/>
      <c r="B199" s="100" t="s">
        <v>411</v>
      </c>
      <c r="C199" s="100"/>
      <c r="D199" s="100" t="s">
        <v>412</v>
      </c>
      <c r="E199" s="138">
        <f>SUM(E200:E200)</f>
        <v>0</v>
      </c>
      <c r="F199" s="138">
        <f>SUM(F200:F200)</f>
        <v>0</v>
      </c>
      <c r="G199" s="138">
        <f>SUM(G200:G200)</f>
        <v>0</v>
      </c>
      <c r="H199" s="139">
        <v>0</v>
      </c>
      <c r="I199" s="138">
        <f>SUM(I200:I200)</f>
        <v>3956434</v>
      </c>
      <c r="J199" s="138">
        <f>SUM(J200:J200)</f>
        <v>206790.22</v>
      </c>
      <c r="K199" s="139">
        <f t="shared" ref="K199:K200" si="98">J199/I199</f>
        <v>5.22668190597897E-2</v>
      </c>
      <c r="L199" s="138"/>
      <c r="M199" s="138"/>
      <c r="N199" s="130">
        <f t="shared" si="93"/>
        <v>206790.22</v>
      </c>
      <c r="O199" s="203" t="s">
        <v>433</v>
      </c>
      <c r="P199" s="204"/>
    </row>
    <row r="200" spans="1:17" s="38" customFormat="1" ht="93" thickTop="1" thickBot="1" x14ac:dyDescent="0.25">
      <c r="A200" s="78"/>
      <c r="B200" s="87" t="s">
        <v>521</v>
      </c>
      <c r="C200" s="87" t="s">
        <v>413</v>
      </c>
      <c r="D200" s="87" t="s">
        <v>522</v>
      </c>
      <c r="E200" s="120"/>
      <c r="F200" s="120"/>
      <c r="G200" s="120"/>
      <c r="H200" s="117"/>
      <c r="I200" s="120">
        <v>3956434</v>
      </c>
      <c r="J200" s="120">
        <v>206790.22</v>
      </c>
      <c r="K200" s="117">
        <f t="shared" si="98"/>
        <v>5.22668190597897E-2</v>
      </c>
      <c r="L200" s="120"/>
      <c r="M200" s="122"/>
      <c r="N200" s="120">
        <f t="shared" si="93"/>
        <v>206790.22</v>
      </c>
      <c r="O200" s="39"/>
      <c r="P200" s="51"/>
    </row>
    <row r="201" spans="1:17" s="38" customFormat="1" ht="62.25" thickTop="1" thickBot="1" x14ac:dyDescent="0.25">
      <c r="A201" s="78"/>
      <c r="B201" s="100" t="s">
        <v>49</v>
      </c>
      <c r="C201" s="100"/>
      <c r="D201" s="100" t="s">
        <v>50</v>
      </c>
      <c r="E201" s="130">
        <f>SUM(E202)</f>
        <v>7500000</v>
      </c>
      <c r="F201" s="130">
        <f>SUM(F202)</f>
        <v>3943200</v>
      </c>
      <c r="G201" s="130">
        <f t="shared" ref="G201:J201" si="99">SUM(G202)</f>
        <v>3943152.46</v>
      </c>
      <c r="H201" s="139">
        <f t="shared" si="95"/>
        <v>0.99998794380198819</v>
      </c>
      <c r="I201" s="130">
        <f t="shared" si="99"/>
        <v>0</v>
      </c>
      <c r="J201" s="130">
        <f t="shared" si="99"/>
        <v>0</v>
      </c>
      <c r="K201" s="139">
        <v>0</v>
      </c>
      <c r="L201" s="130"/>
      <c r="M201" s="130"/>
      <c r="N201" s="130">
        <f t="shared" si="93"/>
        <v>3943152.46</v>
      </c>
      <c r="O201" s="203" t="s">
        <v>433</v>
      </c>
      <c r="P201" s="204"/>
    </row>
    <row r="202" spans="1:17" s="38" customFormat="1" ht="48" thickTop="1" thickBot="1" x14ac:dyDescent="0.25">
      <c r="A202" s="78"/>
      <c r="B202" s="87" t="s">
        <v>51</v>
      </c>
      <c r="C202" s="87" t="s">
        <v>52</v>
      </c>
      <c r="D202" s="87" t="s">
        <v>53</v>
      </c>
      <c r="E202" s="120">
        <v>7500000</v>
      </c>
      <c r="F202" s="120">
        <v>3943200</v>
      </c>
      <c r="G202" s="120">
        <v>3943152.46</v>
      </c>
      <c r="H202" s="117">
        <f t="shared" si="95"/>
        <v>0.99998794380198819</v>
      </c>
      <c r="I202" s="120"/>
      <c r="J202" s="120"/>
      <c r="K202" s="117"/>
      <c r="L202" s="120"/>
      <c r="M202" s="122"/>
      <c r="N202" s="120">
        <f t="shared" si="93"/>
        <v>3943152.46</v>
      </c>
      <c r="O202" s="39"/>
      <c r="P202" s="51"/>
    </row>
    <row r="203" spans="1:17" s="38" customFormat="1" ht="62.25" thickTop="1" thickBot="1" x14ac:dyDescent="0.25">
      <c r="A203" s="78"/>
      <c r="B203" s="105">
        <v>8600</v>
      </c>
      <c r="C203" s="100" t="s">
        <v>24</v>
      </c>
      <c r="D203" s="105" t="s">
        <v>421</v>
      </c>
      <c r="E203" s="130">
        <v>1306400</v>
      </c>
      <c r="F203" s="130">
        <v>653200</v>
      </c>
      <c r="G203" s="130">
        <v>35690.879999999997</v>
      </c>
      <c r="H203" s="139">
        <f>G203/F203</f>
        <v>5.4640048989589705E-2</v>
      </c>
      <c r="I203" s="130"/>
      <c r="J203" s="130"/>
      <c r="K203" s="130"/>
      <c r="L203" s="130"/>
      <c r="M203" s="142"/>
      <c r="N203" s="130">
        <f t="shared" si="93"/>
        <v>35690.879999999997</v>
      </c>
      <c r="O203" s="203"/>
      <c r="P203" s="204"/>
    </row>
    <row r="204" spans="1:17" s="38" customFormat="1" ht="62.25" thickTop="1" thickBot="1" x14ac:dyDescent="0.25">
      <c r="A204" s="78"/>
      <c r="B204" s="105">
        <v>8700</v>
      </c>
      <c r="C204" s="100"/>
      <c r="D204" s="105" t="s">
        <v>422</v>
      </c>
      <c r="E204" s="130">
        <f t="shared" ref="E204:J204" si="100">E205</f>
        <v>21673924.59</v>
      </c>
      <c r="F204" s="130">
        <f t="shared" si="100"/>
        <v>0</v>
      </c>
      <c r="G204" s="130">
        <f t="shared" si="100"/>
        <v>0</v>
      </c>
      <c r="H204" s="139">
        <v>0</v>
      </c>
      <c r="I204" s="130">
        <f t="shared" si="100"/>
        <v>0</v>
      </c>
      <c r="J204" s="130">
        <f t="shared" si="100"/>
        <v>0</v>
      </c>
      <c r="K204" s="139">
        <v>0</v>
      </c>
      <c r="L204" s="130"/>
      <c r="M204" s="130"/>
      <c r="N204" s="130">
        <f t="shared" si="93"/>
        <v>0</v>
      </c>
      <c r="O204" s="203" t="s">
        <v>433</v>
      </c>
      <c r="P204" s="204"/>
    </row>
    <row r="205" spans="1:17" s="38" customFormat="1" ht="62.25" thickTop="1" thickBot="1" x14ac:dyDescent="0.25">
      <c r="A205" s="78"/>
      <c r="B205" s="97">
        <v>8710</v>
      </c>
      <c r="C205" s="87" t="s">
        <v>29</v>
      </c>
      <c r="D205" s="96" t="s">
        <v>423</v>
      </c>
      <c r="E205" s="120">
        <v>21673924.59</v>
      </c>
      <c r="F205" s="120">
        <v>0</v>
      </c>
      <c r="G205" s="120">
        <v>0</v>
      </c>
      <c r="H205" s="117">
        <v>0</v>
      </c>
      <c r="I205" s="120"/>
      <c r="J205" s="120"/>
      <c r="K205" s="117"/>
      <c r="L205" s="120"/>
      <c r="M205" s="122"/>
      <c r="N205" s="120">
        <f t="shared" si="93"/>
        <v>0</v>
      </c>
      <c r="O205" s="203" t="s">
        <v>433</v>
      </c>
      <c r="P205" s="204"/>
    </row>
    <row r="206" spans="1:17" s="38" customFormat="1" ht="103.7" customHeight="1" thickTop="1" thickBot="1" x14ac:dyDescent="0.25">
      <c r="A206" s="60"/>
      <c r="B206" s="91" t="s">
        <v>54</v>
      </c>
      <c r="C206" s="91"/>
      <c r="D206" s="92" t="s">
        <v>55</v>
      </c>
      <c r="E206" s="93">
        <f>SUM(E207:E213)-E207-E209</f>
        <v>385008058.33000004</v>
      </c>
      <c r="F206" s="93">
        <f>SUM(F207:F213)-F207-F209</f>
        <v>220301558.32999998</v>
      </c>
      <c r="G206" s="93">
        <f>SUM(G207:G213)-G207-G209</f>
        <v>216883263.62</v>
      </c>
      <c r="H206" s="94">
        <f>G206/F206</f>
        <v>0.98448356545494986</v>
      </c>
      <c r="I206" s="93">
        <f>SUM(I207:I213)-I207-I209</f>
        <v>82751109.459999993</v>
      </c>
      <c r="J206" s="93">
        <f>SUM(J207:J213)-J207-J209</f>
        <v>81246019.459999993</v>
      </c>
      <c r="K206" s="94">
        <f>J206/I206</f>
        <v>0.98181184506381114</v>
      </c>
      <c r="L206" s="93"/>
      <c r="M206" s="93"/>
      <c r="N206" s="95">
        <f>J206+G206</f>
        <v>298129283.07999998</v>
      </c>
      <c r="O206" s="53" t="b">
        <f>N206=N208+N210+N211+N212+N213</f>
        <v>1</v>
      </c>
      <c r="P206" s="203"/>
      <c r="Q206" s="204"/>
    </row>
    <row r="207" spans="1:17" s="38" customFormat="1" ht="103.7" customHeight="1" thickTop="1" thickBot="1" x14ac:dyDescent="0.25">
      <c r="A207" s="60"/>
      <c r="B207" s="100" t="s">
        <v>424</v>
      </c>
      <c r="C207" s="100"/>
      <c r="D207" s="100" t="s">
        <v>425</v>
      </c>
      <c r="E207" s="130">
        <f t="shared" ref="E207:J207" si="101">E208</f>
        <v>328100700</v>
      </c>
      <c r="F207" s="130">
        <f t="shared" si="101"/>
        <v>164050200</v>
      </c>
      <c r="G207" s="130">
        <f t="shared" si="101"/>
        <v>164050200</v>
      </c>
      <c r="H207" s="139">
        <f>G207/F207</f>
        <v>1</v>
      </c>
      <c r="I207" s="130">
        <f t="shared" si="101"/>
        <v>0</v>
      </c>
      <c r="J207" s="130">
        <f t="shared" si="101"/>
        <v>0</v>
      </c>
      <c r="K207" s="139">
        <v>0</v>
      </c>
      <c r="L207" s="130"/>
      <c r="M207" s="130"/>
      <c r="N207" s="130">
        <f t="shared" si="93"/>
        <v>164050200</v>
      </c>
      <c r="O207" s="203" t="s">
        <v>433</v>
      </c>
      <c r="P207" s="204"/>
    </row>
    <row r="208" spans="1:17" s="38" customFormat="1" ht="103.7" customHeight="1" thickTop="1" thickBot="1" x14ac:dyDescent="0.25">
      <c r="A208" s="60"/>
      <c r="B208" s="97">
        <v>9110</v>
      </c>
      <c r="C208" s="87" t="s">
        <v>28</v>
      </c>
      <c r="D208" s="96" t="s">
        <v>426</v>
      </c>
      <c r="E208" s="120">
        <v>328100700</v>
      </c>
      <c r="F208" s="120">
        <v>164050200</v>
      </c>
      <c r="G208" s="120">
        <v>164050200</v>
      </c>
      <c r="H208" s="117">
        <f>G208/F208</f>
        <v>1</v>
      </c>
      <c r="I208" s="120"/>
      <c r="J208" s="120"/>
      <c r="K208" s="120"/>
      <c r="L208" s="120"/>
      <c r="M208" s="122"/>
      <c r="N208" s="120">
        <f t="shared" si="93"/>
        <v>164050200</v>
      </c>
      <c r="O208" s="12"/>
    </row>
    <row r="209" spans="1:27" s="38" customFormat="1" ht="136.5" thickTop="1" thickBot="1" x14ac:dyDescent="0.25">
      <c r="A209" s="60"/>
      <c r="B209" s="100" t="s">
        <v>56</v>
      </c>
      <c r="C209" s="100"/>
      <c r="D209" s="100" t="s">
        <v>57</v>
      </c>
      <c r="E209" s="130">
        <f>SUM(E210:E211)</f>
        <v>1312400</v>
      </c>
      <c r="F209" s="130">
        <f>SUM(F210:F211)</f>
        <v>656400</v>
      </c>
      <c r="G209" s="130">
        <f t="shared" ref="G209" si="102">SUM(G210:G211)</f>
        <v>656400</v>
      </c>
      <c r="H209" s="139">
        <f t="shared" ref="H209:H213" si="103">G209/F209</f>
        <v>1</v>
      </c>
      <c r="I209" s="130">
        <f t="shared" ref="I209:J209" si="104">SUM(I210:I211)</f>
        <v>0</v>
      </c>
      <c r="J209" s="130">
        <f t="shared" si="104"/>
        <v>0</v>
      </c>
      <c r="K209" s="139">
        <v>0</v>
      </c>
      <c r="L209" s="130"/>
      <c r="M209" s="130"/>
      <c r="N209" s="130">
        <f t="shared" si="93"/>
        <v>656400</v>
      </c>
      <c r="O209" s="203" t="s">
        <v>433</v>
      </c>
      <c r="P209" s="204"/>
    </row>
    <row r="210" spans="1:27" s="38" customFormat="1" ht="184.5" thickTop="1" thickBot="1" x14ac:dyDescent="0.25">
      <c r="A210" s="78"/>
      <c r="B210" s="87" t="s">
        <v>58</v>
      </c>
      <c r="C210" s="87" t="s">
        <v>28</v>
      </c>
      <c r="D210" s="87" t="s">
        <v>59</v>
      </c>
      <c r="E210" s="120">
        <v>1163700</v>
      </c>
      <c r="F210" s="120">
        <v>582000</v>
      </c>
      <c r="G210" s="120">
        <v>582000</v>
      </c>
      <c r="H210" s="117">
        <f t="shared" si="103"/>
        <v>1</v>
      </c>
      <c r="I210" s="120"/>
      <c r="J210" s="120"/>
      <c r="K210" s="120"/>
      <c r="L210" s="120"/>
      <c r="M210" s="122"/>
      <c r="N210" s="120">
        <f t="shared" si="93"/>
        <v>582000</v>
      </c>
      <c r="O210" s="39"/>
      <c r="P210" s="51"/>
    </row>
    <row r="211" spans="1:27" s="38" customFormat="1" ht="60.75" thickTop="1" thickBot="1" x14ac:dyDescent="0.8">
      <c r="A211" s="78"/>
      <c r="B211" s="87" t="s">
        <v>60</v>
      </c>
      <c r="C211" s="87" t="s">
        <v>28</v>
      </c>
      <c r="D211" s="87" t="s">
        <v>61</v>
      </c>
      <c r="E211" s="120">
        <v>148700</v>
      </c>
      <c r="F211" s="120">
        <v>74400</v>
      </c>
      <c r="G211" s="120">
        <v>74400</v>
      </c>
      <c r="H211" s="117">
        <f t="shared" si="103"/>
        <v>1</v>
      </c>
      <c r="I211" s="120"/>
      <c r="J211" s="120"/>
      <c r="K211" s="117"/>
      <c r="L211" s="120"/>
      <c r="M211" s="122"/>
      <c r="N211" s="120">
        <f t="shared" si="93"/>
        <v>74400</v>
      </c>
      <c r="O211" s="54"/>
      <c r="P211" s="51"/>
    </row>
    <row r="212" spans="1:27" s="38" customFormat="1" ht="136.5" thickTop="1" thickBot="1" x14ac:dyDescent="0.25">
      <c r="A212" s="78"/>
      <c r="B212" s="100" t="s">
        <v>62</v>
      </c>
      <c r="C212" s="100" t="s">
        <v>28</v>
      </c>
      <c r="D212" s="100" t="s">
        <v>63</v>
      </c>
      <c r="E212" s="131">
        <v>53594958.329999998</v>
      </c>
      <c r="F212" s="131">
        <v>53594958.329999998</v>
      </c>
      <c r="G212" s="131">
        <v>52176663.619999997</v>
      </c>
      <c r="H212" s="141">
        <f t="shared" si="103"/>
        <v>0.9735367886421864</v>
      </c>
      <c r="I212" s="131">
        <f>82598240.46+152869</f>
        <v>82751109.459999993</v>
      </c>
      <c r="J212" s="131">
        <f>81093150.46+152869</f>
        <v>81246019.459999993</v>
      </c>
      <c r="K212" s="141">
        <f t="shared" ref="K212" si="105">J212/I212</f>
        <v>0.98181184506381114</v>
      </c>
      <c r="L212" s="130"/>
      <c r="M212" s="130"/>
      <c r="N212" s="131">
        <f t="shared" ref="N212:N213" si="106">G212+J212</f>
        <v>133422683.07999998</v>
      </c>
      <c r="O212" s="39"/>
      <c r="P212" s="51"/>
    </row>
    <row r="213" spans="1:27" s="38" customFormat="1" ht="367.5" thickTop="1" thickBot="1" x14ac:dyDescent="0.25">
      <c r="A213" s="78"/>
      <c r="B213" s="87" t="s">
        <v>551</v>
      </c>
      <c r="C213" s="87" t="s">
        <v>28</v>
      </c>
      <c r="D213" s="87" t="s">
        <v>550</v>
      </c>
      <c r="E213" s="120">
        <v>2000000</v>
      </c>
      <c r="F213" s="120">
        <v>2000000</v>
      </c>
      <c r="G213" s="120">
        <v>0</v>
      </c>
      <c r="H213" s="117">
        <f t="shared" si="103"/>
        <v>0</v>
      </c>
      <c r="I213" s="120"/>
      <c r="J213" s="120"/>
      <c r="K213" s="117"/>
      <c r="L213" s="120"/>
      <c r="M213" s="122"/>
      <c r="N213" s="120">
        <f t="shared" si="106"/>
        <v>0</v>
      </c>
      <c r="O213" s="39"/>
      <c r="P213" s="51"/>
    </row>
    <row r="214" spans="1:27" s="38" customFormat="1" ht="71.45" customHeight="1" thickTop="1" thickBot="1" x14ac:dyDescent="0.25">
      <c r="A214" s="60"/>
      <c r="B214" s="63" t="s">
        <v>427</v>
      </c>
      <c r="C214" s="63" t="s">
        <v>427</v>
      </c>
      <c r="D214" s="64" t="s">
        <v>436</v>
      </c>
      <c r="E214" s="65">
        <f>E14+E19+E53+E66+E112+E121+E137+E151+E191+E206</f>
        <v>4033218208.7999992</v>
      </c>
      <c r="F214" s="65">
        <f>F14+F19+F53+F66+F112+F121+F137+F151+F191+F206</f>
        <v>2261217065.9400001</v>
      </c>
      <c r="G214" s="65">
        <f>G14+G19+G53+G66+G112+G121+G137+G151+G191+G206</f>
        <v>1938377486.5799999</v>
      </c>
      <c r="H214" s="66">
        <f>G214/F214</f>
        <v>0.85722751511881323</v>
      </c>
      <c r="I214" s="65">
        <f>I14+I19+I53+I66+I112+I121+I137+I151+I191+I206</f>
        <v>1205888086.3299999</v>
      </c>
      <c r="J214" s="65">
        <f>J14+J19+J53+J66+J112+J121+J137+J151+J191+J206</f>
        <v>329545206.92999995</v>
      </c>
      <c r="K214" s="66">
        <f>J214/I214</f>
        <v>0.27328009179768736</v>
      </c>
      <c r="L214" s="65" t="e">
        <f>#REF!+#REF!+#REF!+#REF!+#REF!+#REF!++L129+L138+L202+L161+L182+L194+L146+#REF!+#REF!</f>
        <v>#REF!</v>
      </c>
      <c r="M214" s="65" t="e">
        <f>#REF!+#REF!+#REF!+#REF!+#REF!+#REF!++M129+M138+M202+M161+M182+M194+M146+#REF!+#REF!</f>
        <v>#REF!</v>
      </c>
      <c r="N214" s="65">
        <f>N14+N19+N53+N66+N112+N121+N137+N151+N191+N206</f>
        <v>2267922693.5100002</v>
      </c>
      <c r="O214" s="53" t="b">
        <f>N214=J214+G214</f>
        <v>1</v>
      </c>
      <c r="P214" s="51"/>
    </row>
    <row r="215" spans="1:27" s="38" customFormat="1" ht="62.25" thickTop="1" thickBot="1" x14ac:dyDescent="0.25">
      <c r="A215" s="78"/>
      <c r="B215" s="101" t="s">
        <v>47</v>
      </c>
      <c r="C215" s="106"/>
      <c r="D215" s="111" t="s">
        <v>441</v>
      </c>
      <c r="E215" s="143">
        <f t="shared" ref="E215:G216" si="107">E216</f>
        <v>390000</v>
      </c>
      <c r="F215" s="143">
        <f t="shared" si="107"/>
        <v>0</v>
      </c>
      <c r="G215" s="143">
        <f t="shared" si="107"/>
        <v>0</v>
      </c>
      <c r="H215" s="141">
        <v>0</v>
      </c>
      <c r="I215" s="143">
        <f>I216</f>
        <v>1013222.5</v>
      </c>
      <c r="J215" s="143">
        <f>J216</f>
        <v>-40668.9</v>
      </c>
      <c r="K215" s="141"/>
      <c r="L215" s="143"/>
      <c r="M215" s="143"/>
      <c r="N215" s="131">
        <f t="shared" ref="N215:N220" si="108">G215+J215</f>
        <v>-40668.9</v>
      </c>
      <c r="O215" s="203" t="s">
        <v>433</v>
      </c>
      <c r="P215" s="204"/>
    </row>
    <row r="216" spans="1:27" s="38" customFormat="1" ht="62.25" thickTop="1" thickBot="1" x14ac:dyDescent="0.25">
      <c r="A216" s="78"/>
      <c r="B216" s="100" t="s">
        <v>439</v>
      </c>
      <c r="C216" s="106"/>
      <c r="D216" s="112" t="s">
        <v>442</v>
      </c>
      <c r="E216" s="142">
        <f t="shared" si="107"/>
        <v>390000</v>
      </c>
      <c r="F216" s="142">
        <f t="shared" si="107"/>
        <v>0</v>
      </c>
      <c r="G216" s="142">
        <f t="shared" si="107"/>
        <v>0</v>
      </c>
      <c r="H216" s="139">
        <v>0</v>
      </c>
      <c r="I216" s="142">
        <f>I217+I220</f>
        <v>1013222.5</v>
      </c>
      <c r="J216" s="142">
        <f>J217+J220</f>
        <v>-40668.9</v>
      </c>
      <c r="K216" s="139"/>
      <c r="L216" s="142"/>
      <c r="M216" s="142"/>
      <c r="N216" s="130">
        <f t="shared" si="108"/>
        <v>-40668.9</v>
      </c>
      <c r="O216" s="203" t="s">
        <v>433</v>
      </c>
      <c r="P216" s="204"/>
    </row>
    <row r="217" spans="1:27" s="38" customFormat="1" ht="184.5" thickTop="1" thickBot="1" x14ac:dyDescent="0.25">
      <c r="A217" s="60"/>
      <c r="B217" s="89" t="s">
        <v>440</v>
      </c>
      <c r="C217" s="106"/>
      <c r="D217" s="107" t="s">
        <v>443</v>
      </c>
      <c r="E217" s="124">
        <f>E218+E219</f>
        <v>390000</v>
      </c>
      <c r="F217" s="124">
        <f>F218+F219</f>
        <v>0</v>
      </c>
      <c r="G217" s="124">
        <f>G218+G219</f>
        <v>0</v>
      </c>
      <c r="H217" s="123">
        <v>0</v>
      </c>
      <c r="I217" s="124">
        <f>I218+I219</f>
        <v>0</v>
      </c>
      <c r="J217" s="124">
        <f>J218+J219</f>
        <v>-40668.9</v>
      </c>
      <c r="K217" s="117"/>
      <c r="L217" s="124"/>
      <c r="M217" s="124"/>
      <c r="N217" s="121">
        <f t="shared" si="108"/>
        <v>-40668.9</v>
      </c>
      <c r="O217" s="203" t="s">
        <v>433</v>
      </c>
      <c r="P217" s="204"/>
    </row>
    <row r="218" spans="1:27" s="38" customFormat="1" ht="184.5" customHeight="1" thickTop="1" thickBot="1" x14ac:dyDescent="0.25">
      <c r="A218" s="60"/>
      <c r="B218" s="108" t="s">
        <v>437</v>
      </c>
      <c r="C218" s="108" t="s">
        <v>88</v>
      </c>
      <c r="D218" s="109" t="s">
        <v>444</v>
      </c>
      <c r="E218" s="122">
        <v>390000</v>
      </c>
      <c r="F218" s="122">
        <v>0</v>
      </c>
      <c r="G218" s="122">
        <v>0</v>
      </c>
      <c r="H218" s="117">
        <v>0</v>
      </c>
      <c r="I218" s="122">
        <v>260000</v>
      </c>
      <c r="J218" s="122">
        <v>0</v>
      </c>
      <c r="K218" s="117">
        <f>J218/I218</f>
        <v>0</v>
      </c>
      <c r="L218" s="143"/>
      <c r="M218" s="143"/>
      <c r="N218" s="120">
        <f>G218+J218</f>
        <v>0</v>
      </c>
      <c r="O218" s="203" t="s">
        <v>433</v>
      </c>
      <c r="P218" s="204"/>
    </row>
    <row r="219" spans="1:27" s="38" customFormat="1" ht="184.5" thickTop="1" thickBot="1" x14ac:dyDescent="1.2">
      <c r="A219" s="60"/>
      <c r="B219" s="108" t="s">
        <v>438</v>
      </c>
      <c r="C219" s="108" t="s">
        <v>88</v>
      </c>
      <c r="D219" s="109" t="s">
        <v>445</v>
      </c>
      <c r="E219" s="143"/>
      <c r="F219" s="143"/>
      <c r="G219" s="143"/>
      <c r="H219" s="139"/>
      <c r="I219" s="122">
        <v>-260000</v>
      </c>
      <c r="J219" s="122">
        <v>-40668.9</v>
      </c>
      <c r="K219" s="117">
        <f>J219/I219</f>
        <v>0.15641884615384616</v>
      </c>
      <c r="L219" s="143"/>
      <c r="M219" s="143"/>
      <c r="N219" s="120">
        <f t="shared" si="108"/>
        <v>-40668.9</v>
      </c>
      <c r="O219" s="110"/>
      <c r="P219" s="51"/>
      <c r="AA219" s="56"/>
    </row>
    <row r="220" spans="1:27" s="38" customFormat="1" ht="138.75" thickTop="1" thickBot="1" x14ac:dyDescent="1.2">
      <c r="A220" s="60"/>
      <c r="B220" s="108" t="s">
        <v>559</v>
      </c>
      <c r="C220" s="106"/>
      <c r="D220" s="107" t="s">
        <v>556</v>
      </c>
      <c r="E220" s="124">
        <f>E221</f>
        <v>0</v>
      </c>
      <c r="F220" s="124">
        <f t="shared" ref="F220:G220" si="109">F221</f>
        <v>0</v>
      </c>
      <c r="G220" s="124">
        <f t="shared" si="109"/>
        <v>0</v>
      </c>
      <c r="H220" s="123">
        <v>0</v>
      </c>
      <c r="I220" s="124">
        <f t="shared" ref="I220" si="110">I221</f>
        <v>1013222.5</v>
      </c>
      <c r="J220" s="124">
        <f t="shared" ref="J220" si="111">J221</f>
        <v>0</v>
      </c>
      <c r="K220" s="123">
        <f>J220/I220</f>
        <v>0</v>
      </c>
      <c r="L220" s="124"/>
      <c r="M220" s="124"/>
      <c r="N220" s="121">
        <f t="shared" si="108"/>
        <v>0</v>
      </c>
      <c r="O220" s="203" t="s">
        <v>433</v>
      </c>
      <c r="P220" s="204"/>
      <c r="AA220" s="56"/>
    </row>
    <row r="221" spans="1:27" s="38" customFormat="1" ht="138.75" thickTop="1" thickBot="1" x14ac:dyDescent="1.2">
      <c r="A221" s="60"/>
      <c r="B221" s="108" t="s">
        <v>558</v>
      </c>
      <c r="C221" s="108" t="s">
        <v>39</v>
      </c>
      <c r="D221" s="109" t="s">
        <v>557</v>
      </c>
      <c r="E221" s="143"/>
      <c r="F221" s="143"/>
      <c r="G221" s="143"/>
      <c r="H221" s="139"/>
      <c r="I221" s="122">
        <v>1013222.5</v>
      </c>
      <c r="J221" s="122">
        <v>0</v>
      </c>
      <c r="K221" s="123">
        <f>J221/I221</f>
        <v>0</v>
      </c>
      <c r="L221" s="143"/>
      <c r="M221" s="143"/>
      <c r="N221" s="120">
        <f>G221+J221</f>
        <v>0</v>
      </c>
      <c r="O221" s="110"/>
      <c r="P221" s="51"/>
      <c r="AA221" s="56"/>
    </row>
    <row r="222" spans="1:27" s="38" customFormat="1" ht="119.25" customHeight="1" thickTop="1" thickBot="1" x14ac:dyDescent="0.25">
      <c r="A222" s="60"/>
      <c r="B222" s="63" t="s">
        <v>427</v>
      </c>
      <c r="C222" s="63" t="s">
        <v>427</v>
      </c>
      <c r="D222" s="64" t="s">
        <v>428</v>
      </c>
      <c r="E222" s="65">
        <f>E214+E215</f>
        <v>4033608208.7999992</v>
      </c>
      <c r="F222" s="65">
        <f>F214+F215</f>
        <v>2261217065.9400001</v>
      </c>
      <c r="G222" s="65">
        <f>G214+G215</f>
        <v>1938377486.5799999</v>
      </c>
      <c r="H222" s="66">
        <f>G222/F222</f>
        <v>0.85722751511881323</v>
      </c>
      <c r="I222" s="65">
        <f>I214+I215</f>
        <v>1206901308.8299999</v>
      </c>
      <c r="J222" s="65">
        <f>J214+J215</f>
        <v>329504538.02999997</v>
      </c>
      <c r="K222" s="66">
        <f>J222/I222</f>
        <v>0.27301696967205202</v>
      </c>
      <c r="L222" s="65" t="e">
        <f>#REF!+#REF!+#REF!+#REF!+#REF!+#REF!++L136+L144+L208+L174+L188+#REF!+L154+#REF!+#REF!</f>
        <v>#REF!</v>
      </c>
      <c r="M222" s="65" t="e">
        <f>#REF!+#REF!+#REF!+#REF!+#REF!+#REF!++M136+M144+M208+M174+M188+#REF!+M154+#REF!+#REF!</f>
        <v>#REF!</v>
      </c>
      <c r="N222" s="65">
        <f>N214+N215</f>
        <v>2267882024.6100001</v>
      </c>
      <c r="O222" s="53" t="b">
        <f>N222=J222+G222</f>
        <v>1</v>
      </c>
      <c r="P222" s="51"/>
      <c r="S222" s="65">
        <f>N222/(I222+E222)*100</f>
        <v>43.275983317661094</v>
      </c>
      <c r="T222" s="65">
        <f>G222/E222*100</f>
        <v>48.055670909016428</v>
      </c>
    </row>
    <row r="223" spans="1:27" ht="46.5" thickTop="1" x14ac:dyDescent="0.2">
      <c r="A223" s="199" t="s">
        <v>535</v>
      </c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  <c r="O223" s="40"/>
    </row>
    <row r="224" spans="1:27" ht="45.75" x14ac:dyDescent="0.65">
      <c r="A224" s="41"/>
      <c r="B224" s="42"/>
      <c r="C224" s="42"/>
      <c r="D224" s="43" t="s">
        <v>560</v>
      </c>
      <c r="E224" s="67"/>
      <c r="F224" s="67"/>
      <c r="G224" s="43"/>
      <c r="H224" s="45"/>
      <c r="I224" s="43" t="s">
        <v>561</v>
      </c>
      <c r="J224" s="45"/>
      <c r="K224" s="45"/>
      <c r="L224" s="45"/>
      <c r="M224" s="45"/>
      <c r="N224" s="45"/>
      <c r="O224" s="40"/>
    </row>
    <row r="225" spans="1:15" ht="45.75" x14ac:dyDescent="0.65">
      <c r="A225" s="61"/>
      <c r="B225" s="62"/>
      <c r="C225" s="62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40"/>
    </row>
    <row r="226" spans="1:15" ht="45.75" x14ac:dyDescent="0.65">
      <c r="A226" s="41"/>
      <c r="B226" s="42"/>
      <c r="C226" s="42"/>
      <c r="D226" s="43" t="s">
        <v>562</v>
      </c>
      <c r="E226" s="44"/>
      <c r="F226" s="44"/>
      <c r="G226" s="43"/>
      <c r="H226" s="45"/>
      <c r="I226" s="43" t="s">
        <v>563</v>
      </c>
      <c r="J226" s="45"/>
      <c r="K226" s="45"/>
      <c r="L226" s="45"/>
      <c r="M226" s="45"/>
      <c r="N226" s="45"/>
      <c r="O226" s="40"/>
    </row>
    <row r="227" spans="1:15" ht="45.75" x14ac:dyDescent="0.65">
      <c r="A227" s="2"/>
      <c r="B227" s="2"/>
      <c r="C227" s="2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  <c r="O227" s="46"/>
    </row>
    <row r="244" spans="5:9" ht="47.25" hidden="1" thickTop="1" thickBot="1" x14ac:dyDescent="0.25">
      <c r="E244" s="55">
        <f>E214-E206-E204</f>
        <v>3626536225.8799992</v>
      </c>
      <c r="F244" s="55">
        <f>F214-F206-F204</f>
        <v>2040915507.6100001</v>
      </c>
      <c r="I244" s="55">
        <f>I214-I206-I204</f>
        <v>1123136976.8699999</v>
      </c>
    </row>
    <row r="253" spans="5:9" ht="312" customHeight="1" x14ac:dyDescent="0.2"/>
    <row r="254" spans="5:9" ht="183" customHeight="1" x14ac:dyDescent="0.2"/>
    <row r="255" spans="5:9" ht="228" customHeight="1" x14ac:dyDescent="0.2"/>
    <row r="256" spans="5:9" ht="294" customHeight="1" x14ac:dyDescent="0.2"/>
    <row r="257" ht="258" customHeight="1" x14ac:dyDescent="0.2"/>
    <row r="258" ht="180" customHeight="1" x14ac:dyDescent="0.2"/>
    <row r="259" ht="249" customHeight="1" x14ac:dyDescent="0.2"/>
  </sheetData>
  <mergeCells count="106">
    <mergeCell ref="O220:P220"/>
    <mergeCell ref="O218:P218"/>
    <mergeCell ref="O217:P217"/>
    <mergeCell ref="O216:P216"/>
    <mergeCell ref="O215:P215"/>
    <mergeCell ref="O193:P193"/>
    <mergeCell ref="O205:P205"/>
    <mergeCell ref="O204:P204"/>
    <mergeCell ref="O195:P195"/>
    <mergeCell ref="O183:P183"/>
    <mergeCell ref="K188:K189"/>
    <mergeCell ref="O209:P209"/>
    <mergeCell ref="P206:Q206"/>
    <mergeCell ref="O192:P192"/>
    <mergeCell ref="O199:P199"/>
    <mergeCell ref="O201:P201"/>
    <mergeCell ref="O207:P207"/>
    <mergeCell ref="O154:P154"/>
    <mergeCell ref="O166:P166"/>
    <mergeCell ref="O203:P203"/>
    <mergeCell ref="O149:P149"/>
    <mergeCell ref="O150:P150"/>
    <mergeCell ref="O180:P180"/>
    <mergeCell ref="B188:B189"/>
    <mergeCell ref="I98:I101"/>
    <mergeCell ref="J98:J101"/>
    <mergeCell ref="C188:C189"/>
    <mergeCell ref="E188:E189"/>
    <mergeCell ref="F188:F189"/>
    <mergeCell ref="G188:G189"/>
    <mergeCell ref="H188:H189"/>
    <mergeCell ref="I188:I189"/>
    <mergeCell ref="J188:J189"/>
    <mergeCell ref="E105:E107"/>
    <mergeCell ref="I105:I107"/>
    <mergeCell ref="J105:J107"/>
    <mergeCell ref="K105:K107"/>
    <mergeCell ref="N105:N107"/>
    <mergeCell ref="F105:F107"/>
    <mergeCell ref="G105:G107"/>
    <mergeCell ref="F98:F101"/>
    <mergeCell ref="G98:G101"/>
    <mergeCell ref="K102:K104"/>
    <mergeCell ref="K98:K101"/>
    <mergeCell ref="D227:N227"/>
    <mergeCell ref="F11:F12"/>
    <mergeCell ref="G11:G12"/>
    <mergeCell ref="K11:K12"/>
    <mergeCell ref="L188:L189"/>
    <mergeCell ref="M188:M189"/>
    <mergeCell ref="N188:N189"/>
    <mergeCell ref="L28:L29"/>
    <mergeCell ref="M28:M29"/>
    <mergeCell ref="N28:N29"/>
    <mergeCell ref="G28:G29"/>
    <mergeCell ref="I28:I29"/>
    <mergeCell ref="J28:J29"/>
    <mergeCell ref="K28:K29"/>
    <mergeCell ref="A223:N223"/>
    <mergeCell ref="D225:N225"/>
    <mergeCell ref="A28:A29"/>
    <mergeCell ref="B28:B29"/>
    <mergeCell ref="C28:C29"/>
    <mergeCell ref="E28:E29"/>
    <mergeCell ref="F28:F29"/>
    <mergeCell ref="N98:N101"/>
    <mergeCell ref="F102:F104"/>
    <mergeCell ref="G102:G104"/>
    <mergeCell ref="I102:I104"/>
    <mergeCell ref="J102:J104"/>
    <mergeCell ref="N102:N104"/>
    <mergeCell ref="G95:G97"/>
    <mergeCell ref="I95:I97"/>
    <mergeCell ref="J95:J97"/>
    <mergeCell ref="N95:N97"/>
    <mergeCell ref="A5:N5"/>
    <mergeCell ref="A7:B7"/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B105:B107"/>
    <mergeCell ref="C105:C107"/>
    <mergeCell ref="E95:E97"/>
    <mergeCell ref="K95:K97"/>
    <mergeCell ref="F95:F97"/>
    <mergeCell ref="B95:B97"/>
    <mergeCell ref="C95:C97"/>
    <mergeCell ref="B98:B101"/>
    <mergeCell ref="C98:C101"/>
    <mergeCell ref="B102:B104"/>
    <mergeCell ref="C102:C104"/>
    <mergeCell ref="E98:E101"/>
    <mergeCell ref="E102:E104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Отрощенко Сергій Володимирович</cp:lastModifiedBy>
  <cp:lastPrinted>2023-08-04T10:59:15Z</cp:lastPrinted>
  <dcterms:created xsi:type="dcterms:W3CDTF">2021-05-18T12:47:38Z</dcterms:created>
  <dcterms:modified xsi:type="dcterms:W3CDTF">2023-08-15T08:46:04Z</dcterms:modified>
</cp:coreProperties>
</file>