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O:\BUDJET\2023\Звіт за 9 місяців 2023\"/>
    </mc:Choice>
  </mc:AlternateContent>
  <xr:revisionPtr revIDLastSave="0" documentId="13_ncr:1_{8F300CB6-9333-411A-91A7-8FF7EAB8C78A}" xr6:coauthVersionLast="47" xr6:coauthVersionMax="47" xr10:uidLastSave="{00000000-0000-0000-0000-000000000000}"/>
  <bookViews>
    <workbookView xWindow="-24120" yWindow="2670" windowWidth="24240" windowHeight="13020" xr2:uid="{00000000-000D-0000-FFFF-FFFF00000000}"/>
  </bookViews>
  <sheets>
    <sheet name="d2" sheetId="1" r:id="rId1"/>
  </sheets>
  <definedNames>
    <definedName name="_xlnm.Print_Titles" localSheetId="0">'d2'!$10:$13</definedName>
    <definedName name="_xlnm.Print_Area" localSheetId="0">'d2'!$B$1:$N$230</definedName>
    <definedName name="С1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4" i="1" l="1"/>
  <c r="J214" i="1"/>
  <c r="K203" i="1"/>
  <c r="K204" i="1"/>
  <c r="J200" i="1"/>
  <c r="I200" i="1"/>
  <c r="I190" i="1"/>
  <c r="I187" i="1"/>
  <c r="I185" i="1"/>
  <c r="K192" i="1"/>
  <c r="J190" i="1"/>
  <c r="J187" i="1"/>
  <c r="J185" i="1"/>
  <c r="K184" i="1"/>
  <c r="I159" i="1"/>
  <c r="J159" i="1"/>
  <c r="J157" i="1"/>
  <c r="I157" i="1"/>
  <c r="O138" i="1"/>
  <c r="I147" i="1"/>
  <c r="J147" i="1"/>
  <c r="J109" i="1"/>
  <c r="I109" i="1"/>
  <c r="K55" i="1" l="1"/>
  <c r="K57" i="1"/>
  <c r="K58" i="1"/>
  <c r="K60" i="1"/>
  <c r="K61" i="1"/>
  <c r="K64" i="1"/>
  <c r="K65" i="1"/>
  <c r="K54" i="1"/>
  <c r="J60" i="1"/>
  <c r="I60" i="1"/>
  <c r="E60" i="1"/>
  <c r="O19" i="1" l="1"/>
  <c r="J51" i="1"/>
  <c r="K51" i="1" s="1"/>
  <c r="I51" i="1"/>
  <c r="G51" i="1"/>
  <c r="F51" i="1"/>
  <c r="E51" i="1"/>
  <c r="N52" i="1"/>
  <c r="K52" i="1"/>
  <c r="N42" i="1"/>
  <c r="K42" i="1"/>
  <c r="J16" i="1"/>
  <c r="I18" i="1"/>
  <c r="J18" i="1"/>
  <c r="N51" i="1" l="1"/>
  <c r="I16" i="1"/>
  <c r="G214" i="1"/>
  <c r="E214" i="1"/>
  <c r="G204" i="1"/>
  <c r="E204" i="1"/>
  <c r="E200" i="1"/>
  <c r="G200" i="1"/>
  <c r="E192" i="1" l="1"/>
  <c r="G192" i="1"/>
  <c r="G185" i="1"/>
  <c r="E185" i="1"/>
  <c r="E172" i="1"/>
  <c r="G170" i="1" l="1"/>
  <c r="E152" i="1"/>
  <c r="G152" i="1"/>
  <c r="E147" i="1"/>
  <c r="G147" i="1"/>
  <c r="G146" i="1"/>
  <c r="E146" i="1"/>
  <c r="H144" i="1"/>
  <c r="N144" i="1"/>
  <c r="E109" i="1" l="1"/>
  <c r="G109" i="1"/>
  <c r="H86" i="1"/>
  <c r="N86" i="1"/>
  <c r="F64" i="1"/>
  <c r="G18" i="1" l="1"/>
  <c r="E18" i="1"/>
  <c r="E17" i="1"/>
  <c r="G17" i="1"/>
  <c r="E16" i="1"/>
  <c r="G16" i="1"/>
  <c r="N223" i="1" l="1"/>
  <c r="J222" i="1"/>
  <c r="I222" i="1"/>
  <c r="G222" i="1"/>
  <c r="F222" i="1"/>
  <c r="E222" i="1"/>
  <c r="N222" i="1" l="1"/>
  <c r="K225" i="1"/>
  <c r="N225" i="1"/>
  <c r="J224" i="1"/>
  <c r="I224" i="1"/>
  <c r="G224" i="1"/>
  <c r="F224" i="1"/>
  <c r="E224" i="1"/>
  <c r="K224" i="1" l="1"/>
  <c r="N224" i="1"/>
  <c r="K199" i="1" l="1"/>
  <c r="K81" i="1"/>
  <c r="N53" i="1"/>
  <c r="K53" i="1"/>
  <c r="N215" i="1" l="1"/>
  <c r="H215" i="1"/>
  <c r="H205" i="1" l="1"/>
  <c r="H171" i="1" l="1"/>
  <c r="H168" i="1"/>
  <c r="G131" i="1"/>
  <c r="F131" i="1"/>
  <c r="E131" i="1"/>
  <c r="H133" i="1"/>
  <c r="N133" i="1"/>
  <c r="H114" i="1" l="1"/>
  <c r="H75" i="1"/>
  <c r="K221" i="1" l="1"/>
  <c r="K220" i="1"/>
  <c r="H214" i="1"/>
  <c r="H213" i="1"/>
  <c r="H212" i="1"/>
  <c r="H210" i="1"/>
  <c r="H204" i="1"/>
  <c r="H200" i="1"/>
  <c r="H199" i="1"/>
  <c r="H198" i="1"/>
  <c r="H196" i="1"/>
  <c r="H195" i="1"/>
  <c r="K195" i="1"/>
  <c r="I158" i="1" l="1"/>
  <c r="H192" i="1"/>
  <c r="H188" i="1"/>
  <c r="H185" i="1"/>
  <c r="H184" i="1"/>
  <c r="H183" i="1"/>
  <c r="H181" i="1"/>
  <c r="H179" i="1"/>
  <c r="H178" i="1"/>
  <c r="H176" i="1"/>
  <c r="H174" i="1"/>
  <c r="H173" i="1"/>
  <c r="H155" i="1"/>
  <c r="H152" i="1" l="1"/>
  <c r="H150" i="1"/>
  <c r="H147" i="1"/>
  <c r="H146" i="1"/>
  <c r="H142" i="1"/>
  <c r="H141" i="1"/>
  <c r="H140" i="1"/>
  <c r="H137" i="1"/>
  <c r="H136" i="1"/>
  <c r="H135" i="1"/>
  <c r="H130" i="1"/>
  <c r="H129" i="1"/>
  <c r="H127" i="1"/>
  <c r="H125" i="1"/>
  <c r="H124" i="1"/>
  <c r="H121" i="1"/>
  <c r="H120" i="1"/>
  <c r="H118" i="1"/>
  <c r="H117" i="1"/>
  <c r="H116" i="1"/>
  <c r="H115" i="1"/>
  <c r="H112" i="1" l="1"/>
  <c r="H111" i="1"/>
  <c r="H109" i="1"/>
  <c r="H94" i="1"/>
  <c r="H92" i="1"/>
  <c r="H90" i="1"/>
  <c r="H89" i="1"/>
  <c r="H87" i="1"/>
  <c r="H85" i="1"/>
  <c r="H84" i="1"/>
  <c r="H82" i="1"/>
  <c r="H81" i="1"/>
  <c r="H79" i="1"/>
  <c r="H78" i="1"/>
  <c r="H76" i="1"/>
  <c r="H74" i="1"/>
  <c r="F68" i="1"/>
  <c r="H73" i="1"/>
  <c r="H72" i="1"/>
  <c r="H71" i="1"/>
  <c r="H70" i="1"/>
  <c r="H69" i="1"/>
  <c r="K109" i="1" l="1"/>
  <c r="H66" i="1"/>
  <c r="H65" i="1"/>
  <c r="H61" i="1"/>
  <c r="H58" i="1"/>
  <c r="H57" i="1"/>
  <c r="H56" i="1"/>
  <c r="E64" i="1"/>
  <c r="H55" i="1"/>
  <c r="H46" i="1"/>
  <c r="H45" i="1"/>
  <c r="H44" i="1"/>
  <c r="H42" i="1"/>
  <c r="H41" i="1"/>
  <c r="H40" i="1"/>
  <c r="H38" i="1"/>
  <c r="H37" i="1"/>
  <c r="H35" i="1"/>
  <c r="E14" i="1"/>
  <c r="F14" i="1"/>
  <c r="G14" i="1"/>
  <c r="I14" i="1"/>
  <c r="J14" i="1"/>
  <c r="H34" i="1"/>
  <c r="H32" i="1"/>
  <c r="H31" i="1"/>
  <c r="H30" i="1"/>
  <c r="H29" i="1"/>
  <c r="H27" i="1"/>
  <c r="H26" i="1"/>
  <c r="H24" i="1"/>
  <c r="H23" i="1"/>
  <c r="H22" i="1"/>
  <c r="G48" i="1"/>
  <c r="K40" i="1"/>
  <c r="H20" i="1"/>
  <c r="H18" i="1"/>
  <c r="H17" i="1"/>
  <c r="H16" i="1"/>
  <c r="K14" i="1" l="1"/>
  <c r="H14" i="1"/>
  <c r="K15" i="1"/>
  <c r="H15" i="1" l="1"/>
  <c r="I93" i="1" l="1"/>
  <c r="J93" i="1"/>
  <c r="N24" i="1"/>
  <c r="K24" i="1"/>
  <c r="F219" i="1" l="1"/>
  <c r="F218" i="1" s="1"/>
  <c r="F217" i="1" s="1"/>
  <c r="F211" i="1"/>
  <c r="F209" i="1"/>
  <c r="F206" i="1"/>
  <c r="F203" i="1"/>
  <c r="F201" i="1"/>
  <c r="F197" i="1"/>
  <c r="F194" i="1"/>
  <c r="F189" i="1"/>
  <c r="F182" i="1"/>
  <c r="F177" i="1"/>
  <c r="F175" i="1"/>
  <c r="F172" i="1"/>
  <c r="F170" i="1"/>
  <c r="F166" i="1"/>
  <c r="F156" i="1"/>
  <c r="F154" i="1"/>
  <c r="F148" i="1"/>
  <c r="F139" i="1"/>
  <c r="F134" i="1"/>
  <c r="F128" i="1"/>
  <c r="F126" i="1"/>
  <c r="F123" i="1"/>
  <c r="F119" i="1"/>
  <c r="F113" i="1" s="1"/>
  <c r="F110" i="1"/>
  <c r="F95" i="1"/>
  <c r="F93" i="1"/>
  <c r="F91" i="1"/>
  <c r="F88" i="1"/>
  <c r="F83" i="1"/>
  <c r="F80" i="1"/>
  <c r="F77" i="1"/>
  <c r="F62" i="1"/>
  <c r="F60" i="1"/>
  <c r="F48" i="1"/>
  <c r="F43" i="1"/>
  <c r="F39" i="1"/>
  <c r="F36" i="1"/>
  <c r="F33" i="1"/>
  <c r="F28" i="1"/>
  <c r="F25" i="1"/>
  <c r="F21" i="1"/>
  <c r="F180" i="1" l="1"/>
  <c r="F19" i="1"/>
  <c r="F138" i="1"/>
  <c r="F208" i="1"/>
  <c r="F169" i="1"/>
  <c r="F193" i="1"/>
  <c r="F67" i="1"/>
  <c r="F54" i="1"/>
  <c r="F122" i="1"/>
  <c r="F153" i="1" l="1"/>
  <c r="F216" i="1"/>
  <c r="F248" i="1" s="1"/>
  <c r="N220" i="1"/>
  <c r="K196" i="1"/>
  <c r="K137" i="1"/>
  <c r="N94" i="1"/>
  <c r="K93" i="1"/>
  <c r="K94" i="1"/>
  <c r="F226" i="1" l="1"/>
  <c r="K18" i="1"/>
  <c r="N199" i="1" l="1"/>
  <c r="G197" i="1"/>
  <c r="H197" i="1" s="1"/>
  <c r="J197" i="1"/>
  <c r="I197" i="1"/>
  <c r="E197" i="1"/>
  <c r="N198" i="1" l="1"/>
  <c r="N168" i="1" l="1"/>
  <c r="G154" i="1"/>
  <c r="H154" i="1" s="1"/>
  <c r="E154" i="1"/>
  <c r="I154" i="1"/>
  <c r="N118" i="1" l="1"/>
  <c r="N109" i="1"/>
  <c r="N75" i="1"/>
  <c r="K200" i="1" l="1"/>
  <c r="J175" i="1"/>
  <c r="N137" i="1"/>
  <c r="G60" i="1" l="1"/>
  <c r="H60" i="1" s="1"/>
  <c r="N15" i="1" l="1"/>
  <c r="N16" i="1"/>
  <c r="N17" i="1"/>
  <c r="N18" i="1"/>
  <c r="K20" i="1"/>
  <c r="N20" i="1"/>
  <c r="E21" i="1"/>
  <c r="G21" i="1"/>
  <c r="I21" i="1"/>
  <c r="J21" i="1"/>
  <c r="K22" i="1"/>
  <c r="N22" i="1"/>
  <c r="K23" i="1"/>
  <c r="N23" i="1"/>
  <c r="E25" i="1"/>
  <c r="G25" i="1"/>
  <c r="I25" i="1"/>
  <c r="J25" i="1"/>
  <c r="N26" i="1"/>
  <c r="N27" i="1"/>
  <c r="E28" i="1"/>
  <c r="G28" i="1"/>
  <c r="H28" i="1" s="1"/>
  <c r="I28" i="1"/>
  <c r="J28" i="1"/>
  <c r="K30" i="1"/>
  <c r="N30" i="1"/>
  <c r="K31" i="1"/>
  <c r="N31" i="1"/>
  <c r="K32" i="1"/>
  <c r="N32" i="1"/>
  <c r="E33" i="1"/>
  <c r="G33" i="1"/>
  <c r="H33" i="1" s="1"/>
  <c r="I33" i="1"/>
  <c r="J33" i="1"/>
  <c r="K34" i="1"/>
  <c r="N34" i="1"/>
  <c r="N35" i="1"/>
  <c r="E36" i="1"/>
  <c r="G36" i="1"/>
  <c r="H36" i="1" s="1"/>
  <c r="I36" i="1"/>
  <c r="J36" i="1"/>
  <c r="K37" i="1"/>
  <c r="N37" i="1"/>
  <c r="N38" i="1"/>
  <c r="E39" i="1"/>
  <c r="G39" i="1"/>
  <c r="H39" i="1" s="1"/>
  <c r="I39" i="1"/>
  <c r="J39" i="1"/>
  <c r="K39" i="1" s="1"/>
  <c r="N40" i="1"/>
  <c r="N41" i="1"/>
  <c r="E43" i="1"/>
  <c r="G43" i="1"/>
  <c r="H43" i="1" s="1"/>
  <c r="I43" i="1"/>
  <c r="J43" i="1"/>
  <c r="K44" i="1"/>
  <c r="N44" i="1"/>
  <c r="K45" i="1"/>
  <c r="N45" i="1"/>
  <c r="N46" i="1"/>
  <c r="K47" i="1"/>
  <c r="N47" i="1"/>
  <c r="E48" i="1"/>
  <c r="I48" i="1"/>
  <c r="J48" i="1"/>
  <c r="N48" i="1" s="1"/>
  <c r="K49" i="1"/>
  <c r="N49" i="1"/>
  <c r="K50" i="1"/>
  <c r="N50" i="1"/>
  <c r="N55" i="1"/>
  <c r="N56" i="1"/>
  <c r="N57" i="1"/>
  <c r="N58" i="1"/>
  <c r="K59" i="1"/>
  <c r="N59" i="1"/>
  <c r="N60" i="1"/>
  <c r="N61" i="1"/>
  <c r="E62" i="1"/>
  <c r="G62" i="1"/>
  <c r="N63" i="1"/>
  <c r="G64" i="1"/>
  <c r="H64" i="1" s="1"/>
  <c r="I64" i="1"/>
  <c r="I54" i="1" s="1"/>
  <c r="J64" i="1"/>
  <c r="N65" i="1"/>
  <c r="N66" i="1"/>
  <c r="E68" i="1"/>
  <c r="G68" i="1"/>
  <c r="H68" i="1" s="1"/>
  <c r="I68" i="1"/>
  <c r="J68" i="1"/>
  <c r="K69" i="1"/>
  <c r="N69" i="1"/>
  <c r="N70" i="1"/>
  <c r="N71" i="1"/>
  <c r="N72" i="1"/>
  <c r="N73" i="1"/>
  <c r="N74" i="1"/>
  <c r="N76" i="1"/>
  <c r="E77" i="1"/>
  <c r="G77" i="1"/>
  <c r="H77" i="1" s="1"/>
  <c r="I77" i="1"/>
  <c r="J77" i="1"/>
  <c r="K78" i="1"/>
  <c r="N78" i="1"/>
  <c r="K79" i="1"/>
  <c r="N79" i="1"/>
  <c r="E80" i="1"/>
  <c r="G80" i="1"/>
  <c r="H80" i="1" s="1"/>
  <c r="I80" i="1"/>
  <c r="J80" i="1"/>
  <c r="N81" i="1"/>
  <c r="K82" i="1"/>
  <c r="N82" i="1"/>
  <c r="E83" i="1"/>
  <c r="G83" i="1"/>
  <c r="H83" i="1" s="1"/>
  <c r="I83" i="1"/>
  <c r="J83" i="1"/>
  <c r="K84" i="1"/>
  <c r="N84" i="1"/>
  <c r="K85" i="1"/>
  <c r="N85" i="1"/>
  <c r="N87" i="1"/>
  <c r="E88" i="1"/>
  <c r="G88" i="1"/>
  <c r="N89" i="1"/>
  <c r="N90" i="1"/>
  <c r="E91" i="1"/>
  <c r="G91" i="1"/>
  <c r="H91" i="1" s="1"/>
  <c r="N92" i="1"/>
  <c r="E93" i="1"/>
  <c r="G93" i="1"/>
  <c r="E95" i="1"/>
  <c r="G95" i="1"/>
  <c r="I95" i="1"/>
  <c r="J95" i="1"/>
  <c r="K96" i="1"/>
  <c r="N96" i="1"/>
  <c r="K99" i="1"/>
  <c r="N99" i="1"/>
  <c r="K103" i="1"/>
  <c r="N103" i="1"/>
  <c r="K106" i="1"/>
  <c r="N106" i="1"/>
  <c r="E110" i="1"/>
  <c r="G110" i="1"/>
  <c r="H110" i="1" s="1"/>
  <c r="I110" i="1"/>
  <c r="J110" i="1"/>
  <c r="K111" i="1"/>
  <c r="N111" i="1"/>
  <c r="K112" i="1"/>
  <c r="N112" i="1"/>
  <c r="N114" i="1"/>
  <c r="K115" i="1"/>
  <c r="N115" i="1"/>
  <c r="K116" i="1"/>
  <c r="N116" i="1"/>
  <c r="K117" i="1"/>
  <c r="N117" i="1"/>
  <c r="E119" i="1"/>
  <c r="E113" i="1" s="1"/>
  <c r="G119" i="1"/>
  <c r="I119" i="1"/>
  <c r="I113" i="1" s="1"/>
  <c r="J119" i="1"/>
  <c r="K120" i="1"/>
  <c r="N120" i="1"/>
  <c r="N121" i="1"/>
  <c r="E123" i="1"/>
  <c r="G123" i="1"/>
  <c r="N124" i="1"/>
  <c r="N125" i="1"/>
  <c r="E126" i="1"/>
  <c r="G126" i="1"/>
  <c r="H126" i="1" s="1"/>
  <c r="N127" i="1"/>
  <c r="E128" i="1"/>
  <c r="G128" i="1"/>
  <c r="H128" i="1" s="1"/>
  <c r="I128" i="1"/>
  <c r="J128" i="1"/>
  <c r="K129" i="1"/>
  <c r="N129" i="1"/>
  <c r="N130" i="1"/>
  <c r="I131" i="1"/>
  <c r="J131" i="1"/>
  <c r="K132" i="1"/>
  <c r="N132" i="1"/>
  <c r="E134" i="1"/>
  <c r="G134" i="1"/>
  <c r="H134" i="1" s="1"/>
  <c r="I134" i="1"/>
  <c r="J134" i="1"/>
  <c r="N135" i="1"/>
  <c r="N136" i="1"/>
  <c r="E139" i="1"/>
  <c r="G139" i="1"/>
  <c r="H139" i="1" s="1"/>
  <c r="I139" i="1"/>
  <c r="J139" i="1"/>
  <c r="K140" i="1"/>
  <c r="N140" i="1"/>
  <c r="N141" i="1"/>
  <c r="K142" i="1"/>
  <c r="N142" i="1"/>
  <c r="K143" i="1"/>
  <c r="N143" i="1"/>
  <c r="K145" i="1"/>
  <c r="N145" i="1"/>
  <c r="K147" i="1"/>
  <c r="N147" i="1"/>
  <c r="E148" i="1"/>
  <c r="G148" i="1"/>
  <c r="I148" i="1"/>
  <c r="J148" i="1"/>
  <c r="K149" i="1"/>
  <c r="N149" i="1"/>
  <c r="K150" i="1"/>
  <c r="N150" i="1"/>
  <c r="N151" i="1"/>
  <c r="N152" i="1"/>
  <c r="J154" i="1"/>
  <c r="K155" i="1"/>
  <c r="N155" i="1"/>
  <c r="K157" i="1"/>
  <c r="N157" i="1"/>
  <c r="J158" i="1"/>
  <c r="N159" i="1"/>
  <c r="K160" i="1"/>
  <c r="N160" i="1"/>
  <c r="N161" i="1"/>
  <c r="K162" i="1"/>
  <c r="N162" i="1"/>
  <c r="K163" i="1"/>
  <c r="N163" i="1"/>
  <c r="K164" i="1"/>
  <c r="N164" i="1"/>
  <c r="K165" i="1"/>
  <c r="N165" i="1"/>
  <c r="E166" i="1"/>
  <c r="E156" i="1" s="1"/>
  <c r="G166" i="1"/>
  <c r="G156" i="1" s="1"/>
  <c r="H156" i="1" s="1"/>
  <c r="I166" i="1"/>
  <c r="J166" i="1"/>
  <c r="K167" i="1"/>
  <c r="N167" i="1"/>
  <c r="E170" i="1"/>
  <c r="H170" i="1"/>
  <c r="I170" i="1"/>
  <c r="J170" i="1"/>
  <c r="N171" i="1"/>
  <c r="G172" i="1"/>
  <c r="N173" i="1"/>
  <c r="N174" i="1"/>
  <c r="E175" i="1"/>
  <c r="G175" i="1"/>
  <c r="H175" i="1" s="1"/>
  <c r="I175" i="1"/>
  <c r="K176" i="1"/>
  <c r="N176" i="1"/>
  <c r="E177" i="1"/>
  <c r="G177" i="1"/>
  <c r="H177" i="1" s="1"/>
  <c r="I177" i="1"/>
  <c r="J177" i="1"/>
  <c r="K178" i="1"/>
  <c r="N178" i="1"/>
  <c r="N179" i="1"/>
  <c r="N181" i="1"/>
  <c r="E182" i="1"/>
  <c r="G182" i="1"/>
  <c r="H182" i="1" s="1"/>
  <c r="I182" i="1"/>
  <c r="J182" i="1"/>
  <c r="N183" i="1"/>
  <c r="N184" i="1"/>
  <c r="K185" i="1"/>
  <c r="N185" i="1"/>
  <c r="K186" i="1"/>
  <c r="N186" i="1"/>
  <c r="N187" i="1"/>
  <c r="N188" i="1"/>
  <c r="I189" i="1"/>
  <c r="J189" i="1"/>
  <c r="E189" i="1"/>
  <c r="E194" i="1"/>
  <c r="G194" i="1"/>
  <c r="H194" i="1" s="1"/>
  <c r="I194" i="1"/>
  <c r="J194" i="1"/>
  <c r="N195" i="1"/>
  <c r="N196" i="1"/>
  <c r="K197" i="1"/>
  <c r="N200" i="1"/>
  <c r="E201" i="1"/>
  <c r="G201" i="1"/>
  <c r="I201" i="1"/>
  <c r="J201" i="1"/>
  <c r="K202" i="1"/>
  <c r="N202" i="1"/>
  <c r="E203" i="1"/>
  <c r="G203" i="1"/>
  <c r="H203" i="1" s="1"/>
  <c r="I203" i="1"/>
  <c r="J203" i="1"/>
  <c r="N204" i="1"/>
  <c r="N205" i="1"/>
  <c r="E206" i="1"/>
  <c r="G206" i="1"/>
  <c r="I206" i="1"/>
  <c r="J206" i="1"/>
  <c r="N207" i="1"/>
  <c r="E209" i="1"/>
  <c r="G209" i="1"/>
  <c r="I209" i="1"/>
  <c r="J209" i="1"/>
  <c r="N210" i="1"/>
  <c r="E211" i="1"/>
  <c r="G211" i="1"/>
  <c r="H211" i="1" s="1"/>
  <c r="I211" i="1"/>
  <c r="J211" i="1"/>
  <c r="N212" i="1"/>
  <c r="N213" i="1"/>
  <c r="K214" i="1"/>
  <c r="N214" i="1"/>
  <c r="L216" i="1"/>
  <c r="M216" i="1"/>
  <c r="E219" i="1"/>
  <c r="E218" i="1" s="1"/>
  <c r="E217" i="1" s="1"/>
  <c r="G219" i="1"/>
  <c r="G218" i="1" s="1"/>
  <c r="I219" i="1"/>
  <c r="I218" i="1" s="1"/>
  <c r="I217" i="1" s="1"/>
  <c r="J219" i="1"/>
  <c r="J218" i="1" s="1"/>
  <c r="N221" i="1"/>
  <c r="L226" i="1"/>
  <c r="M226" i="1"/>
  <c r="K134" i="1" l="1"/>
  <c r="I208" i="1"/>
  <c r="E208" i="1"/>
  <c r="H21" i="1"/>
  <c r="G19" i="1"/>
  <c r="H19" i="1" s="1"/>
  <c r="H209" i="1"/>
  <c r="G208" i="1"/>
  <c r="H208" i="1" s="1"/>
  <c r="K80" i="1"/>
  <c r="E19" i="1"/>
  <c r="J19" i="1"/>
  <c r="N206" i="1"/>
  <c r="J208" i="1"/>
  <c r="K177" i="1"/>
  <c r="E54" i="1"/>
  <c r="I19" i="1"/>
  <c r="K48" i="1"/>
  <c r="N93" i="1"/>
  <c r="H93" i="1"/>
  <c r="N88" i="1"/>
  <c r="H88" i="1"/>
  <c r="N25" i="1"/>
  <c r="H25" i="1"/>
  <c r="K194" i="1"/>
  <c r="N175" i="1"/>
  <c r="N172" i="1"/>
  <c r="H172" i="1"/>
  <c r="N123" i="1"/>
  <c r="H123" i="1"/>
  <c r="G113" i="1"/>
  <c r="H113" i="1" s="1"/>
  <c r="H119" i="1"/>
  <c r="N28" i="1"/>
  <c r="K83" i="1"/>
  <c r="N139" i="1"/>
  <c r="K95" i="1"/>
  <c r="N110" i="1"/>
  <c r="N64" i="1"/>
  <c r="G54" i="1"/>
  <c r="H54" i="1" s="1"/>
  <c r="K201" i="1"/>
  <c r="N194" i="1"/>
  <c r="I122" i="1"/>
  <c r="N95" i="1"/>
  <c r="N62" i="1"/>
  <c r="N219" i="1"/>
  <c r="J138" i="1"/>
  <c r="K139" i="1"/>
  <c r="K36" i="1"/>
  <c r="K21" i="1"/>
  <c r="N197" i="1"/>
  <c r="N134" i="1"/>
  <c r="N33" i="1"/>
  <c r="K175" i="1"/>
  <c r="I67" i="1"/>
  <c r="E193" i="1"/>
  <c r="K166" i="1"/>
  <c r="K131" i="1"/>
  <c r="E122" i="1"/>
  <c r="K110" i="1"/>
  <c r="N83" i="1"/>
  <c r="N80" i="1"/>
  <c r="N36" i="1"/>
  <c r="K28" i="1"/>
  <c r="J122" i="1"/>
  <c r="N209" i="1"/>
  <c r="N201" i="1"/>
  <c r="I193" i="1"/>
  <c r="N192" i="1"/>
  <c r="E180" i="1"/>
  <c r="G169" i="1"/>
  <c r="H169" i="1" s="1"/>
  <c r="K159" i="1"/>
  <c r="K154" i="1"/>
  <c r="I138" i="1"/>
  <c r="K16" i="1"/>
  <c r="N211" i="1"/>
  <c r="N203" i="1"/>
  <c r="N190" i="1"/>
  <c r="G189" i="1"/>
  <c r="H189" i="1" s="1"/>
  <c r="N182" i="1"/>
  <c r="E138" i="1"/>
  <c r="N146" i="1"/>
  <c r="G138" i="1"/>
  <c r="H138" i="1" s="1"/>
  <c r="N131" i="1"/>
  <c r="N128" i="1"/>
  <c r="K119" i="1"/>
  <c r="K77" i="1"/>
  <c r="I169" i="1"/>
  <c r="G217" i="1"/>
  <c r="I180" i="1"/>
  <c r="J169" i="1"/>
  <c r="E169" i="1"/>
  <c r="J156" i="1"/>
  <c r="N156" i="1" s="1"/>
  <c r="K128" i="1"/>
  <c r="K68" i="1"/>
  <c r="E67" i="1"/>
  <c r="K43" i="1"/>
  <c r="K33" i="1"/>
  <c r="K189" i="1"/>
  <c r="J217" i="1"/>
  <c r="N166" i="1"/>
  <c r="N39" i="1"/>
  <c r="J193" i="1"/>
  <c r="K190" i="1"/>
  <c r="N177" i="1"/>
  <c r="J67" i="1"/>
  <c r="J54" i="1"/>
  <c r="G193" i="1"/>
  <c r="H193" i="1" s="1"/>
  <c r="I156" i="1"/>
  <c r="G67" i="1"/>
  <c r="H67" i="1" s="1"/>
  <c r="J180" i="1"/>
  <c r="N170" i="1"/>
  <c r="N158" i="1"/>
  <c r="N154" i="1"/>
  <c r="N148" i="1"/>
  <c r="N126" i="1"/>
  <c r="G122" i="1"/>
  <c r="H122" i="1" s="1"/>
  <c r="N119" i="1"/>
  <c r="N91" i="1"/>
  <c r="N77" i="1"/>
  <c r="N68" i="1"/>
  <c r="N43" i="1"/>
  <c r="J113" i="1"/>
  <c r="K187" i="1"/>
  <c r="K158" i="1"/>
  <c r="K148" i="1"/>
  <c r="N21" i="1"/>
  <c r="K193" i="1" l="1"/>
  <c r="G180" i="1"/>
  <c r="H180" i="1" s="1"/>
  <c r="E153" i="1"/>
  <c r="E216" i="1" s="1"/>
  <c r="E226" i="1" s="1"/>
  <c r="N189" i="1"/>
  <c r="K180" i="1"/>
  <c r="K122" i="1"/>
  <c r="K138" i="1"/>
  <c r="N217" i="1"/>
  <c r="K169" i="1"/>
  <c r="K19" i="1"/>
  <c r="N138" i="1"/>
  <c r="N169" i="1"/>
  <c r="N218" i="1"/>
  <c r="I153" i="1"/>
  <c r="I216" i="1" s="1"/>
  <c r="K113" i="1"/>
  <c r="N113" i="1"/>
  <c r="O113" i="1" s="1"/>
  <c r="N208" i="1"/>
  <c r="O208" i="1" s="1"/>
  <c r="K208" i="1"/>
  <c r="N122" i="1"/>
  <c r="O122" i="1" s="1"/>
  <c r="N14" i="1"/>
  <c r="O14" i="1" s="1"/>
  <c r="N67" i="1"/>
  <c r="O67" i="1" s="1"/>
  <c r="K67" i="1"/>
  <c r="N19" i="1"/>
  <c r="K156" i="1"/>
  <c r="J153" i="1"/>
  <c r="J216" i="1" s="1"/>
  <c r="N54" i="1"/>
  <c r="O54" i="1" s="1"/>
  <c r="N193" i="1"/>
  <c r="O193" i="1" s="1"/>
  <c r="N180" i="1" l="1"/>
  <c r="I248" i="1"/>
  <c r="I226" i="1"/>
  <c r="G153" i="1"/>
  <c r="H153" i="1" s="1"/>
  <c r="E248" i="1"/>
  <c r="K153" i="1"/>
  <c r="K216" i="1"/>
  <c r="J226" i="1"/>
  <c r="N153" i="1" l="1"/>
  <c r="O153" i="1" s="1"/>
  <c r="G216" i="1"/>
  <c r="H216" i="1" s="1"/>
  <c r="K226" i="1"/>
  <c r="N216" i="1" l="1"/>
  <c r="N226" i="1" s="1"/>
  <c r="S226" i="1" s="1"/>
  <c r="G226" i="1"/>
  <c r="H226" i="1" s="1"/>
  <c r="O216" i="1" l="1"/>
  <c r="T226" i="1"/>
  <c r="O226" i="1"/>
</calcChain>
</file>

<file path=xl/sharedStrings.xml><?xml version="1.0" encoding="utf-8"?>
<sst xmlns="http://schemas.openxmlformats.org/spreadsheetml/2006/main" count="707" uniqueCount="573">
  <si>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</si>
  <si>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</si>
  <si>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</si>
  <si>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</si>
  <si>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</si>
  <si>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Загальний фонд</t>
  </si>
  <si>
    <t>Спеціальний фонд</t>
  </si>
  <si>
    <t>1</t>
  </si>
  <si>
    <t>2</t>
  </si>
  <si>
    <t>3</t>
  </si>
  <si>
    <t>4</t>
  </si>
  <si>
    <t>5</t>
  </si>
  <si>
    <t>6</t>
  </si>
  <si>
    <t>0210100</t>
  </si>
  <si>
    <t>0100</t>
  </si>
  <si>
    <t>Державне управління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</si>
  <si>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</si>
  <si>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</si>
  <si>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</si>
  <si>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</si>
  <si>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</si>
  <si>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</si>
  <si>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</si>
  <si>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</si>
  <si>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</si>
  <si>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</si>
  <si>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</si>
  <si>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</si>
  <si>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</si>
  <si>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</si>
  <si>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</si>
  <si>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7000</t>
  </si>
  <si>
    <t>7500</t>
  </si>
  <si>
    <t>Зв'язок, телекомунікації та інформатика</t>
  </si>
  <si>
    <t>7520</t>
  </si>
  <si>
    <t>Реалізація Національної програми інформатизації</t>
  </si>
  <si>
    <t>7600</t>
  </si>
  <si>
    <t>Інші програми та заходи, пов'язані з економічною діяльністю</t>
  </si>
  <si>
    <t>7680</t>
  </si>
  <si>
    <t>0490</t>
  </si>
  <si>
    <t>Членські внески до асоціацій органів місцевого самоврядування</t>
  </si>
  <si>
    <t>7690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</si>
  <si>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</si>
  <si>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</si>
  <si>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</si>
  <si>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7693</t>
  </si>
  <si>
    <t>Інші заходи, пов'язані з економічною діяльністю</t>
  </si>
  <si>
    <t>8000</t>
  </si>
  <si>
    <t>Інша діяльність</t>
  </si>
  <si>
    <t>8400</t>
  </si>
  <si>
    <t>Засоби масової інформації</t>
  </si>
  <si>
    <t>8410</t>
  </si>
  <si>
    <t>0830</t>
  </si>
  <si>
    <t>Фінансова підтримка засобів масової інформації</t>
  </si>
  <si>
    <t>9000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</si>
  <si>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</si>
  <si>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</si>
  <si>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</si>
  <si>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9710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</si>
  <si>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</si>
  <si>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</si>
  <si>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</si>
  <si>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</si>
  <si>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</si>
  <si>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0611000</t>
  </si>
  <si>
    <t>1000</t>
  </si>
  <si>
    <t>Освіта</t>
  </si>
  <si>
    <t>0611010</t>
  </si>
  <si>
    <t>1010</t>
  </si>
  <si>
    <t>0910</t>
  </si>
  <si>
    <t>Надання дошкільної освіти</t>
  </si>
  <si>
    <t>0611020</t>
  </si>
  <si>
    <t>1020</t>
  </si>
  <si>
    <t>Надання загальної середньої освіти за рахунок коштів місцевого бюджету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</si>
  <si>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</si>
  <si>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</si>
  <si>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</si>
  <si>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</si>
  <si>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</si>
  <si>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</si>
  <si>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</si>
  <si>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</si>
  <si>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</si>
  <si>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1030</t>
  </si>
  <si>
    <t>Надання загальної середньої освіти за рахунок освітньої субвенції</t>
  </si>
  <si>
    <t>0611031</t>
  </si>
  <si>
    <t>1031</t>
  </si>
  <si>
    <t>0611060</t>
  </si>
  <si>
    <t>1060</t>
  </si>
  <si>
    <t>0611061</t>
  </si>
  <si>
    <t>1061</t>
  </si>
  <si>
    <t xml:space="preserve"> Надання загальної середньої освіти закладами загальної середньої освіти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</si>
  <si>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</si>
  <si>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</si>
  <si>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</si>
  <si>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</si>
  <si>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0611090</t>
  </si>
  <si>
    <t>1090</t>
  </si>
  <si>
    <t>Підготовка кадрів закладами професійної (професійно-технічної) освіти та іншими закладами освіти</t>
  </si>
  <si>
    <t>0611091</t>
  </si>
  <si>
    <t>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</si>
  <si>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</si>
  <si>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</si>
  <si>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0611092</t>
  </si>
  <si>
    <t>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</si>
  <si>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</si>
  <si>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0611140</t>
  </si>
  <si>
    <t>1140</t>
  </si>
  <si>
    <t>Інші програми, заклади та заходи у сфері освіти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</si>
  <si>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</si>
  <si>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</si>
  <si>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</si>
  <si>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</si>
  <si>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</si>
  <si>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</si>
  <si>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</si>
  <si>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0611150</t>
  </si>
  <si>
    <t>1150</t>
  </si>
  <si>
    <t>Забезпечення діяльності інклюзивно-ресурсних центрів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</si>
  <si>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</si>
  <si>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</si>
  <si>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</si>
  <si>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</si>
  <si>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</si>
  <si>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</si>
  <si>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</si>
  <si>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</si>
  <si>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</si>
  <si>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</si>
  <si>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</si>
  <si>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</si>
  <si>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</si>
  <si>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</si>
  <si>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</si>
  <si>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</si>
  <si>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</si>
  <si>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</si>
  <si>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</si>
  <si>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</si>
  <si>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3000</t>
  </si>
  <si>
    <t>Соціальний захист та соціальне забезпечення</t>
  </si>
  <si>
    <t>1040</t>
  </si>
  <si>
    <t>0712000</t>
  </si>
  <si>
    <t>2000</t>
  </si>
  <si>
    <t>Охорона здоров’я</t>
  </si>
  <si>
    <t>0712010</t>
  </si>
  <si>
    <t>2010</t>
  </si>
  <si>
    <t>0731</t>
  </si>
  <si>
    <t>Багатопрофільна стаціонарна медична допомога населенню</t>
  </si>
  <si>
    <t>0712020</t>
  </si>
  <si>
    <t>2020</t>
  </si>
  <si>
    <t>0732</t>
  </si>
  <si>
    <t>Спеціалізована стаціонарна медична допомога населенню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</si>
  <si>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</si>
  <si>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</si>
  <si>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</si>
  <si>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</si>
  <si>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</si>
  <si>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</si>
  <si>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</si>
  <si>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</si>
  <si>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0712100</t>
  </si>
  <si>
    <t>2100</t>
  </si>
  <si>
    <t>0722</t>
  </si>
  <si>
    <t>Стоматологічна допомога населенню</t>
  </si>
  <si>
    <t>0712110</t>
  </si>
  <si>
    <t>2110</t>
  </si>
  <si>
    <t>Первинна медична допомога населенню</t>
  </si>
  <si>
    <t>0712111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</si>
  <si>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</si>
  <si>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</si>
  <si>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</si>
  <si>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0712140</t>
  </si>
  <si>
    <t>2140</t>
  </si>
  <si>
    <t>Програми і централізовані заходи у галузі охорони здоров’я</t>
  </si>
  <si>
    <t>0712144</t>
  </si>
  <si>
    <t>2144</t>
  </si>
  <si>
    <t>0763</t>
  </si>
  <si>
    <t>Централізовані заходи з лікування хворих на цукровий та нецукровий діабет</t>
  </si>
  <si>
    <t>0712150</t>
  </si>
  <si>
    <t>2150</t>
  </si>
  <si>
    <t>Інші програми, заклади та заходи у сфері охорони здоров’я</t>
  </si>
  <si>
    <t>0712151</t>
  </si>
  <si>
    <t>2151</t>
  </si>
  <si>
    <t>Забезпечення діяльності інших закладів у сфері охорони здоров’я</t>
  </si>
  <si>
    <t>0712152</t>
  </si>
  <si>
    <t>2152</t>
  </si>
  <si>
    <t>Інші програми та заходи у сфері охорони здоров’я</t>
  </si>
  <si>
    <t>7670</t>
  </si>
  <si>
    <t>Внески до статутного капіталу суб’єктів господарювання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</si>
  <si>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</si>
  <si>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</si>
  <si>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</si>
  <si>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</si>
  <si>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</si>
  <si>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</si>
  <si>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</si>
  <si>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</si>
  <si>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</si>
  <si>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</si>
  <si>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</si>
  <si>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</si>
  <si>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</si>
  <si>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</si>
  <si>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</si>
  <si>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</si>
  <si>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0813036</t>
  </si>
  <si>
    <t>3036</t>
  </si>
  <si>
    <t>Компенсаційні виплати на пільговий проїзд електротранспортом окремим категоріям громадян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</si>
  <si>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</si>
  <si>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</si>
  <si>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</si>
  <si>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3060</t>
  </si>
  <si>
    <t>Оздоровлення громадян,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</si>
  <si>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</si>
  <si>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</si>
  <si>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</si>
  <si>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</si>
  <si>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</si>
  <si>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</si>
  <si>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</si>
  <si>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</si>
  <si>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</si>
  <si>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</si>
  <si>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</si>
  <si>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</si>
  <si>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0813160</t>
  </si>
  <si>
    <t>3160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</si>
  <si>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</si>
  <si>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0813170</t>
  </si>
  <si>
    <t>3170</t>
  </si>
  <si>
    <t>Забезпечення реалізації окремих програм для осіб з інвалідністю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</si>
  <si>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</si>
  <si>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</si>
  <si>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</si>
  <si>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</si>
  <si>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</si>
  <si>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</si>
  <si>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0813190</t>
  </si>
  <si>
    <t>3190</t>
  </si>
  <si>
    <t>Соціальний захист ветеранів війни та праці</t>
  </si>
  <si>
    <t>0813192</t>
  </si>
  <si>
    <t>3192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</si>
  <si>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</si>
  <si>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0813200</t>
  </si>
  <si>
    <t>3200</t>
  </si>
  <si>
    <t>Забезпечення обробки інформації з нарахування та виплати допомог і компенсацій</t>
  </si>
  <si>
    <t>0813210</t>
  </si>
  <si>
    <t>3210</t>
  </si>
  <si>
    <t>1050</t>
  </si>
  <si>
    <t>Організація та проведення громадських робіт</t>
  </si>
  <si>
    <t>0813240</t>
  </si>
  <si>
    <t>3240</t>
  </si>
  <si>
    <t xml:space="preserve"> Інші заклади та заходи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</si>
  <si>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</si>
  <si>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</si>
  <si>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</si>
  <si>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0813242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</si>
  <si>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</si>
  <si>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</si>
  <si>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</si>
  <si>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</si>
  <si>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6080</t>
  </si>
  <si>
    <t>6082</t>
  </si>
  <si>
    <t>0610</t>
  </si>
  <si>
    <t>7300</t>
  </si>
  <si>
    <t>Будівництво та регіональний розвиток</t>
  </si>
  <si>
    <t>7320</t>
  </si>
  <si>
    <t>0443</t>
  </si>
  <si>
    <t>1080</t>
  </si>
  <si>
    <t>1014000</t>
  </si>
  <si>
    <t>4000</t>
  </si>
  <si>
    <t>Культура i мистецтво</t>
  </si>
  <si>
    <t>1014010</t>
  </si>
  <si>
    <t>4010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</si>
  <si>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</si>
  <si>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</si>
  <si>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</si>
  <si>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</si>
  <si>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</si>
  <si>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</si>
  <si>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</si>
  <si>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</si>
  <si>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</si>
  <si>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</si>
  <si>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</si>
  <si>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</si>
  <si>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</si>
  <si>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1014080</t>
  </si>
  <si>
    <t>4080</t>
  </si>
  <si>
    <t>Інші заклади та заходи в галузі культури і мистецтва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</si>
  <si>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</si>
  <si>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</si>
  <si>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</si>
  <si>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</si>
  <si>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</si>
  <si>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</si>
  <si>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</si>
  <si>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3120</t>
  </si>
  <si>
    <t>Здійснення соціальної роботи з вразливими категоріями населення</t>
  </si>
  <si>
    <t>3121</t>
  </si>
  <si>
    <t>Утримання та забезпечення діяльності центрів соціальних служб</t>
  </si>
  <si>
    <t>3130</t>
  </si>
  <si>
    <t>Реалізація державної політики у молодіжній сфері</t>
  </si>
  <si>
    <t>3132</t>
  </si>
  <si>
    <t>Утримання клубів для підлітків за місцем проживання</t>
  </si>
  <si>
    <t>3133</t>
  </si>
  <si>
    <t>Інші заходи та заклади молодіжної політики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</si>
  <si>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</si>
  <si>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</si>
  <si>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</si>
  <si>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</si>
  <si>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</si>
  <si>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</si>
  <si>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1115011</t>
  </si>
  <si>
    <t>5011</t>
  </si>
  <si>
    <t>0810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</si>
  <si>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</si>
  <si>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</si>
  <si>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</si>
  <si>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</si>
  <si>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</si>
  <si>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</si>
  <si>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</si>
  <si>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</si>
  <si>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</si>
  <si>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</si>
  <si>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1115030</t>
  </si>
  <si>
    <t>5030</t>
  </si>
  <si>
    <t xml:space="preserve"> Розвиток дитячо-юнацького та резервного спорту</t>
  </si>
  <si>
    <t>1115031</t>
  </si>
  <si>
    <t>5031</t>
  </si>
  <si>
    <t>Утримання та навчально-тренувальна робота комунальних дитячо-юнацьких спортивних шкіл</t>
  </si>
  <si>
    <t>1115032</t>
  </si>
  <si>
    <t>5032</t>
  </si>
  <si>
    <t>Фінансова підтримка дитячо-юнацьких спортивних шкіл фізкультурно-спортивних товариств</t>
  </si>
  <si>
    <t>1115060</t>
  </si>
  <si>
    <t>5060</t>
  </si>
  <si>
    <t>Інші заходи з розвитку фізичної культури та спорту</t>
  </si>
  <si>
    <t>1115061</t>
  </si>
  <si>
    <t>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</si>
  <si>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</si>
  <si>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</si>
  <si>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</si>
  <si>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</si>
  <si>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1115063</t>
  </si>
  <si>
    <t>5063</t>
  </si>
  <si>
    <t>Забезпечення діяльності централізованої бухгалтерії</t>
  </si>
  <si>
    <t>6084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</si>
  <si>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</si>
  <si>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</si>
  <si>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</si>
  <si>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</si>
  <si>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</si>
  <si>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1216011</t>
  </si>
  <si>
    <t>6011</t>
  </si>
  <si>
    <t>Експлуатація та технічне обслуговування житлового фонду</t>
  </si>
  <si>
    <t>1216015</t>
  </si>
  <si>
    <t>6015</t>
  </si>
  <si>
    <t>0620</t>
  </si>
  <si>
    <t>Забезпечення надійної та безперебійної експлуатації ліфтів</t>
  </si>
  <si>
    <t>1216017</t>
  </si>
  <si>
    <t>6017</t>
  </si>
  <si>
    <t>Інша діяльність, пов’язана з експлуатацією об’єктів житлово-комунального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</si>
  <si>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</si>
  <si>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</si>
  <si>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</si>
  <si>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</si>
  <si>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</si>
  <si>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</si>
  <si>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1217000</t>
  </si>
  <si>
    <t>Економічна діяльність</t>
  </si>
  <si>
    <t>7640</t>
  </si>
  <si>
    <t>0470</t>
  </si>
  <si>
    <t>Заходи з енергозбереження</t>
  </si>
  <si>
    <t xml:space="preserve"> Інша економічна діяльність</t>
  </si>
  <si>
    <t>6012</t>
  </si>
  <si>
    <t>Забезпечення діяльності з виробництва, транспортування, постачання теплової енергії</t>
  </si>
  <si>
    <t>6013</t>
  </si>
  <si>
    <t>Забезпечення діяльності водопровідно-каналізаційного господарства</t>
  </si>
  <si>
    <t>7310</t>
  </si>
  <si>
    <t>7400</t>
  </si>
  <si>
    <t>Транспорт та транспортна інфраструктура, дорожнє господарство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</si>
  <si>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</si>
  <si>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</si>
  <si>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</si>
  <si>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8100</t>
  </si>
  <si>
    <t>Захист населення і територій від надзвичайних ситуацій техногенного та природного характеру</t>
  </si>
  <si>
    <t>8110</t>
  </si>
  <si>
    <t>0320</t>
  </si>
  <si>
    <t>Заходи із запобігання та ліквідації надзвичайних ситуацій та наслідків стихійного лиха</t>
  </si>
  <si>
    <t>8120</t>
  </si>
  <si>
    <t>Заходи з організації рятування на водах</t>
  </si>
  <si>
    <t>5040</t>
  </si>
  <si>
    <t>Підтримка і розвиток спортивної інфраструктури</t>
  </si>
  <si>
    <t>5043</t>
  </si>
  <si>
    <t>7321</t>
  </si>
  <si>
    <t>7324</t>
  </si>
  <si>
    <t>7330</t>
  </si>
  <si>
    <t>7370</t>
  </si>
  <si>
    <t>Реалізація інших заходів щодо соціально-економічного розвитку територій</t>
  </si>
  <si>
    <t>7420</t>
  </si>
  <si>
    <t>Забезпечення надання послуг з перевезення пасажирів електротранспортом</t>
  </si>
  <si>
    <t>7426</t>
  </si>
  <si>
    <t>0453</t>
  </si>
  <si>
    <t>Інші заходи у сфері електротранспорту</t>
  </si>
  <si>
    <t>7610</t>
  </si>
  <si>
    <t>0411</t>
  </si>
  <si>
    <t>Сприяння розвитку малого та середнього підприємництва</t>
  </si>
  <si>
    <t>7630</t>
  </si>
  <si>
    <t>Реалізація програм і заходів в галузі зовнішньоекономічної діяльності</t>
  </si>
  <si>
    <t>8300</t>
  </si>
  <si>
    <t>Охорона навколишнього природного середовища</t>
  </si>
  <si>
    <t>0540</t>
  </si>
  <si>
    <t>7100</t>
  </si>
  <si>
    <t>Сільське, лісове, рибне господарство та мисливство</t>
  </si>
  <si>
    <t>7130</t>
  </si>
  <si>
    <t>0421</t>
  </si>
  <si>
    <t>Здійснення заходів із землеустрою</t>
  </si>
  <si>
    <t>7650</t>
  </si>
  <si>
    <t>Проведення експертної грошової оцінки земельної ділянки чи права на неї</t>
  </si>
  <si>
    <t>Обслуговування місцевого боргу</t>
  </si>
  <si>
    <t>Резервний фонд</t>
  </si>
  <si>
    <t>Резервний фонд місцевого бюджету</t>
  </si>
  <si>
    <t>9100</t>
  </si>
  <si>
    <t>Дотації з місцевого бюджету іншим бюджетам</t>
  </si>
  <si>
    <t>Реверсна дотація</t>
  </si>
  <si>
    <t>Х</t>
  </si>
  <si>
    <t>УСЬОГО</t>
  </si>
  <si>
    <t>Додаток 2</t>
  </si>
  <si>
    <t>Звіт про виконання видатків загального та спеціального фондів бюджету Хмельницької міської територіальної громади</t>
  </si>
  <si>
    <t>Найменування бюджетної програми згідно з Типовою програмною класифікацією видатків та кредитування місцевого бюджету</t>
  </si>
  <si>
    <t>% виконання</t>
  </si>
  <si>
    <t>Відсоток вручну</t>
  </si>
  <si>
    <t xml:space="preserve"> Реалізація державних та місцевих житлових програм</t>
  </si>
  <si>
    <t xml:space="preserve"> Придбання житла для окремих категорій населення відповідно до законодавства</t>
  </si>
  <si>
    <t>Всього</t>
  </si>
  <si>
    <t>8821</t>
  </si>
  <si>
    <t>8822</t>
  </si>
  <si>
    <t>8800</t>
  </si>
  <si>
    <t>8820</t>
  </si>
  <si>
    <t xml:space="preserve"> Інша діяльність</t>
  </si>
  <si>
    <t>Кредитування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</si>
  <si>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</si>
  <si>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</si>
  <si>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</si>
  <si>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7460</t>
  </si>
  <si>
    <t>Утримання та розвиток автомобільних доріг та дорожньої інфраструктури</t>
  </si>
  <si>
    <t>7323</t>
  </si>
  <si>
    <t>7350</t>
  </si>
  <si>
    <t>Розроблення схем планування та забудови територій(містобудівної документації)</t>
  </si>
  <si>
    <t>7540</t>
  </si>
  <si>
    <t>Реалізація заходів, спрямованих на підвищення  доступності широкосмугового доступу до Інтернету в сільській місцевості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</si>
  <si>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</si>
  <si>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</si>
  <si>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1023</t>
  </si>
  <si>
    <t>Надання загальної середньої освіти спеціалізованими закладами загальної середньої освіти</t>
  </si>
  <si>
    <t>1220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</si>
  <si>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</si>
  <si>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>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</si>
  <si>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</si>
  <si>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</t>
  </si>
  <si>
    <t>а також коштів, необхідних для  забезпечення безпечного навчального процесу у закладах загальної середньої освіти)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</si>
  <si>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</si>
  <si>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</si>
  <si>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7410</t>
  </si>
  <si>
    <t>Забезпечення надання послуг з перевезення пасажирів автомобільним транспортом</t>
  </si>
  <si>
    <t>7413</t>
  </si>
  <si>
    <t>0451</t>
  </si>
  <si>
    <t>Інші заходи у сфері автотранспорту</t>
  </si>
  <si>
    <t>7620</t>
  </si>
  <si>
    <t>7622</t>
  </si>
  <si>
    <t>Розвиток готельного господарства та туризму</t>
  </si>
  <si>
    <t>Реалізація програм і заходів в галузі туризму та курортів</t>
  </si>
  <si>
    <t>1221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</si>
  <si>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</si>
  <si>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3220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</si>
  <si>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</si>
  <si>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</si>
  <si>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</si>
  <si>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</si>
  <si>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</si>
  <si>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</si>
  <si>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</si>
  <si>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</si>
  <si>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</si>
  <si>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</si>
  <si>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</si>
  <si>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</si>
  <si>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</si>
  <si>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</si>
  <si>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3224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</si>
  <si>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</si>
  <si>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</si>
  <si>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</si>
  <si>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</si>
  <si>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</si>
  <si>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7360</t>
  </si>
  <si>
    <t>7363</t>
  </si>
  <si>
    <t>Виконання інвестиційних проектів</t>
  </si>
  <si>
    <t>Виконання інвестиційних проектів в рамках здійснення заходів щодо соціально-економічного розвитку окремих територій</t>
  </si>
  <si>
    <t>0460</t>
  </si>
  <si>
    <t>1033</t>
  </si>
  <si>
    <t>7</t>
  </si>
  <si>
    <t>8</t>
  </si>
  <si>
    <t>9</t>
  </si>
  <si>
    <t>10</t>
  </si>
  <si>
    <t>Надання спеціалізованої освіти мистецькими школами</t>
  </si>
  <si>
    <t>6090</t>
  </si>
  <si>
    <t>0640</t>
  </si>
  <si>
    <t>Інша діяльність у сфері житлово-комунального господарства</t>
  </si>
  <si>
    <t>7450</t>
  </si>
  <si>
    <t>Інша діяльність у сфері транспорту</t>
  </si>
  <si>
    <t>8200</t>
  </si>
  <si>
    <t>Громадський порядок та безпека</t>
  </si>
  <si>
    <t>8240</t>
  </si>
  <si>
    <t>0380</t>
  </si>
  <si>
    <t>Заходи та роботи з територіальної оборони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</si>
  <si>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</si>
  <si>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t>7322</t>
  </si>
  <si>
    <t>7325</t>
  </si>
  <si>
    <t>8340</t>
  </si>
  <si>
    <t>Природоохоронні заходи за рахунок цільових фондів</t>
  </si>
  <si>
    <t>Будівництво¹  установ та закладів соціальної сфери</t>
  </si>
  <si>
    <t>Будівництво¹ споруд, установ та закладів фізичної культури і спорту</t>
  </si>
  <si>
    <t>Будівництво¹   об'єктів житлово-комунального господарства</t>
  </si>
  <si>
    <t>Будівництво¹  об'єктів соціально-культурного призначення</t>
  </si>
  <si>
    <t>Будівництво¹   освітніх установ та закладів</t>
  </si>
  <si>
    <t>Будівництво¹   медичних установ та закладів</t>
  </si>
  <si>
    <t>Будівництво¹   установ та закладів культури</t>
  </si>
  <si>
    <t>Будівництво¹  інших об'єктів комунальної власності</t>
  </si>
  <si>
    <t>3230</t>
  </si>
  <si>
    <t>4070</t>
  </si>
  <si>
    <t>0823</t>
  </si>
  <si>
    <t>Фінансова підтримка кінематографії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</si>
  <si>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</si>
  <si>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8220</t>
  </si>
  <si>
    <t>Заходи та роботи з мобілізаційної підготовки місцевого значення</t>
  </si>
  <si>
    <t>8230</t>
  </si>
  <si>
    <t>Інші заходи громадського порядку та безпеки</t>
  </si>
  <si>
    <t xml:space="preserve">до рішення  №    від        .2023 року 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</si>
  <si>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</si>
  <si>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</si>
  <si>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</si>
  <si>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Затверджено на 2023 рік з урахуванням змін</t>
  </si>
  <si>
    <t>5049</t>
  </si>
  <si>
    <t>Виконання окремих заходів з реалізації соціального проекту "Активні парки - локації здорової України"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</si>
  <si>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</si>
  <si>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9820</t>
  </si>
  <si>
    <t>Виконання заходів щодо облаштування безпечних умов у закладах загальної середньої освіти</t>
  </si>
  <si>
    <t>Виконання заходів щодо облаштування безпечних умов у закладах загальної середньої освіти за рахунок субвенції з державного бюджету місцевим бюджетам</t>
  </si>
  <si>
    <t>1262</t>
  </si>
  <si>
    <t>1260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</si>
  <si>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</si>
  <si>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</si>
  <si>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8881</t>
  </si>
  <si>
    <t>8880</t>
  </si>
  <si>
    <t>за 9-ть місяців 2023 року</t>
  </si>
  <si>
    <t>Затверджено на  9-ть місяців 2023 року з урахуванням змін</t>
  </si>
  <si>
    <t>Виконано за 9-ть місяців 2023 року</t>
  </si>
  <si>
    <t>Виконано заза 9-ть місяців 2023 року разом по загальному та спеціальному фондах</t>
  </si>
  <si>
    <t>Довгострокові кредити громадянам на будівництво / реконструкцію / придбання житла та їх повернення</t>
  </si>
  <si>
    <t>8840</t>
  </si>
  <si>
    <t>8842</t>
  </si>
  <si>
    <t>Повернення довгострокових кредитів, наданих громадянам на будівництво/реконструкцію/придбання житла</t>
  </si>
  <si>
    <t>6016</t>
  </si>
  <si>
    <t xml:space="preserve">	Впровадження засобів обліку витрат та регулювання споживання води та теплової енергії</t>
  </si>
  <si>
    <t xml:space="preserve">	
Співфінансування заходів, що реалізуються за рахунок субвенції з державного бюджету місцевим бюджетам на облаштування безпечних умов у закладах загальної середньої освіти</t>
  </si>
  <si>
    <t>1261</t>
  </si>
  <si>
    <t>Начальник фінансового управління</t>
  </si>
  <si>
    <t>Сергій ЯМЧУК</t>
  </si>
  <si>
    <t xml:space="preserve">Керуючий справами виконавчого комітету                                                                                                                    </t>
  </si>
  <si>
    <t xml:space="preserve">Юлія  САБІЙ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</si>
</sst>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 Cyr"/>
      <family val="1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sz val="10"/>
      <color rgb="FFFF0000"/>
      <name val="Arial Cyr"/>
      <charset val="204"/>
    </font>
    <font>
      <u/>
      <sz val="36"/>
      <color indexed="8"/>
      <name val="Times New Roman"/>
      <family val="1"/>
      <charset val="204"/>
    </font>
    <font>
      <sz val="36"/>
      <color indexed="8"/>
      <name val="Times New Roman"/>
      <family val="1"/>
      <charset val="204"/>
    </font>
    <font>
      <b/>
      <sz val="10"/>
      <name val="Arial Cyr"/>
      <charset val="204"/>
    </font>
    <font>
      <sz val="36"/>
      <color rgb="FFFF0000"/>
      <name val="Times New Roman"/>
      <family val="1"/>
      <charset val="204"/>
    </font>
    <font>
      <sz val="10"/>
      <name val="MS Sans Serif"/>
      <family val="2"/>
      <charset val="204"/>
    </font>
    <font>
      <b/>
      <i/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b/>
      <i/>
      <sz val="10"/>
      <name val="Arial Cyr"/>
      <charset val="204"/>
    </font>
    <font>
      <sz val="37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i/>
      <sz val="37"/>
      <name val="Times New Roman"/>
      <family val="1"/>
      <charset val="204"/>
    </font>
    <font>
      <i/>
      <sz val="10"/>
      <name val="Arial Cyr"/>
      <charset val="204"/>
    </font>
    <font>
      <i/>
      <sz val="37"/>
      <name val="Times New Roman"/>
      <family val="1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sz val="28"/>
      <name val="Arial Cyr"/>
      <charset val="204"/>
    </font>
    <font>
      <b/>
      <sz val="36"/>
      <color rgb="FFFF0000"/>
      <name val="Arial Cyr"/>
      <charset val="204"/>
    </font>
    <font>
      <b/>
      <sz val="37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48"/>
      <name val="Times New Roman"/>
      <family val="1"/>
      <charset val="204"/>
    </font>
    <font>
      <i/>
      <sz val="37"/>
      <color rgb="FFFF0000"/>
      <name val="Times New Roman"/>
      <family val="1"/>
      <charset val="204"/>
    </font>
    <font>
      <b/>
      <sz val="36"/>
      <color rgb="FF99FF99"/>
      <name val="Times New Roman"/>
      <family val="1"/>
      <charset val="204"/>
    </font>
    <font>
      <sz val="48"/>
      <color rgb="FFFF0000"/>
      <name val="Arial Cyr"/>
      <charset val="204"/>
    </font>
    <font>
      <b/>
      <sz val="37"/>
      <color rgb="FF99FF99"/>
      <name val="Times New Roman"/>
      <family val="1"/>
      <charset val="204"/>
    </font>
    <font>
      <sz val="72"/>
      <name val="Arial Cyr"/>
      <charset val="204"/>
    </font>
    <font>
      <i/>
      <sz val="36"/>
      <color rgb="FFFF0000"/>
      <name val="Times New Roman"/>
      <family val="1"/>
      <charset val="204"/>
    </font>
    <font>
      <vertAlign val="superscript"/>
      <sz val="20"/>
      <color rgb="FFFF0000"/>
      <name val="Times New Roman"/>
      <family val="1"/>
      <charset val="204"/>
    </font>
    <font>
      <sz val="20"/>
      <color rgb="FFFF0000"/>
      <name val="Arial Cyr"/>
      <charset val="204"/>
    </font>
    <font>
      <sz val="20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7"/>
      <color theme="1"/>
      <name val="Times New Roman"/>
      <family val="1"/>
      <charset val="204"/>
    </font>
    <font>
      <i/>
      <sz val="36"/>
      <name val="Times New Roman"/>
      <family val="1"/>
      <charset val="204"/>
    </font>
    <font>
      <sz val="28"/>
      <color rgb="FFFF000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CC99FF"/>
        </stop>
      </gradientFill>
    </fill>
    <fill>
      <gradientFill degree="270">
        <stop position="0">
          <color theme="0"/>
        </stop>
        <stop position="1">
          <color theme="7" tint="0.59999389629810485"/>
        </stop>
      </gradient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/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</borders>
  <cellStyleXfs count="4">
    <xf numFmtId="0" fontId="0" fillId="0" borderId="0"/>
    <xf numFmtId="0" fontId="10" fillId="0" borderId="0" applyNumberFormat="0" applyFont="0" applyFill="0" applyBorder="0" applyAlignment="0" applyProtection="0">
      <alignment vertical="top"/>
    </xf>
    <xf numFmtId="0" fontId="31" fillId="0" borderId="0"/>
    <xf numFmtId="0" fontId="31" fillId="0" borderId="0"/>
  </cellStyleXfs>
  <cellXfs count="20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4" fontId="4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0" fontId="13" fillId="0" borderId="0" xfId="0" applyFont="1"/>
    <xf numFmtId="0" fontId="15" fillId="0" borderId="0" xfId="0" applyFont="1"/>
    <xf numFmtId="4" fontId="16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horizontal="left" vertical="center"/>
    </xf>
    <xf numFmtId="0" fontId="20" fillId="0" borderId="0" xfId="0" applyFont="1"/>
    <xf numFmtId="4" fontId="9" fillId="0" borderId="0" xfId="0" applyNumberFormat="1" applyFont="1" applyAlignment="1">
      <alignment horizontal="left" vertical="center"/>
    </xf>
    <xf numFmtId="0" fontId="22" fillId="0" borderId="0" xfId="0" applyFont="1"/>
    <xf numFmtId="4" fontId="23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24" fillId="0" borderId="0" xfId="0" applyNumberFormat="1" applyFont="1"/>
    <xf numFmtId="4" fontId="25" fillId="0" borderId="0" xfId="0" applyNumberFormat="1" applyFont="1" applyAlignment="1">
      <alignment horizontal="left" vertical="center"/>
    </xf>
    <xf numFmtId="4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left" vertical="center" wrapText="1"/>
    </xf>
    <xf numFmtId="4" fontId="27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left" vertical="center" wrapText="1"/>
    </xf>
    <xf numFmtId="4" fontId="14" fillId="0" borderId="0" xfId="0" applyNumberFormat="1" applyFont="1" applyAlignment="1">
      <alignment horizontal="center" vertical="center" wrapText="1"/>
    </xf>
    <xf numFmtId="4" fontId="26" fillId="0" borderId="0" xfId="0" applyNumberFormat="1" applyFont="1" applyAlignment="1">
      <alignment horizontal="left" vertical="center" wrapText="1"/>
    </xf>
    <xf numFmtId="4" fontId="28" fillId="0" borderId="0" xfId="0" applyNumberFormat="1" applyFont="1" applyAlignment="1">
      <alignment horizontal="left" vertical="center" wrapText="1"/>
    </xf>
    <xf numFmtId="4" fontId="21" fillId="0" borderId="0" xfId="0" applyNumberFormat="1" applyFont="1" applyAlignment="1">
      <alignment horizontal="left" vertical="center" wrapText="1"/>
    </xf>
    <xf numFmtId="0" fontId="5" fillId="2" borderId="0" xfId="0" applyFont="1" applyFill="1"/>
    <xf numFmtId="4" fontId="12" fillId="2" borderId="0" xfId="0" applyNumberFormat="1" applyFont="1" applyFill="1" applyAlignment="1">
      <alignment horizontal="left" vertical="center" wrapText="1"/>
    </xf>
    <xf numFmtId="0" fontId="0" fillId="2" borderId="0" xfId="0" applyFill="1"/>
    <xf numFmtId="4" fontId="19" fillId="0" borderId="0" xfId="0" applyNumberFormat="1" applyFont="1" applyAlignment="1">
      <alignment horizontal="left" vertical="center" wrapText="1"/>
    </xf>
    <xf numFmtId="4" fontId="17" fillId="0" borderId="0" xfId="0" applyNumberFormat="1" applyFont="1" applyAlignment="1">
      <alignment horizontal="center" vertical="center" wrapText="1"/>
    </xf>
    <xf numFmtId="0" fontId="0" fillId="3" borderId="0" xfId="0" applyFill="1"/>
    <xf numFmtId="0" fontId="5" fillId="3" borderId="0" xfId="0" applyFont="1" applyFill="1"/>
    <xf numFmtId="4" fontId="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" fillId="0" borderId="0" xfId="2" applyFont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23" fillId="0" borderId="0" xfId="0" applyFont="1"/>
    <xf numFmtId="0" fontId="3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33" fillId="0" borderId="1" xfId="0" applyNumberFormat="1" applyFont="1" applyBorder="1" applyAlignment="1">
      <alignment horizontal="center" vertical="center" wrapText="1"/>
    </xf>
    <xf numFmtId="4" fontId="26" fillId="3" borderId="0" xfId="0" applyNumberFormat="1" applyFont="1" applyFill="1" applyAlignment="1">
      <alignment horizontal="left" vertical="center" wrapText="1"/>
    </xf>
    <xf numFmtId="49" fontId="33" fillId="0" borderId="0" xfId="0" applyNumberFormat="1" applyFont="1" applyAlignment="1">
      <alignment horizontal="center" vertical="center" wrapText="1"/>
    </xf>
    <xf numFmtId="4" fontId="35" fillId="0" borderId="0" xfId="0" applyNumberFormat="1" applyFont="1" applyAlignment="1">
      <alignment horizontal="left" vertical="center"/>
    </xf>
    <xf numFmtId="4" fontId="36" fillId="3" borderId="0" xfId="0" applyNumberFormat="1" applyFont="1" applyFill="1"/>
    <xf numFmtId="4" fontId="37" fillId="4" borderId="1" xfId="0" applyNumberFormat="1" applyFont="1" applyFill="1" applyBorder="1" applyAlignment="1">
      <alignment horizontal="center" vertical="center"/>
    </xf>
    <xf numFmtId="0" fontId="38" fillId="3" borderId="0" xfId="0" applyFont="1" applyFill="1"/>
    <xf numFmtId="49" fontId="1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4" fontId="12" fillId="4" borderId="1" xfId="0" applyNumberFormat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/>
    </xf>
    <xf numFmtId="49" fontId="3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 wrapText="1"/>
    </xf>
    <xf numFmtId="4" fontId="16" fillId="5" borderId="1" xfId="1" applyNumberFormat="1" applyFont="1" applyFill="1" applyBorder="1" applyAlignment="1" applyProtection="1">
      <alignment horizontal="center" vertical="center" wrapText="1"/>
      <protection locked="0"/>
    </xf>
    <xf numFmtId="164" fontId="16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16" fillId="5" borderId="1" xfId="0" applyNumberFormat="1" applyFont="1" applyFill="1" applyBorder="1" applyAlignment="1">
      <alignment horizontal="center" vertical="center" wrapText="1"/>
    </xf>
    <xf numFmtId="0" fontId="16" fillId="5" borderId="1" xfId="1" applyFont="1" applyFill="1" applyBorder="1" applyAlignment="1" applyProtection="1">
      <alignment horizontal="center" vertical="center" wrapText="1"/>
      <protection locked="0"/>
    </xf>
    <xf numFmtId="4" fontId="16" fillId="5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 applyProtection="1">
      <alignment horizontal="center" vertical="center" wrapText="1"/>
      <protection locked="0"/>
    </xf>
    <xf numFmtId="4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5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5" fillId="0" borderId="1" xfId="1" applyFont="1" applyFill="1" applyBorder="1" applyAlignment="1" applyProtection="1">
      <alignment horizontal="center" vertical="center" wrapText="1"/>
      <protection locked="0"/>
    </xf>
    <xf numFmtId="4" fontId="46" fillId="3" borderId="0" xfId="0" applyNumberFormat="1" applyFont="1" applyFill="1"/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11" fillId="0" borderId="1" xfId="1" applyFont="1" applyFill="1" applyBorder="1" applyAlignment="1" applyProtection="1">
      <alignment horizontal="center" vertical="center" wrapText="1"/>
      <protection locked="0"/>
    </xf>
    <xf numFmtId="4" fontId="4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21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4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6" borderId="1" xfId="0" applyNumberFormat="1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/>
    </xf>
    <xf numFmtId="49" fontId="45" fillId="6" borderId="1" xfId="0" applyNumberFormat="1" applyFont="1" applyFill="1" applyBorder="1" applyAlignment="1">
      <alignment horizontal="center" vertical="center" wrapText="1"/>
    </xf>
    <xf numFmtId="4" fontId="21" fillId="6" borderId="1" xfId="0" applyNumberFormat="1" applyFont="1" applyFill="1" applyBorder="1" applyAlignment="1">
      <alignment horizontal="center" vertical="center" wrapText="1"/>
    </xf>
    <xf numFmtId="164" fontId="21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39" fillId="6" borderId="0" xfId="0" applyNumberFormat="1" applyFont="1" applyFill="1" applyAlignment="1">
      <alignment horizontal="center" wrapText="1"/>
    </xf>
    <xf numFmtId="49" fontId="39" fillId="6" borderId="3" xfId="0" applyNumberFormat="1" applyFont="1" applyFill="1" applyBorder="1" applyAlignment="1">
      <alignment horizontal="center" vertical="top" wrapText="1"/>
    </xf>
    <xf numFmtId="49" fontId="9" fillId="6" borderId="1" xfId="0" applyNumberFormat="1" applyFont="1" applyFill="1" applyBorder="1" applyAlignment="1">
      <alignment horizontal="center" vertical="center" wrapText="1"/>
    </xf>
    <xf numFmtId="4" fontId="27" fillId="6" borderId="1" xfId="0" applyNumberFormat="1" applyFont="1" applyFill="1" applyBorder="1" applyAlignment="1">
      <alignment horizontal="center" vertical="center" wrapText="1"/>
    </xf>
    <xf numFmtId="164" fontId="27" fillId="6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6" borderId="1" xfId="1" applyNumberFormat="1" applyFont="1" applyFill="1" applyBorder="1" applyAlignment="1" applyProtection="1">
      <alignment horizontal="center" vertical="center" wrapText="1"/>
      <protection locked="0"/>
    </xf>
    <xf numFmtId="4" fontId="27" fillId="6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49" fontId="3" fillId="0" borderId="1" xfId="3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 wrapText="1"/>
    </xf>
    <xf numFmtId="49" fontId="45" fillId="0" borderId="1" xfId="3" applyNumberFormat="1" applyFont="1" applyBorder="1" applyAlignment="1">
      <alignment horizontal="center" vertical="center" wrapText="1"/>
    </xf>
    <xf numFmtId="0" fontId="45" fillId="0" borderId="1" xfId="3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4" fontId="44" fillId="0" borderId="1" xfId="0" applyNumberFormat="1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164" fontId="27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4" fillId="0" borderId="1" xfId="0" applyNumberFormat="1" applyFont="1" applyBorder="1" applyAlignment="1">
      <alignment horizontal="center" vertical="center" wrapText="1"/>
    </xf>
    <xf numFmtId="164" fontId="3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45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7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1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center"/>
    </xf>
    <xf numFmtId="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center" wrapText="1"/>
      <protection locked="0"/>
    </xf>
    <xf numFmtId="0" fontId="3" fillId="0" borderId="3" xfId="1" applyFont="1" applyFill="1" applyBorder="1" applyAlignment="1" applyProtection="1">
      <alignment horizontal="center" vertical="top" wrapText="1"/>
      <protection locked="0"/>
    </xf>
    <xf numFmtId="0" fontId="11" fillId="0" borderId="3" xfId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horizontal="center" vertical="center" wrapText="1"/>
    </xf>
    <xf numFmtId="4" fontId="44" fillId="0" borderId="1" xfId="1" applyNumberFormat="1" applyFont="1" applyFill="1" applyBorder="1" applyAlignment="1">
      <alignment horizontal="center" vertical="center" wrapText="1"/>
    </xf>
    <xf numFmtId="164" fontId="4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7" fillId="0" borderId="1" xfId="1" applyNumberFormat="1" applyFont="1" applyFill="1" applyBorder="1" applyAlignment="1">
      <alignment horizontal="center" vertical="center" wrapText="1"/>
    </xf>
    <xf numFmtId="4" fontId="44" fillId="0" borderId="1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 wrapText="1"/>
    </xf>
    <xf numFmtId="4" fontId="14" fillId="0" borderId="1" xfId="1" applyNumberFormat="1" applyFont="1" applyFill="1" applyBorder="1" applyAlignment="1">
      <alignment horizontal="center" vertical="center" wrapText="1"/>
    </xf>
    <xf numFmtId="4" fontId="27" fillId="0" borderId="1" xfId="1" applyNumberFormat="1" applyFont="1" applyFill="1" applyBorder="1" applyAlignment="1">
      <alignment horizontal="center" vertical="center" wrapText="1"/>
    </xf>
    <xf numFmtId="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3" fillId="0" borderId="4" xfId="0" applyNumberFormat="1" applyFont="1" applyBorder="1" applyAlignment="1">
      <alignment horizontal="center" vertical="center" wrapText="1"/>
    </xf>
    <xf numFmtId="49" fontId="33" fillId="0" borderId="0" xfId="0" applyNumberFormat="1" applyFont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14" fillId="6" borderId="2" xfId="0" applyNumberFormat="1" applyFont="1" applyFill="1" applyBorder="1" applyAlignment="1">
      <alignment horizontal="center" vertical="center" wrapText="1"/>
    </xf>
    <xf numFmtId="4" fontId="14" fillId="6" borderId="5" xfId="0" applyNumberFormat="1" applyFont="1" applyFill="1" applyBorder="1" applyAlignment="1">
      <alignment horizontal="center" vertical="center" wrapText="1"/>
    </xf>
    <xf numFmtId="4" fontId="14" fillId="6" borderId="3" xfId="0" applyNumberFormat="1" applyFont="1" applyFill="1" applyBorder="1" applyAlignment="1">
      <alignment horizontal="center" vertical="center" wrapText="1"/>
    </xf>
    <xf numFmtId="164" fontId="14" fillId="6" borderId="2" xfId="1" applyNumberFormat="1" applyFont="1" applyFill="1" applyBorder="1" applyAlignment="1" applyProtection="1">
      <alignment horizontal="center" vertical="center" wrapText="1"/>
      <protection locked="0"/>
    </xf>
    <xf numFmtId="164" fontId="14" fillId="6" borderId="5" xfId="1" applyNumberFormat="1" applyFont="1" applyFill="1" applyBorder="1" applyAlignment="1" applyProtection="1">
      <alignment horizontal="center" vertical="center" wrapText="1"/>
      <protection locked="0"/>
    </xf>
    <xf numFmtId="164" fontId="14" fillId="6" borderId="3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5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49" fontId="39" fillId="6" borderId="2" xfId="0" applyNumberFormat="1" applyFont="1" applyFill="1" applyBorder="1" applyAlignment="1">
      <alignment horizontal="center" vertical="center" wrapText="1"/>
    </xf>
    <xf numFmtId="49" fontId="39" fillId="6" borderId="3" xfId="0" applyNumberFormat="1" applyFont="1" applyFill="1" applyBorder="1" applyAlignment="1">
      <alignment horizontal="center" vertical="center" wrapText="1"/>
    </xf>
    <xf numFmtId="4" fontId="34" fillId="6" borderId="2" xfId="0" applyNumberFormat="1" applyFont="1" applyFill="1" applyBorder="1" applyAlignment="1">
      <alignment horizontal="center" vertical="center" wrapText="1"/>
    </xf>
    <xf numFmtId="4" fontId="34" fillId="6" borderId="3" xfId="0" applyNumberFormat="1" applyFont="1" applyFill="1" applyBorder="1" applyAlignment="1">
      <alignment horizontal="center" vertical="center" wrapText="1"/>
    </xf>
    <xf numFmtId="4" fontId="34" fillId="0" borderId="2" xfId="0" applyNumberFormat="1" applyFont="1" applyBorder="1" applyAlignment="1">
      <alignment horizontal="center" vertical="center" wrapText="1"/>
    </xf>
    <xf numFmtId="4" fontId="3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" fontId="14" fillId="0" borderId="2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164" fontId="34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34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29" fillId="0" borderId="6" xfId="0" applyFont="1" applyBorder="1" applyAlignment="1">
      <alignment horizontal="left" vertical="center"/>
    </xf>
    <xf numFmtId="0" fontId="9" fillId="0" borderId="0" xfId="0" applyFont="1"/>
    <xf numFmtId="49" fontId="39" fillId="0" borderId="2" xfId="0" applyNumberFormat="1" applyFont="1" applyBorder="1" applyAlignment="1">
      <alignment horizontal="center" vertical="center" wrapText="1"/>
    </xf>
    <xf numFmtId="49" fontId="39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center" wrapText="1"/>
    </xf>
  </cellXfs>
  <cellStyles count="4">
    <cellStyle name="Звичайний" xfId="0" builtinId="0"/>
    <cellStyle name="Обычный 3" xfId="3" xr:uid="{00000000-0005-0000-0000-000001000000}"/>
    <cellStyle name="Обычный_Додаток 2 до бюджету 2000 року" xfId="1" xr:uid="{00000000-0005-0000-0000-000002000000}"/>
    <cellStyle name="Обычный_Додаток №1" xfId="2" xr:uid="{00000000-0005-0000-0000-000003000000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263"/>
  <sheetViews>
    <sheetView tabSelected="1" view="pageBreakPreview" topLeftCell="B1" zoomScale="25" zoomScaleNormal="25" zoomScaleSheetLayoutView="25" zoomScalePageLayoutView="10" workbookViewId="0">
      <pane ySplit="13" topLeftCell="A223" activePane="bottomLeft" state="frozen"/>
      <selection activeCell="B1" sqref="B1"/>
      <selection pane="bottomLeft" activeCell="K226" sqref="K226"/>
    </sheetView>
  </sheetViews>
  <sheetFormatPr defaultColWidth="9.140625" defaultRowHeight="12.75" x14ac:dyDescent="0.2"/>
  <cols>
    <col min="1" max="1" width="25.140625" style="1" hidden="1" customWidth="1"/>
    <col min="2" max="2" width="52.5703125" style="1" customWidth="1"/>
    <col min="3" max="3" width="59.28515625" style="1" customWidth="1"/>
    <col min="4" max="4" width="167.42578125" style="1" customWidth="1"/>
    <col min="5" max="5" width="82.42578125" style="1" customWidth="1"/>
    <col min="6" max="6" width="64.85546875" style="1" customWidth="1"/>
    <col min="7" max="7" width="63.28515625" style="1" customWidth="1"/>
    <col min="8" max="8" width="41.85546875" style="1" customWidth="1"/>
    <col min="9" max="9" width="52.5703125" style="47" customWidth="1"/>
    <col min="10" max="10" width="56.140625" style="1" customWidth="1"/>
    <col min="11" max="11" width="44.140625" style="1" customWidth="1"/>
    <col min="12" max="12" width="45.28515625" style="1" hidden="1" customWidth="1"/>
    <col min="13" max="13" width="56.140625" style="1" hidden="1" customWidth="1"/>
    <col min="14" max="14" width="86.28515625" style="47" customWidth="1"/>
    <col min="15" max="15" width="51.42578125" style="5" hidden="1" customWidth="1"/>
    <col min="16" max="16" width="38.28515625" style="5" hidden="1" customWidth="1"/>
    <col min="17" max="17" width="84" hidden="1" customWidth="1"/>
    <col min="18" max="18" width="66.85546875" hidden="1" customWidth="1"/>
    <col min="19" max="19" width="74.85546875" customWidth="1"/>
    <col min="20" max="20" width="53.7109375" customWidth="1"/>
    <col min="21" max="21" width="45.7109375" customWidth="1"/>
    <col min="22" max="22" width="48.5703125" customWidth="1"/>
    <col min="23" max="23" width="49.140625" customWidth="1"/>
    <col min="27" max="27" width="145.5703125" customWidth="1"/>
  </cols>
  <sheetData>
    <row r="2" spans="1:16" ht="45.75" x14ac:dyDescent="0.2">
      <c r="D2" s="2"/>
      <c r="E2" s="4"/>
      <c r="F2" s="3"/>
      <c r="G2" s="3"/>
      <c r="H2" s="3"/>
      <c r="I2" s="3"/>
      <c r="J2" s="4"/>
      <c r="K2" s="195" t="s">
        <v>429</v>
      </c>
      <c r="L2" s="195"/>
      <c r="M2" s="195"/>
      <c r="N2" s="195"/>
      <c r="O2" s="48"/>
    </row>
    <row r="3" spans="1:16" ht="45.75" x14ac:dyDescent="0.2">
      <c r="A3" s="2"/>
      <c r="B3" s="2"/>
      <c r="C3" s="2"/>
      <c r="D3" s="2"/>
      <c r="E3" s="4"/>
      <c r="F3" s="3"/>
      <c r="G3" s="3"/>
      <c r="H3" s="3"/>
      <c r="I3" s="3"/>
      <c r="J3" s="196" t="s">
        <v>540</v>
      </c>
      <c r="K3" s="196"/>
      <c r="L3" s="196"/>
      <c r="M3" s="196"/>
      <c r="N3" s="196"/>
      <c r="O3" s="49"/>
    </row>
    <row r="4" spans="1:16" ht="45" x14ac:dyDescent="0.2">
      <c r="A4" s="182" t="s">
        <v>430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</row>
    <row r="5" spans="1:16" ht="45" x14ac:dyDescent="0.2">
      <c r="A5" s="182" t="s">
        <v>557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</row>
    <row r="6" spans="1:16" ht="4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ht="61.5" customHeight="1" x14ac:dyDescent="0.65">
      <c r="A7" s="183">
        <v>2256400000</v>
      </c>
      <c r="B7" s="18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6" ht="45.75" x14ac:dyDescent="0.2">
      <c r="A8" s="197" t="s">
        <v>0</v>
      </c>
      <c r="B8" s="197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53.45" customHeight="1" thickBot="1" x14ac:dyDescent="0.25">
      <c r="A9" s="3"/>
      <c r="B9" s="3"/>
      <c r="C9" s="3"/>
      <c r="D9" s="3"/>
      <c r="E9" s="4"/>
      <c r="F9" s="3"/>
      <c r="G9" s="3"/>
      <c r="H9" s="3"/>
      <c r="I9" s="3"/>
      <c r="J9" s="3"/>
      <c r="K9" s="3"/>
      <c r="L9" s="3"/>
      <c r="M9" s="3"/>
      <c r="N9" s="6" t="s">
        <v>1</v>
      </c>
    </row>
    <row r="10" spans="1:16" ht="62.45" customHeight="1" thickTop="1" thickBot="1" x14ac:dyDescent="0.25">
      <c r="A10" s="185" t="s">
        <v>2</v>
      </c>
      <c r="B10" s="185" t="s">
        <v>3</v>
      </c>
      <c r="C10" s="185" t="s">
        <v>4</v>
      </c>
      <c r="D10" s="185" t="s">
        <v>431</v>
      </c>
      <c r="E10" s="199" t="s">
        <v>5</v>
      </c>
      <c r="F10" s="200"/>
      <c r="G10" s="200"/>
      <c r="H10" s="201"/>
      <c r="I10" s="199" t="s">
        <v>6</v>
      </c>
      <c r="J10" s="200"/>
      <c r="K10" s="200"/>
      <c r="L10" s="200"/>
      <c r="M10" s="201"/>
      <c r="N10" s="185" t="s">
        <v>560</v>
      </c>
    </row>
    <row r="11" spans="1:16" ht="96" customHeight="1" thickTop="1" thickBot="1" x14ac:dyDescent="0.25">
      <c r="A11" s="198"/>
      <c r="B11" s="198"/>
      <c r="C11" s="198"/>
      <c r="D11" s="198"/>
      <c r="E11" s="185" t="s">
        <v>544</v>
      </c>
      <c r="F11" s="185" t="s">
        <v>558</v>
      </c>
      <c r="G11" s="185" t="s">
        <v>559</v>
      </c>
      <c r="H11" s="185" t="s">
        <v>432</v>
      </c>
      <c r="I11" s="185" t="s">
        <v>544</v>
      </c>
      <c r="J11" s="185" t="s">
        <v>559</v>
      </c>
      <c r="K11" s="185" t="s">
        <v>432</v>
      </c>
      <c r="L11" s="7"/>
      <c r="M11" s="185"/>
      <c r="N11" s="198"/>
    </row>
    <row r="12" spans="1:16" ht="208.5" customHeight="1" thickTop="1" thickBot="1" x14ac:dyDescent="0.25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7"/>
      <c r="M12" s="186"/>
      <c r="N12" s="186"/>
    </row>
    <row r="13" spans="1:16" s="11" customFormat="1" ht="47.25" thickTop="1" thickBot="1" x14ac:dyDescent="0.25">
      <c r="A13" s="8" t="s">
        <v>7</v>
      </c>
      <c r="B13" s="8" t="s">
        <v>7</v>
      </c>
      <c r="C13" s="8" t="s">
        <v>8</v>
      </c>
      <c r="D13" s="8" t="s">
        <v>9</v>
      </c>
      <c r="E13" s="8" t="s">
        <v>10</v>
      </c>
      <c r="F13" s="8" t="s">
        <v>10</v>
      </c>
      <c r="G13" s="8" t="s">
        <v>11</v>
      </c>
      <c r="H13" s="8" t="s">
        <v>12</v>
      </c>
      <c r="I13" s="8" t="s">
        <v>503</v>
      </c>
      <c r="J13" s="8" t="s">
        <v>504</v>
      </c>
      <c r="K13" s="8" t="s">
        <v>505</v>
      </c>
      <c r="L13" s="8"/>
      <c r="M13" s="8"/>
      <c r="N13" s="8" t="s">
        <v>506</v>
      </c>
      <c r="O13" s="9"/>
      <c r="P13" s="10"/>
    </row>
    <row r="14" spans="1:16" s="14" customFormat="1" ht="88.5" customHeight="1" thickTop="1" thickBot="1" x14ac:dyDescent="0.25">
      <c r="A14" s="57" t="s">
        <v>13</v>
      </c>
      <c r="B14" s="72" t="s">
        <v>14</v>
      </c>
      <c r="C14" s="72"/>
      <c r="D14" s="73" t="s">
        <v>15</v>
      </c>
      <c r="E14" s="70">
        <f>SUM(E15:E18)</f>
        <v>316187284.21000004</v>
      </c>
      <c r="F14" s="70">
        <f>SUM(F15:F18)</f>
        <v>203064026.40000001</v>
      </c>
      <c r="G14" s="70">
        <f>SUM(G15:G18)</f>
        <v>188587926.99999997</v>
      </c>
      <c r="H14" s="80">
        <f>G14/F14</f>
        <v>0.92871164993308719</v>
      </c>
      <c r="I14" s="70">
        <f>SUM(I15:I18)</f>
        <v>12188285.27</v>
      </c>
      <c r="J14" s="70">
        <f>SUM(J15:J18)</f>
        <v>9129747.4800000004</v>
      </c>
      <c r="K14" s="71">
        <f>J14/I14</f>
        <v>0.74905922184737317</v>
      </c>
      <c r="L14" s="70"/>
      <c r="M14" s="70"/>
      <c r="N14" s="74">
        <f t="shared" ref="N14:N27" si="0">G14+J14</f>
        <v>197717674.47999996</v>
      </c>
      <c r="O14" s="53" t="b">
        <f>N14=N15+N16+N17+N18</f>
        <v>1</v>
      </c>
      <c r="P14" s="13"/>
    </row>
    <row r="15" spans="1:16" ht="230.25" thickTop="1" thickBot="1" x14ac:dyDescent="0.25">
      <c r="A15" s="58" t="s">
        <v>16</v>
      </c>
      <c r="B15" s="69" t="s">
        <v>17</v>
      </c>
      <c r="C15" s="69" t="s">
        <v>18</v>
      </c>
      <c r="D15" s="69" t="s">
        <v>19</v>
      </c>
      <c r="E15" s="87">
        <v>137544957</v>
      </c>
      <c r="F15" s="87">
        <v>93542595</v>
      </c>
      <c r="G15" s="87">
        <v>92131272.739999995</v>
      </c>
      <c r="H15" s="88">
        <f>G15/F15</f>
        <v>0.98491251755416875</v>
      </c>
      <c r="I15" s="87">
        <v>4620522</v>
      </c>
      <c r="J15" s="146">
        <v>2809688.61</v>
      </c>
      <c r="K15" s="147">
        <f>J15/I15</f>
        <v>0.60808900163228308</v>
      </c>
      <c r="L15" s="148"/>
      <c r="M15" s="149"/>
      <c r="N15" s="121">
        <f t="shared" si="0"/>
        <v>94940961.349999994</v>
      </c>
      <c r="O15" s="15"/>
      <c r="P15" s="16"/>
    </row>
    <row r="16" spans="1:16" ht="138.75" thickTop="1" thickBot="1" x14ac:dyDescent="0.25">
      <c r="A16" s="58" t="s">
        <v>20</v>
      </c>
      <c r="B16" s="69" t="s">
        <v>21</v>
      </c>
      <c r="C16" s="69" t="s">
        <v>18</v>
      </c>
      <c r="D16" s="69" t="s">
        <v>22</v>
      </c>
      <c r="E16" s="87">
        <f>3140800+53457585+9840160+8991093+3852358+8729800+10436320.4+7371163+10421580+10694200</f>
        <v>126935059.40000001</v>
      </c>
      <c r="F16" s="87">
        <v>100986420.40000001</v>
      </c>
      <c r="G16" s="87">
        <f>2136151.78+40849668.23+6301712.66+5671712.92+2554141.79+5430475.15+6234208.41+5468458.27+6430143.68+7698607.35</f>
        <v>88775280.23999998</v>
      </c>
      <c r="H16" s="88">
        <f t="shared" ref="H16:H18" si="1">G16/F16</f>
        <v>0.87908136448809082</v>
      </c>
      <c r="I16" s="87">
        <f>80000+1319000+25000+36120+125000+208760+108000+45000</f>
        <v>1946880</v>
      </c>
      <c r="J16" s="146">
        <f>78640+269999.44+36120+25100+151916.16+94010+43390</f>
        <v>699175.6</v>
      </c>
      <c r="K16" s="147">
        <f t="shared" ref="K16:K18" si="2">J16/I16</f>
        <v>0.35912619165023008</v>
      </c>
      <c r="L16" s="148"/>
      <c r="M16" s="149"/>
      <c r="N16" s="121">
        <f t="shared" si="0"/>
        <v>89474455.839999974</v>
      </c>
      <c r="O16" s="15"/>
      <c r="P16" s="16"/>
    </row>
    <row r="17" spans="1:18" ht="93" thickTop="1" thickBot="1" x14ac:dyDescent="0.25">
      <c r="A17" s="69" t="s">
        <v>23</v>
      </c>
      <c r="B17" s="69" t="s">
        <v>24</v>
      </c>
      <c r="C17" s="69" t="s">
        <v>25</v>
      </c>
      <c r="D17" s="69" t="s">
        <v>26</v>
      </c>
      <c r="E17" s="87">
        <f>139400+7000+57000+12000+10000+10000+5136</f>
        <v>240536</v>
      </c>
      <c r="F17" s="87">
        <v>141536</v>
      </c>
      <c r="G17" s="87">
        <f>41130+4156</f>
        <v>45286</v>
      </c>
      <c r="H17" s="88">
        <f t="shared" si="1"/>
        <v>0.31996099932172734</v>
      </c>
      <c r="I17" s="87"/>
      <c r="J17" s="146"/>
      <c r="K17" s="148"/>
      <c r="L17" s="148"/>
      <c r="M17" s="149"/>
      <c r="N17" s="121">
        <f t="shared" si="0"/>
        <v>45286</v>
      </c>
      <c r="O17" s="15"/>
      <c r="P17" s="17"/>
    </row>
    <row r="18" spans="1:18" ht="111" customHeight="1" thickTop="1" thickBot="1" x14ac:dyDescent="0.25">
      <c r="A18" s="58" t="s">
        <v>27</v>
      </c>
      <c r="B18" s="69" t="s">
        <v>28</v>
      </c>
      <c r="C18" s="69" t="s">
        <v>29</v>
      </c>
      <c r="D18" s="69" t="s">
        <v>30</v>
      </c>
      <c r="E18" s="121">
        <f>49229670+30000+37065+2169996.81</f>
        <v>51466731.810000002</v>
      </c>
      <c r="F18" s="121">
        <v>8393475</v>
      </c>
      <c r="G18" s="121">
        <f>7562079.64+30000+12364.4+31643.98</f>
        <v>7636088.0200000005</v>
      </c>
      <c r="H18" s="88">
        <f t="shared" si="1"/>
        <v>0.9097647899112109</v>
      </c>
      <c r="I18" s="87">
        <f>5609140.8+11742.47</f>
        <v>5620883.2699999996</v>
      </c>
      <c r="J18" s="146">
        <f>5609140.8+11742.47</f>
        <v>5620883.2699999996</v>
      </c>
      <c r="K18" s="147">
        <f t="shared" si="2"/>
        <v>1</v>
      </c>
      <c r="L18" s="121"/>
      <c r="M18" s="149"/>
      <c r="N18" s="121">
        <f t="shared" si="0"/>
        <v>13256971.289999999</v>
      </c>
      <c r="O18" s="15"/>
      <c r="P18" s="17"/>
    </row>
    <row r="19" spans="1:18" ht="83.25" customHeight="1" thickTop="1" thickBot="1" x14ac:dyDescent="0.25">
      <c r="A19" s="57" t="s">
        <v>64</v>
      </c>
      <c r="B19" s="77" t="s">
        <v>65</v>
      </c>
      <c r="C19" s="77"/>
      <c r="D19" s="78" t="s">
        <v>66</v>
      </c>
      <c r="E19" s="79">
        <f>SUM(E20:E53)-E21-E25-E33-E36-E39-E43-E48-E28-E51</f>
        <v>2105189898.0099995</v>
      </c>
      <c r="F19" s="79">
        <f>SUM(F20:F53)-F21-F25-F33-F36-F39-F43-F48-F28-F51</f>
        <v>1650715304.0100005</v>
      </c>
      <c r="G19" s="79">
        <f>SUM(G20:G53)-G21-G25-G33-G36-G39-G43-G48-G28-G51</f>
        <v>1484588842.7800004</v>
      </c>
      <c r="H19" s="80">
        <f>G19/F19</f>
        <v>0.89936092503265874</v>
      </c>
      <c r="I19" s="79">
        <f>SUM(I20:I53)-I21-I25-I33-I36-I39-I43-I48-I28-I51</f>
        <v>338833761.88999993</v>
      </c>
      <c r="J19" s="79">
        <f>SUM(J20:J53)-J21-J25-J33-J36-J39-J43-J48-J28-J51</f>
        <v>130168307.03999998</v>
      </c>
      <c r="K19" s="80">
        <f>J19/I19</f>
        <v>0.38416569327072619</v>
      </c>
      <c r="L19" s="79"/>
      <c r="M19" s="79"/>
      <c r="N19" s="81">
        <f>G19+J19</f>
        <v>1614757149.8200004</v>
      </c>
      <c r="O19" s="53" t="b">
        <f>N19=N20+N22+N23+N24+N26+N27+N31+N32+N34+N35+N37+N38+N40+N41+N42+N46+N49+N53+N52</f>
        <v>1</v>
      </c>
      <c r="P19" s="12"/>
    </row>
    <row r="20" spans="1:18" ht="99" customHeight="1" thickTop="1" thickBot="1" x14ac:dyDescent="0.6">
      <c r="A20" s="58" t="s">
        <v>67</v>
      </c>
      <c r="B20" s="75" t="s">
        <v>68</v>
      </c>
      <c r="C20" s="75" t="s">
        <v>69</v>
      </c>
      <c r="D20" s="75" t="s">
        <v>70</v>
      </c>
      <c r="E20" s="115">
        <v>556640456.61000001</v>
      </c>
      <c r="F20" s="115">
        <v>433835786.61000001</v>
      </c>
      <c r="G20" s="115">
        <v>395781913.88999999</v>
      </c>
      <c r="H20" s="88">
        <f>G20/F20</f>
        <v>0.91228507676290693</v>
      </c>
      <c r="I20" s="115">
        <v>103940094.20999999</v>
      </c>
      <c r="J20" s="115">
        <v>39986436.509999998</v>
      </c>
      <c r="K20" s="88">
        <f t="shared" ref="K20:K24" si="3">J20/I20</f>
        <v>0.38470656404458919</v>
      </c>
      <c r="L20" s="115"/>
      <c r="M20" s="114"/>
      <c r="N20" s="115">
        <f t="shared" si="0"/>
        <v>435768350.39999998</v>
      </c>
      <c r="O20" s="21"/>
      <c r="P20" s="12"/>
    </row>
    <row r="21" spans="1:18" ht="93" thickTop="1" thickBot="1" x14ac:dyDescent="0.6">
      <c r="A21" s="76" t="s">
        <v>71</v>
      </c>
      <c r="B21" s="76" t="s">
        <v>72</v>
      </c>
      <c r="C21" s="76"/>
      <c r="D21" s="76" t="s">
        <v>73</v>
      </c>
      <c r="E21" s="120">
        <f>E22+E23+E24</f>
        <v>593236751.22000003</v>
      </c>
      <c r="F21" s="120">
        <f>F22+F23+F24</f>
        <v>479187266.56</v>
      </c>
      <c r="G21" s="120">
        <f>G22+G23+G24</f>
        <v>392473581.91000003</v>
      </c>
      <c r="H21" s="89">
        <f t="shared" ref="H21:H46" si="4">G21/F21</f>
        <v>0.81904008995793631</v>
      </c>
      <c r="I21" s="120">
        <f>I22+I23+I24</f>
        <v>136910133.33999997</v>
      </c>
      <c r="J21" s="120">
        <f>J22+J23+J24</f>
        <v>51418002.149999999</v>
      </c>
      <c r="K21" s="89">
        <f t="shared" si="3"/>
        <v>0.37556023718353648</v>
      </c>
      <c r="L21" s="120"/>
      <c r="M21" s="111"/>
      <c r="N21" s="120">
        <f>G21+J21</f>
        <v>443891584.06</v>
      </c>
      <c r="O21" s="21"/>
      <c r="P21" s="22"/>
    </row>
    <row r="22" spans="1:18" ht="93" thickTop="1" thickBot="1" x14ac:dyDescent="0.6">
      <c r="A22" s="75" t="s">
        <v>74</v>
      </c>
      <c r="B22" s="75" t="s">
        <v>75</v>
      </c>
      <c r="C22" s="75" t="s">
        <v>76</v>
      </c>
      <c r="D22" s="75" t="s">
        <v>77</v>
      </c>
      <c r="E22" s="115">
        <v>537326574.22000003</v>
      </c>
      <c r="F22" s="115">
        <v>435903846.56</v>
      </c>
      <c r="G22" s="115">
        <v>355946364.56</v>
      </c>
      <c r="H22" s="88">
        <f t="shared" si="4"/>
        <v>0.8165708271881601</v>
      </c>
      <c r="I22" s="115">
        <v>135795989.44999999</v>
      </c>
      <c r="J22" s="115">
        <v>51053115.350000001</v>
      </c>
      <c r="K22" s="88">
        <f t="shared" si="3"/>
        <v>0.37595451498070737</v>
      </c>
      <c r="L22" s="115"/>
      <c r="M22" s="114"/>
      <c r="N22" s="115">
        <f t="shared" si="0"/>
        <v>406999479.91000003</v>
      </c>
      <c r="O22" s="21"/>
      <c r="P22" s="13"/>
      <c r="R22" s="23"/>
    </row>
    <row r="23" spans="1:18" ht="184.5" thickTop="1" thickBot="1" x14ac:dyDescent="0.25">
      <c r="A23" s="58" t="s">
        <v>78</v>
      </c>
      <c r="B23" s="75" t="s">
        <v>79</v>
      </c>
      <c r="C23" s="75" t="s">
        <v>80</v>
      </c>
      <c r="D23" s="75" t="s">
        <v>81</v>
      </c>
      <c r="E23" s="115">
        <v>29563036</v>
      </c>
      <c r="F23" s="115">
        <v>22773783</v>
      </c>
      <c r="G23" s="115">
        <v>19949115.91</v>
      </c>
      <c r="H23" s="88">
        <f t="shared" si="4"/>
        <v>0.87596847260729582</v>
      </c>
      <c r="I23" s="115">
        <v>790000</v>
      </c>
      <c r="J23" s="115">
        <v>70742.91</v>
      </c>
      <c r="K23" s="88">
        <f t="shared" si="3"/>
        <v>8.9547987341772162E-2</v>
      </c>
      <c r="L23" s="115"/>
      <c r="M23" s="114"/>
      <c r="N23" s="115">
        <f t="shared" si="0"/>
        <v>20019858.82</v>
      </c>
      <c r="P23" s="13"/>
    </row>
    <row r="24" spans="1:18" ht="138.75" thickTop="1" thickBot="1" x14ac:dyDescent="0.25">
      <c r="A24" s="75"/>
      <c r="B24" s="75" t="s">
        <v>455</v>
      </c>
      <c r="C24" s="75" t="s">
        <v>80</v>
      </c>
      <c r="D24" s="75" t="s">
        <v>456</v>
      </c>
      <c r="E24" s="115">
        <v>26347141</v>
      </c>
      <c r="F24" s="115">
        <v>20509637</v>
      </c>
      <c r="G24" s="115">
        <v>16578101.439999999</v>
      </c>
      <c r="H24" s="88">
        <f t="shared" si="4"/>
        <v>0.80830789155361449</v>
      </c>
      <c r="I24" s="115">
        <v>324143.89</v>
      </c>
      <c r="J24" s="115">
        <v>294143.89</v>
      </c>
      <c r="K24" s="88">
        <f t="shared" si="3"/>
        <v>0.90744850998116922</v>
      </c>
      <c r="L24" s="115"/>
      <c r="M24" s="114"/>
      <c r="N24" s="115">
        <f>G24+J24</f>
        <v>16872245.329999998</v>
      </c>
      <c r="P24" s="13"/>
    </row>
    <row r="25" spans="1:18" ht="123" thickTop="1" thickBot="1" x14ac:dyDescent="0.25">
      <c r="A25" s="59" t="s">
        <v>82</v>
      </c>
      <c r="B25" s="76" t="s">
        <v>83</v>
      </c>
      <c r="C25" s="76"/>
      <c r="D25" s="76" t="s">
        <v>84</v>
      </c>
      <c r="E25" s="120">
        <f>E26+E27</f>
        <v>602605586</v>
      </c>
      <c r="F25" s="120">
        <f>F26+F27</f>
        <v>460710080</v>
      </c>
      <c r="G25" s="120">
        <f>G26+G27</f>
        <v>460372548.33999997</v>
      </c>
      <c r="H25" s="89">
        <f t="shared" si="4"/>
        <v>0.99926736645310643</v>
      </c>
      <c r="I25" s="120">
        <f>I26+I27</f>
        <v>0</v>
      </c>
      <c r="J25" s="120">
        <f>J26+J27</f>
        <v>0</v>
      </c>
      <c r="K25" s="89">
        <v>0</v>
      </c>
      <c r="L25" s="120"/>
      <c r="M25" s="120"/>
      <c r="N25" s="120">
        <f>G25+J25</f>
        <v>460372548.33999997</v>
      </c>
      <c r="O25" s="50" t="s">
        <v>433</v>
      </c>
      <c r="P25" s="19"/>
    </row>
    <row r="26" spans="1:18" ht="93" thickTop="1" thickBot="1" x14ac:dyDescent="0.25">
      <c r="A26" s="58" t="s">
        <v>85</v>
      </c>
      <c r="B26" s="75" t="s">
        <v>86</v>
      </c>
      <c r="C26" s="75" t="s">
        <v>76</v>
      </c>
      <c r="D26" s="75" t="s">
        <v>77</v>
      </c>
      <c r="E26" s="115">
        <v>600318986</v>
      </c>
      <c r="F26" s="115">
        <v>459014280</v>
      </c>
      <c r="G26" s="115">
        <v>458676748.33999997</v>
      </c>
      <c r="H26" s="88">
        <f t="shared" si="4"/>
        <v>0.99926465978356915</v>
      </c>
      <c r="I26" s="115"/>
      <c r="J26" s="115"/>
      <c r="K26" s="115"/>
      <c r="L26" s="115"/>
      <c r="M26" s="114"/>
      <c r="N26" s="115">
        <f t="shared" si="0"/>
        <v>458676748.33999997</v>
      </c>
      <c r="P26" s="17"/>
    </row>
    <row r="27" spans="1:18" ht="138.75" thickTop="1" thickBot="1" x14ac:dyDescent="0.25">
      <c r="A27" s="123"/>
      <c r="B27" s="124" t="s">
        <v>502</v>
      </c>
      <c r="C27" s="75" t="s">
        <v>80</v>
      </c>
      <c r="D27" s="75" t="s">
        <v>456</v>
      </c>
      <c r="E27" s="125">
        <v>2286600</v>
      </c>
      <c r="F27" s="125">
        <v>1695800</v>
      </c>
      <c r="G27" s="125">
        <v>1695800</v>
      </c>
      <c r="H27" s="88">
        <f t="shared" si="4"/>
        <v>1</v>
      </c>
      <c r="I27" s="125"/>
      <c r="J27" s="125"/>
      <c r="K27" s="125"/>
      <c r="L27" s="125"/>
      <c r="M27" s="150"/>
      <c r="N27" s="115">
        <f t="shared" si="0"/>
        <v>1695800</v>
      </c>
      <c r="P27" s="17"/>
    </row>
    <row r="28" spans="1:18" ht="409.6" hidden="1" customHeight="1" thickTop="1" x14ac:dyDescent="0.65">
      <c r="A28" s="193" t="s">
        <v>87</v>
      </c>
      <c r="B28" s="176" t="s">
        <v>88</v>
      </c>
      <c r="C28" s="176"/>
      <c r="D28" s="99" t="s">
        <v>461</v>
      </c>
      <c r="E28" s="178">
        <f t="shared" ref="E28:J28" si="5">E30</f>
        <v>0</v>
      </c>
      <c r="F28" s="180">
        <f t="shared" ref="F28" si="6">F30</f>
        <v>0</v>
      </c>
      <c r="G28" s="178">
        <f t="shared" si="5"/>
        <v>0</v>
      </c>
      <c r="H28" s="88" t="e">
        <f t="shared" si="4"/>
        <v>#DIV/0!</v>
      </c>
      <c r="I28" s="180">
        <f t="shared" si="5"/>
        <v>0</v>
      </c>
      <c r="J28" s="180">
        <f t="shared" si="5"/>
        <v>0</v>
      </c>
      <c r="K28" s="189" t="e">
        <f t="shared" ref="K28:K30" si="7">J28/I28</f>
        <v>#DIV/0!</v>
      </c>
      <c r="L28" s="180"/>
      <c r="M28" s="180"/>
      <c r="N28" s="180">
        <f>J28+G28</f>
        <v>0</v>
      </c>
      <c r="P28" s="17"/>
    </row>
    <row r="29" spans="1:18" ht="230.25" hidden="1" customHeight="1" thickTop="1" thickBot="1" x14ac:dyDescent="0.25">
      <c r="A29" s="194"/>
      <c r="B29" s="177"/>
      <c r="C29" s="177"/>
      <c r="D29" s="100" t="s">
        <v>462</v>
      </c>
      <c r="E29" s="179"/>
      <c r="F29" s="181"/>
      <c r="G29" s="179"/>
      <c r="H29" s="88" t="e">
        <f t="shared" si="4"/>
        <v>#DIV/0!</v>
      </c>
      <c r="I29" s="181"/>
      <c r="J29" s="181"/>
      <c r="K29" s="190"/>
      <c r="L29" s="181"/>
      <c r="M29" s="181"/>
      <c r="N29" s="181"/>
      <c r="P29" s="17"/>
    </row>
    <row r="30" spans="1:18" ht="138.75" hidden="1" customHeight="1" thickTop="1" thickBot="1" x14ac:dyDescent="0.25">
      <c r="A30" s="58" t="s">
        <v>89</v>
      </c>
      <c r="B30" s="101" t="s">
        <v>90</v>
      </c>
      <c r="C30" s="101" t="s">
        <v>76</v>
      </c>
      <c r="D30" s="101" t="s">
        <v>91</v>
      </c>
      <c r="E30" s="102"/>
      <c r="F30" s="122"/>
      <c r="G30" s="102"/>
      <c r="H30" s="88" t="e">
        <f t="shared" si="4"/>
        <v>#DIV/0!</v>
      </c>
      <c r="I30" s="122"/>
      <c r="J30" s="122"/>
      <c r="K30" s="126" t="e">
        <f t="shared" si="7"/>
        <v>#DIV/0!</v>
      </c>
      <c r="L30" s="122"/>
      <c r="M30" s="151"/>
      <c r="N30" s="122">
        <f t="shared" ref="N30:N36" si="8">G30+J30</f>
        <v>0</v>
      </c>
      <c r="P30" s="12"/>
    </row>
    <row r="31" spans="1:18" ht="138.75" thickTop="1" thickBot="1" x14ac:dyDescent="0.25">
      <c r="A31" s="75" t="s">
        <v>92</v>
      </c>
      <c r="B31" s="75" t="s">
        <v>93</v>
      </c>
      <c r="C31" s="75" t="s">
        <v>94</v>
      </c>
      <c r="D31" s="75" t="s">
        <v>95</v>
      </c>
      <c r="E31" s="115">
        <v>33760991</v>
      </c>
      <c r="F31" s="115">
        <v>26581308.5</v>
      </c>
      <c r="G31" s="115">
        <v>23955476.93</v>
      </c>
      <c r="H31" s="88">
        <f t="shared" si="4"/>
        <v>0.9012151124915464</v>
      </c>
      <c r="I31" s="115">
        <v>12776624.470000001</v>
      </c>
      <c r="J31" s="115">
        <v>9374401.6300000008</v>
      </c>
      <c r="K31" s="88">
        <f t="shared" ref="K31:K37" si="9">J31/I31</f>
        <v>0.73371504750816241</v>
      </c>
      <c r="L31" s="115"/>
      <c r="M31" s="114"/>
      <c r="N31" s="115">
        <f t="shared" si="8"/>
        <v>33329878.560000002</v>
      </c>
      <c r="P31" s="12"/>
    </row>
    <row r="32" spans="1:18" ht="93" thickTop="1" thickBot="1" x14ac:dyDescent="0.25">
      <c r="A32" s="58"/>
      <c r="B32" s="75" t="s">
        <v>269</v>
      </c>
      <c r="C32" s="75" t="s">
        <v>94</v>
      </c>
      <c r="D32" s="75" t="s">
        <v>507</v>
      </c>
      <c r="E32" s="115">
        <v>84943060</v>
      </c>
      <c r="F32" s="115">
        <v>62603306</v>
      </c>
      <c r="G32" s="115">
        <v>60329941.130000003</v>
      </c>
      <c r="H32" s="88">
        <f t="shared" si="4"/>
        <v>0.96368618503949299</v>
      </c>
      <c r="I32" s="115">
        <v>10211852.74</v>
      </c>
      <c r="J32" s="115">
        <v>4423618.6399999997</v>
      </c>
      <c r="K32" s="88">
        <f t="shared" si="9"/>
        <v>0.43318472686867199</v>
      </c>
      <c r="L32" s="115"/>
      <c r="M32" s="114"/>
      <c r="N32" s="115">
        <f t="shared" si="8"/>
        <v>64753559.770000003</v>
      </c>
      <c r="P32" s="12"/>
    </row>
    <row r="33" spans="1:16" ht="138.75" thickTop="1" thickBot="1" x14ac:dyDescent="0.25">
      <c r="A33" s="59" t="s">
        <v>96</v>
      </c>
      <c r="B33" s="76" t="s">
        <v>97</v>
      </c>
      <c r="C33" s="76"/>
      <c r="D33" s="76" t="s">
        <v>98</v>
      </c>
      <c r="E33" s="120">
        <f>E34+E35</f>
        <v>189648152.68000001</v>
      </c>
      <c r="F33" s="120">
        <f>F34+F35</f>
        <v>152788086.84</v>
      </c>
      <c r="G33" s="120">
        <f>G34+G35</f>
        <v>122942455.40000001</v>
      </c>
      <c r="H33" s="89">
        <f t="shared" si="4"/>
        <v>0.80465995708648141</v>
      </c>
      <c r="I33" s="120">
        <f t="shared" ref="I33:J33" si="10">I34+I35</f>
        <v>49108233.689999998</v>
      </c>
      <c r="J33" s="120">
        <f t="shared" si="10"/>
        <v>20542089.149999999</v>
      </c>
      <c r="K33" s="89">
        <f t="shared" si="9"/>
        <v>0.41830234171470565</v>
      </c>
      <c r="L33" s="120"/>
      <c r="M33" s="120"/>
      <c r="N33" s="120">
        <f t="shared" si="8"/>
        <v>143484544.55000001</v>
      </c>
      <c r="P33" s="19"/>
    </row>
    <row r="34" spans="1:16" ht="184.5" thickTop="1" thickBot="1" x14ac:dyDescent="0.25">
      <c r="A34" s="75" t="s">
        <v>99</v>
      </c>
      <c r="B34" s="75" t="s">
        <v>100</v>
      </c>
      <c r="C34" s="75" t="s">
        <v>101</v>
      </c>
      <c r="D34" s="75" t="s">
        <v>102</v>
      </c>
      <c r="E34" s="115">
        <v>165274552.68000001</v>
      </c>
      <c r="F34" s="115">
        <v>132383066.84</v>
      </c>
      <c r="G34" s="115">
        <v>107280519.11</v>
      </c>
      <c r="H34" s="88">
        <f t="shared" si="4"/>
        <v>0.81037946673089778</v>
      </c>
      <c r="I34" s="115">
        <v>49108233.689999998</v>
      </c>
      <c r="J34" s="115">
        <v>20542089.149999999</v>
      </c>
      <c r="K34" s="88">
        <f t="shared" si="9"/>
        <v>0.41830234171470565</v>
      </c>
      <c r="L34" s="115"/>
      <c r="M34" s="114"/>
      <c r="N34" s="115">
        <f t="shared" si="8"/>
        <v>127822608.25999999</v>
      </c>
      <c r="P34" s="12"/>
    </row>
    <row r="35" spans="1:16" ht="138.75" thickTop="1" thickBot="1" x14ac:dyDescent="0.25">
      <c r="A35" s="58" t="s">
        <v>103</v>
      </c>
      <c r="B35" s="75" t="s">
        <v>104</v>
      </c>
      <c r="C35" s="75" t="s">
        <v>101</v>
      </c>
      <c r="D35" s="75" t="s">
        <v>105</v>
      </c>
      <c r="E35" s="115">
        <v>24373600</v>
      </c>
      <c r="F35" s="115">
        <v>20405020</v>
      </c>
      <c r="G35" s="115">
        <v>15661936.289999999</v>
      </c>
      <c r="H35" s="88">
        <f t="shared" si="4"/>
        <v>0.76755309673795957</v>
      </c>
      <c r="I35" s="115"/>
      <c r="J35" s="115"/>
      <c r="K35" s="115"/>
      <c r="L35" s="115"/>
      <c r="M35" s="114"/>
      <c r="N35" s="115">
        <f t="shared" si="8"/>
        <v>15661936.289999999</v>
      </c>
      <c r="P35" s="17"/>
    </row>
    <row r="36" spans="1:16" ht="93" thickTop="1" thickBot="1" x14ac:dyDescent="0.25">
      <c r="A36" s="59" t="s">
        <v>106</v>
      </c>
      <c r="B36" s="76" t="s">
        <v>107</v>
      </c>
      <c r="C36" s="76"/>
      <c r="D36" s="76" t="s">
        <v>108</v>
      </c>
      <c r="E36" s="120">
        <f t="shared" ref="E36:J36" si="11">E37+E38</f>
        <v>31735510</v>
      </c>
      <c r="F36" s="120">
        <f t="shared" ref="F36" si="12">F37+F38</f>
        <v>25145461</v>
      </c>
      <c r="G36" s="120">
        <f t="shared" si="11"/>
        <v>19881515.399999999</v>
      </c>
      <c r="H36" s="89">
        <f t="shared" si="4"/>
        <v>0.79066020702503714</v>
      </c>
      <c r="I36" s="120">
        <f t="shared" si="11"/>
        <v>9487187.3699999992</v>
      </c>
      <c r="J36" s="120">
        <f t="shared" si="11"/>
        <v>3085849.27</v>
      </c>
      <c r="K36" s="89">
        <f t="shared" si="9"/>
        <v>0.32526492306433707</v>
      </c>
      <c r="L36" s="120"/>
      <c r="M36" s="120"/>
      <c r="N36" s="120">
        <f t="shared" si="8"/>
        <v>22967364.669999998</v>
      </c>
      <c r="P36" s="19"/>
    </row>
    <row r="37" spans="1:16" ht="93" thickTop="1" thickBot="1" x14ac:dyDescent="0.25">
      <c r="A37" s="58" t="s">
        <v>109</v>
      </c>
      <c r="B37" s="75" t="s">
        <v>110</v>
      </c>
      <c r="C37" s="75" t="s">
        <v>111</v>
      </c>
      <c r="D37" s="75" t="s">
        <v>112</v>
      </c>
      <c r="E37" s="115">
        <v>31215690</v>
      </c>
      <c r="F37" s="115">
        <v>24625641</v>
      </c>
      <c r="G37" s="115">
        <v>19678280.399999999</v>
      </c>
      <c r="H37" s="88">
        <f t="shared" si="4"/>
        <v>0.79909718492200865</v>
      </c>
      <c r="I37" s="115">
        <v>9487187.3699999992</v>
      </c>
      <c r="J37" s="115">
        <v>3085849.27</v>
      </c>
      <c r="K37" s="88">
        <f t="shared" si="9"/>
        <v>0.32526492306433707</v>
      </c>
      <c r="L37" s="115"/>
      <c r="M37" s="114"/>
      <c r="N37" s="115">
        <f t="shared" ref="N37:N46" si="13">G37+J37</f>
        <v>22764129.669999998</v>
      </c>
      <c r="P37" s="17"/>
    </row>
    <row r="38" spans="1:16" ht="93" thickTop="1" thickBot="1" x14ac:dyDescent="0.25">
      <c r="A38" s="58" t="s">
        <v>113</v>
      </c>
      <c r="B38" s="75" t="s">
        <v>114</v>
      </c>
      <c r="C38" s="75" t="s">
        <v>111</v>
      </c>
      <c r="D38" s="75" t="s">
        <v>115</v>
      </c>
      <c r="E38" s="115">
        <v>519820</v>
      </c>
      <c r="F38" s="115">
        <v>519820</v>
      </c>
      <c r="G38" s="115">
        <v>203235</v>
      </c>
      <c r="H38" s="88">
        <f t="shared" si="4"/>
        <v>0.39097187487976609</v>
      </c>
      <c r="I38" s="115"/>
      <c r="J38" s="115"/>
      <c r="K38" s="115"/>
      <c r="L38" s="115"/>
      <c r="M38" s="114"/>
      <c r="N38" s="115">
        <f t="shared" si="13"/>
        <v>203235</v>
      </c>
      <c r="P38" s="17"/>
    </row>
    <row r="39" spans="1:16" ht="93" thickTop="1" thickBot="1" x14ac:dyDescent="0.25">
      <c r="A39" s="59" t="s">
        <v>116</v>
      </c>
      <c r="B39" s="76" t="s">
        <v>117</v>
      </c>
      <c r="C39" s="76"/>
      <c r="D39" s="76" t="s">
        <v>118</v>
      </c>
      <c r="E39" s="120">
        <f>E40+E41</f>
        <v>4951121.5</v>
      </c>
      <c r="F39" s="120">
        <f>F40+F41</f>
        <v>3958946.5</v>
      </c>
      <c r="G39" s="120">
        <f t="shared" ref="G39:J39" si="14">G40+G41</f>
        <v>3470903.09</v>
      </c>
      <c r="H39" s="89">
        <f t="shared" si="4"/>
        <v>0.87672391885063361</v>
      </c>
      <c r="I39" s="120">
        <f t="shared" si="14"/>
        <v>219300</v>
      </c>
      <c r="J39" s="120">
        <f t="shared" si="14"/>
        <v>217997</v>
      </c>
      <c r="K39" s="89">
        <f>J39/I39</f>
        <v>0.99405836753305976</v>
      </c>
      <c r="L39" s="120"/>
      <c r="M39" s="120"/>
      <c r="N39" s="120">
        <f t="shared" si="13"/>
        <v>3688900.09</v>
      </c>
      <c r="O39" s="50"/>
      <c r="P39" s="19"/>
    </row>
    <row r="40" spans="1:16" ht="93" thickTop="1" thickBot="1" x14ac:dyDescent="0.25">
      <c r="A40" s="58" t="s">
        <v>119</v>
      </c>
      <c r="B40" s="75" t="s">
        <v>120</v>
      </c>
      <c r="C40" s="75" t="s">
        <v>111</v>
      </c>
      <c r="D40" s="75" t="s">
        <v>121</v>
      </c>
      <c r="E40" s="115">
        <v>1235721.5</v>
      </c>
      <c r="F40" s="115">
        <v>1008116.5</v>
      </c>
      <c r="G40" s="115">
        <v>770656.3</v>
      </c>
      <c r="H40" s="88">
        <f t="shared" si="4"/>
        <v>0.76445162835842884</v>
      </c>
      <c r="I40" s="115">
        <v>219300</v>
      </c>
      <c r="J40" s="115">
        <v>217997</v>
      </c>
      <c r="K40" s="88">
        <f t="shared" ref="K40:K42" si="15">J40/I40</f>
        <v>0.99405836753305976</v>
      </c>
      <c r="L40" s="115"/>
      <c r="M40" s="114"/>
      <c r="N40" s="115">
        <f>G40+J40</f>
        <v>988653.3</v>
      </c>
      <c r="P40" s="12"/>
    </row>
    <row r="41" spans="1:16" ht="93" thickTop="1" thickBot="1" x14ac:dyDescent="0.25">
      <c r="A41" s="58" t="s">
        <v>122</v>
      </c>
      <c r="B41" s="75" t="s">
        <v>123</v>
      </c>
      <c r="C41" s="75" t="s">
        <v>111</v>
      </c>
      <c r="D41" s="75" t="s">
        <v>124</v>
      </c>
      <c r="E41" s="115">
        <v>3715400</v>
      </c>
      <c r="F41" s="115">
        <v>2950830</v>
      </c>
      <c r="G41" s="115">
        <v>2700246.79</v>
      </c>
      <c r="H41" s="88">
        <f t="shared" si="4"/>
        <v>0.91508043160737829</v>
      </c>
      <c r="I41" s="115"/>
      <c r="J41" s="115"/>
      <c r="K41" s="115"/>
      <c r="L41" s="115"/>
      <c r="M41" s="114"/>
      <c r="N41" s="115">
        <f t="shared" si="13"/>
        <v>2700246.79</v>
      </c>
      <c r="P41" s="17"/>
    </row>
    <row r="42" spans="1:16" ht="93" thickTop="1" thickBot="1" x14ac:dyDescent="0.25">
      <c r="A42" s="58" t="s">
        <v>125</v>
      </c>
      <c r="B42" s="75" t="s">
        <v>126</v>
      </c>
      <c r="C42" s="75" t="s">
        <v>111</v>
      </c>
      <c r="D42" s="75" t="s">
        <v>127</v>
      </c>
      <c r="E42" s="115">
        <v>3358580</v>
      </c>
      <c r="F42" s="115">
        <v>2672793</v>
      </c>
      <c r="G42" s="115">
        <v>2585431.46</v>
      </c>
      <c r="H42" s="88">
        <f t="shared" si="4"/>
        <v>0.96731451331996154</v>
      </c>
      <c r="I42" s="115">
        <v>200000</v>
      </c>
      <c r="J42" s="115">
        <v>198700</v>
      </c>
      <c r="K42" s="88">
        <f t="shared" si="15"/>
        <v>0.99350000000000005</v>
      </c>
      <c r="L42" s="115"/>
      <c r="M42" s="114"/>
      <c r="N42" s="115">
        <f>G42+J42</f>
        <v>2784131.46</v>
      </c>
      <c r="O42" s="50"/>
      <c r="P42" s="12"/>
    </row>
    <row r="43" spans="1:16" s="18" customFormat="1" ht="230.25" hidden="1" customHeight="1" thickTop="1" thickBot="1" x14ac:dyDescent="0.25">
      <c r="A43" s="59" t="s">
        <v>128</v>
      </c>
      <c r="B43" s="96" t="s">
        <v>129</v>
      </c>
      <c r="C43" s="96"/>
      <c r="D43" s="96" t="s">
        <v>130</v>
      </c>
      <c r="E43" s="97">
        <f>E44+E45</f>
        <v>0</v>
      </c>
      <c r="F43" s="120">
        <f>F44+F45</f>
        <v>0</v>
      </c>
      <c r="G43" s="97">
        <f>G44+G45</f>
        <v>0</v>
      </c>
      <c r="H43" s="92" t="e">
        <f t="shared" si="4"/>
        <v>#DIV/0!</v>
      </c>
      <c r="I43" s="97">
        <f>I44+I45</f>
        <v>0</v>
      </c>
      <c r="J43" s="97">
        <f>J44+J45</f>
        <v>0</v>
      </c>
      <c r="K43" s="98" t="e">
        <f t="shared" ref="K43:K45" si="16">J43/I43</f>
        <v>#DIV/0!</v>
      </c>
      <c r="L43" s="97"/>
      <c r="M43" s="97"/>
      <c r="N43" s="97">
        <f t="shared" si="13"/>
        <v>0</v>
      </c>
      <c r="O43" s="50"/>
      <c r="P43" s="22"/>
    </row>
    <row r="44" spans="1:16" s="18" customFormat="1" ht="367.5" hidden="1" customHeight="1" thickTop="1" thickBot="1" x14ac:dyDescent="0.25">
      <c r="A44" s="58" t="s">
        <v>131</v>
      </c>
      <c r="B44" s="93" t="s">
        <v>132</v>
      </c>
      <c r="C44" s="93" t="s">
        <v>111</v>
      </c>
      <c r="D44" s="93" t="s">
        <v>133</v>
      </c>
      <c r="E44" s="94"/>
      <c r="F44" s="115"/>
      <c r="G44" s="94"/>
      <c r="H44" s="92" t="e">
        <f t="shared" si="4"/>
        <v>#DIV/0!</v>
      </c>
      <c r="I44" s="94"/>
      <c r="J44" s="94"/>
      <c r="K44" s="92" t="e">
        <f t="shared" si="16"/>
        <v>#DIV/0!</v>
      </c>
      <c r="L44" s="94"/>
      <c r="M44" s="95"/>
      <c r="N44" s="94">
        <f t="shared" si="13"/>
        <v>0</v>
      </c>
      <c r="O44" s="50"/>
      <c r="P44" s="12"/>
    </row>
    <row r="45" spans="1:16" s="18" customFormat="1" ht="321.75" hidden="1" customHeight="1" thickTop="1" thickBot="1" x14ac:dyDescent="0.25">
      <c r="A45" s="58"/>
      <c r="B45" s="93" t="s">
        <v>453</v>
      </c>
      <c r="C45" s="93" t="s">
        <v>111</v>
      </c>
      <c r="D45" s="93" t="s">
        <v>454</v>
      </c>
      <c r="E45" s="94"/>
      <c r="F45" s="115"/>
      <c r="G45" s="94"/>
      <c r="H45" s="92" t="e">
        <f t="shared" si="4"/>
        <v>#DIV/0!</v>
      </c>
      <c r="I45" s="94"/>
      <c r="J45" s="94"/>
      <c r="K45" s="92" t="e">
        <f t="shared" si="16"/>
        <v>#DIV/0!</v>
      </c>
      <c r="L45" s="94"/>
      <c r="M45" s="95"/>
      <c r="N45" s="94">
        <f t="shared" si="13"/>
        <v>0</v>
      </c>
      <c r="O45" s="52"/>
      <c r="P45" s="12"/>
    </row>
    <row r="46" spans="1:16" s="18" customFormat="1" ht="184.5" thickTop="1" thickBot="1" x14ac:dyDescent="0.25">
      <c r="A46" s="58" t="s">
        <v>134</v>
      </c>
      <c r="B46" s="75" t="s">
        <v>135</v>
      </c>
      <c r="C46" s="75" t="s">
        <v>111</v>
      </c>
      <c r="D46" s="75" t="s">
        <v>136</v>
      </c>
      <c r="E46" s="115">
        <v>4309689</v>
      </c>
      <c r="F46" s="115">
        <v>3232269</v>
      </c>
      <c r="G46" s="115">
        <v>2795075.23</v>
      </c>
      <c r="H46" s="88">
        <f t="shared" si="4"/>
        <v>0.86474090801229719</v>
      </c>
      <c r="I46" s="115"/>
      <c r="J46" s="115"/>
      <c r="K46" s="88"/>
      <c r="L46" s="115"/>
      <c r="M46" s="114"/>
      <c r="N46" s="115">
        <f t="shared" si="13"/>
        <v>2795075.23</v>
      </c>
      <c r="O46" s="20"/>
      <c r="P46" s="12"/>
    </row>
    <row r="47" spans="1:16" s="18" customFormat="1" ht="184.5" hidden="1" thickTop="1" thickBot="1" x14ac:dyDescent="0.25">
      <c r="A47" s="57"/>
      <c r="B47" s="101" t="s">
        <v>137</v>
      </c>
      <c r="C47" s="101" t="s">
        <v>111</v>
      </c>
      <c r="D47" s="101" t="s">
        <v>138</v>
      </c>
      <c r="E47" s="102"/>
      <c r="F47" s="122"/>
      <c r="G47" s="102"/>
      <c r="H47" s="103"/>
      <c r="I47" s="122"/>
      <c r="J47" s="122"/>
      <c r="K47" s="126" t="e">
        <f t="shared" ref="K47:K53" si="17">J47/I47</f>
        <v>#DIV/0!</v>
      </c>
      <c r="L47" s="152"/>
      <c r="M47" s="152"/>
      <c r="N47" s="122">
        <f t="shared" ref="N47:N50" si="18">G47+J47</f>
        <v>0</v>
      </c>
      <c r="O47" s="20"/>
      <c r="P47" s="12"/>
    </row>
    <row r="48" spans="1:16" s="18" customFormat="1" ht="138.75" thickTop="1" thickBot="1" x14ac:dyDescent="0.25">
      <c r="A48" s="8"/>
      <c r="B48" s="76" t="s">
        <v>457</v>
      </c>
      <c r="C48" s="76"/>
      <c r="D48" s="76" t="s">
        <v>458</v>
      </c>
      <c r="E48" s="120">
        <f>E50+E49</f>
        <v>0</v>
      </c>
      <c r="F48" s="120">
        <f>F50+F49</f>
        <v>0</v>
      </c>
      <c r="G48" s="120">
        <f>G50+G49</f>
        <v>0</v>
      </c>
      <c r="H48" s="89">
        <v>0</v>
      </c>
      <c r="I48" s="120">
        <f>I50+I49</f>
        <v>1780336.07</v>
      </c>
      <c r="J48" s="120">
        <f>J50+J49</f>
        <v>11120</v>
      </c>
      <c r="K48" s="89">
        <f>J48/I48</f>
        <v>6.2460117431648735E-3</v>
      </c>
      <c r="L48" s="119"/>
      <c r="M48" s="119"/>
      <c r="N48" s="120">
        <f>G48+J48</f>
        <v>11120</v>
      </c>
      <c r="O48" s="50" t="s">
        <v>433</v>
      </c>
      <c r="P48" s="12"/>
    </row>
    <row r="49" spans="1:16" s="18" customFormat="1" ht="230.25" thickTop="1" thickBot="1" x14ac:dyDescent="0.25">
      <c r="A49" s="8"/>
      <c r="B49" s="75" t="s">
        <v>474</v>
      </c>
      <c r="C49" s="75" t="s">
        <v>111</v>
      </c>
      <c r="D49" s="75" t="s">
        <v>475</v>
      </c>
      <c r="E49" s="115"/>
      <c r="F49" s="115"/>
      <c r="G49" s="115"/>
      <c r="H49" s="88"/>
      <c r="I49" s="115">
        <v>1780336.07</v>
      </c>
      <c r="J49" s="115">
        <v>11120</v>
      </c>
      <c r="K49" s="88">
        <f t="shared" si="17"/>
        <v>6.2460117431648735E-3</v>
      </c>
      <c r="L49" s="118"/>
      <c r="M49" s="118"/>
      <c r="N49" s="115">
        <f>G49+J49</f>
        <v>11120</v>
      </c>
      <c r="O49" s="50"/>
      <c r="P49" s="12"/>
    </row>
    <row r="50" spans="1:16" s="18" customFormat="1" ht="230.25" hidden="1" thickTop="1" thickBot="1" x14ac:dyDescent="0.25">
      <c r="A50" s="57"/>
      <c r="B50" s="58" t="s">
        <v>459</v>
      </c>
      <c r="C50" s="58" t="s">
        <v>111</v>
      </c>
      <c r="D50" s="58" t="s">
        <v>460</v>
      </c>
      <c r="E50" s="122"/>
      <c r="F50" s="122"/>
      <c r="G50" s="122"/>
      <c r="H50" s="126"/>
      <c r="I50" s="122"/>
      <c r="J50" s="122"/>
      <c r="K50" s="126" t="e">
        <f t="shared" si="17"/>
        <v>#DIV/0!</v>
      </c>
      <c r="L50" s="152"/>
      <c r="M50" s="152"/>
      <c r="N50" s="122">
        <f t="shared" si="18"/>
        <v>0</v>
      </c>
      <c r="O50" s="50" t="s">
        <v>433</v>
      </c>
      <c r="P50" s="12"/>
    </row>
    <row r="51" spans="1:16" s="18" customFormat="1" ht="123" thickTop="1" thickBot="1" x14ac:dyDescent="0.25">
      <c r="A51" s="57"/>
      <c r="B51" s="76" t="s">
        <v>552</v>
      </c>
      <c r="C51" s="76"/>
      <c r="D51" s="76" t="s">
        <v>549</v>
      </c>
      <c r="E51" s="120">
        <f>SUM(E52:E53)</f>
        <v>0</v>
      </c>
      <c r="F51" s="120">
        <f>SUM(F52:F53)</f>
        <v>0</v>
      </c>
      <c r="G51" s="120">
        <f>SUM(G52:G53)</f>
        <v>0</v>
      </c>
      <c r="H51" s="88">
        <v>0</v>
      </c>
      <c r="I51" s="120">
        <f>SUM(I52:I53)</f>
        <v>14200000</v>
      </c>
      <c r="J51" s="120">
        <f>SUM(J52:J53)</f>
        <v>910092.69</v>
      </c>
      <c r="K51" s="88">
        <f>J51/I51</f>
        <v>6.4091034507042247E-2</v>
      </c>
      <c r="L51" s="119"/>
      <c r="M51" s="119"/>
      <c r="N51" s="120">
        <f>G51+J51</f>
        <v>910092.69</v>
      </c>
      <c r="O51" s="50" t="s">
        <v>433</v>
      </c>
      <c r="P51" s="12"/>
    </row>
    <row r="52" spans="1:16" s="18" customFormat="1" ht="230.25" thickTop="1" thickBot="1" x14ac:dyDescent="0.25">
      <c r="A52" s="57"/>
      <c r="B52" s="75" t="s">
        <v>568</v>
      </c>
      <c r="C52" s="75" t="s">
        <v>111</v>
      </c>
      <c r="D52" s="75" t="s">
        <v>567</v>
      </c>
      <c r="E52" s="115"/>
      <c r="F52" s="115"/>
      <c r="G52" s="115"/>
      <c r="H52" s="88"/>
      <c r="I52" s="115">
        <v>7000000</v>
      </c>
      <c r="J52" s="115">
        <v>55572.69</v>
      </c>
      <c r="K52" s="88">
        <f t="shared" ref="K52" si="19">J52/I52</f>
        <v>7.9389557142857149E-3</v>
      </c>
      <c r="L52" s="118"/>
      <c r="M52" s="118"/>
      <c r="N52" s="115">
        <f>G52+J52</f>
        <v>55572.69</v>
      </c>
      <c r="O52" s="52"/>
      <c r="P52" s="12"/>
    </row>
    <row r="53" spans="1:16" s="18" customFormat="1" ht="184.5" thickTop="1" thickBot="1" x14ac:dyDescent="0.25">
      <c r="A53" s="57"/>
      <c r="B53" s="75" t="s">
        <v>551</v>
      </c>
      <c r="C53" s="75" t="s">
        <v>111</v>
      </c>
      <c r="D53" s="75" t="s">
        <v>550</v>
      </c>
      <c r="E53" s="115"/>
      <c r="F53" s="115"/>
      <c r="G53" s="115"/>
      <c r="H53" s="88"/>
      <c r="I53" s="115">
        <v>7200000</v>
      </c>
      <c r="J53" s="115">
        <v>854520</v>
      </c>
      <c r="K53" s="88">
        <f t="shared" si="17"/>
        <v>0.11868333333333334</v>
      </c>
      <c r="L53" s="118"/>
      <c r="M53" s="118"/>
      <c r="N53" s="115">
        <f>G53+J53</f>
        <v>854520</v>
      </c>
      <c r="O53" s="52"/>
      <c r="P53" s="12"/>
    </row>
    <row r="54" spans="1:16" ht="91.5" thickTop="1" thickBot="1" x14ac:dyDescent="0.25">
      <c r="A54" s="57" t="s">
        <v>142</v>
      </c>
      <c r="B54" s="77" t="s">
        <v>143</v>
      </c>
      <c r="C54" s="77"/>
      <c r="D54" s="78" t="s">
        <v>144</v>
      </c>
      <c r="E54" s="79">
        <f>SUM(E55:E66)-E60-E62-E64</f>
        <v>156088730</v>
      </c>
      <c r="F54" s="79">
        <f t="shared" ref="F54" si="20">SUM(F55:F66)-F60-F62-F64</f>
        <v>75193818</v>
      </c>
      <c r="G54" s="79">
        <f t="shared" ref="G54:J54" si="21">SUM(G55:G66)-G60-G62-G64</f>
        <v>66003876.840000011</v>
      </c>
      <c r="H54" s="80">
        <f>G54/F54</f>
        <v>0.8777832885144895</v>
      </c>
      <c r="I54" s="79">
        <f>SUM(I55:I66)-I60-I62-I64</f>
        <v>68479054</v>
      </c>
      <c r="J54" s="79">
        <f t="shared" si="21"/>
        <v>31505946.77</v>
      </c>
      <c r="K54" s="80">
        <f>J54/I54</f>
        <v>0.46008151295431154</v>
      </c>
      <c r="L54" s="79"/>
      <c r="M54" s="79"/>
      <c r="N54" s="81">
        <f>J54+G54</f>
        <v>97509823.610000014</v>
      </c>
      <c r="O54" s="53" t="b">
        <f>N54=N55+N56+N57+N58+N61+N65+N66</f>
        <v>1</v>
      </c>
      <c r="P54" s="24"/>
    </row>
    <row r="55" spans="1:16" ht="93" thickTop="1" thickBot="1" x14ac:dyDescent="0.25">
      <c r="A55" s="58" t="s">
        <v>145</v>
      </c>
      <c r="B55" s="75" t="s">
        <v>146</v>
      </c>
      <c r="C55" s="75" t="s">
        <v>147</v>
      </c>
      <c r="D55" s="75" t="s">
        <v>148</v>
      </c>
      <c r="E55" s="115">
        <v>63715953</v>
      </c>
      <c r="F55" s="115">
        <v>25510390</v>
      </c>
      <c r="G55" s="115">
        <v>19309895.760000002</v>
      </c>
      <c r="H55" s="88">
        <f>G55/F55</f>
        <v>0.75694239719580925</v>
      </c>
      <c r="I55" s="115">
        <v>52169703</v>
      </c>
      <c r="J55" s="115">
        <v>25445897.57</v>
      </c>
      <c r="K55" s="88">
        <f>J55/I55</f>
        <v>0.48775239471844417</v>
      </c>
      <c r="L55" s="115"/>
      <c r="M55" s="114"/>
      <c r="N55" s="115">
        <f>G55+J55</f>
        <v>44755793.329999998</v>
      </c>
      <c r="P55" s="17"/>
    </row>
    <row r="56" spans="1:16" ht="93" thickTop="1" thickBot="1" x14ac:dyDescent="0.25">
      <c r="A56" s="58" t="s">
        <v>149</v>
      </c>
      <c r="B56" s="75" t="s">
        <v>150</v>
      </c>
      <c r="C56" s="75" t="s">
        <v>151</v>
      </c>
      <c r="D56" s="75" t="s">
        <v>152</v>
      </c>
      <c r="E56" s="115">
        <v>18220999</v>
      </c>
      <c r="F56" s="115">
        <v>10088840</v>
      </c>
      <c r="G56" s="115">
        <v>9418443.4600000009</v>
      </c>
      <c r="H56" s="88">
        <f t="shared" ref="H56:H58" si="22">G56/F56</f>
        <v>0.93355068174339184</v>
      </c>
      <c r="I56" s="115"/>
      <c r="J56" s="115"/>
      <c r="K56" s="88"/>
      <c r="L56" s="115"/>
      <c r="M56" s="114"/>
      <c r="N56" s="115">
        <f t="shared" ref="N56:N112" si="23">G56+J56</f>
        <v>9418443.4600000009</v>
      </c>
      <c r="P56" s="24"/>
    </row>
    <row r="57" spans="1:16" ht="93" thickTop="1" thickBot="1" x14ac:dyDescent="0.25">
      <c r="A57" s="75" t="s">
        <v>153</v>
      </c>
      <c r="B57" s="75" t="s">
        <v>154</v>
      </c>
      <c r="C57" s="75" t="s">
        <v>155</v>
      </c>
      <c r="D57" s="75" t="s">
        <v>156</v>
      </c>
      <c r="E57" s="115">
        <v>18957732</v>
      </c>
      <c r="F57" s="115">
        <v>6097100</v>
      </c>
      <c r="G57" s="115">
        <v>6088729.4500000002</v>
      </c>
      <c r="H57" s="88">
        <f t="shared" si="22"/>
        <v>0.99862712601072645</v>
      </c>
      <c r="I57" s="115">
        <v>11986984</v>
      </c>
      <c r="J57" s="115">
        <v>5821142</v>
      </c>
      <c r="K57" s="88">
        <f>J57/I57</f>
        <v>0.48562190455914517</v>
      </c>
      <c r="L57" s="115"/>
      <c r="M57" s="114"/>
      <c r="N57" s="115">
        <f t="shared" si="23"/>
        <v>11909871.449999999</v>
      </c>
      <c r="P57" s="24"/>
    </row>
    <row r="58" spans="1:16" ht="93" thickTop="1" thickBot="1" x14ac:dyDescent="0.25">
      <c r="A58" s="58" t="s">
        <v>157</v>
      </c>
      <c r="B58" s="75" t="s">
        <v>158</v>
      </c>
      <c r="C58" s="75" t="s">
        <v>159</v>
      </c>
      <c r="D58" s="75" t="s">
        <v>160</v>
      </c>
      <c r="E58" s="115">
        <v>26595495</v>
      </c>
      <c r="F58" s="115">
        <v>14363400</v>
      </c>
      <c r="G58" s="115">
        <v>13481865.83</v>
      </c>
      <c r="H58" s="88">
        <f t="shared" si="22"/>
        <v>0.93862635796538429</v>
      </c>
      <c r="I58" s="115">
        <v>1298667</v>
      </c>
      <c r="J58" s="115">
        <v>217522.56</v>
      </c>
      <c r="K58" s="88">
        <f>J58/I58</f>
        <v>0.1674967947903504</v>
      </c>
      <c r="L58" s="115"/>
      <c r="M58" s="114"/>
      <c r="N58" s="115">
        <f t="shared" si="23"/>
        <v>13699388.390000001</v>
      </c>
      <c r="P58" s="24"/>
    </row>
    <row r="59" spans="1:16" ht="93" hidden="1" thickTop="1" thickBot="1" x14ac:dyDescent="0.25">
      <c r="A59" s="58" t="s">
        <v>161</v>
      </c>
      <c r="B59" s="101" t="s">
        <v>162</v>
      </c>
      <c r="C59" s="101" t="s">
        <v>163</v>
      </c>
      <c r="D59" s="101" t="s">
        <v>164</v>
      </c>
      <c r="E59" s="102"/>
      <c r="F59" s="122"/>
      <c r="G59" s="102"/>
      <c r="H59" s="103"/>
      <c r="I59" s="122"/>
      <c r="J59" s="122"/>
      <c r="K59" s="126" t="e">
        <f>J59/I59</f>
        <v>#DIV/0!</v>
      </c>
      <c r="L59" s="122"/>
      <c r="M59" s="151"/>
      <c r="N59" s="122">
        <f t="shared" si="23"/>
        <v>0</v>
      </c>
      <c r="P59" s="24"/>
    </row>
    <row r="60" spans="1:16" ht="93" thickTop="1" thickBot="1" x14ac:dyDescent="0.25">
      <c r="A60" s="58" t="s">
        <v>165</v>
      </c>
      <c r="B60" s="76" t="s">
        <v>166</v>
      </c>
      <c r="C60" s="76"/>
      <c r="D60" s="76" t="s">
        <v>167</v>
      </c>
      <c r="E60" s="120">
        <f>E61</f>
        <v>18156325</v>
      </c>
      <c r="F60" s="120">
        <f>F61</f>
        <v>11181960</v>
      </c>
      <c r="G60" s="120">
        <f t="shared" ref="G60" si="24">G61</f>
        <v>10969255.470000001</v>
      </c>
      <c r="H60" s="89">
        <f t="shared" ref="H60:H61" si="25">G60/F60</f>
        <v>0.98097788491463045</v>
      </c>
      <c r="I60" s="120">
        <f>I61</f>
        <v>3000000</v>
      </c>
      <c r="J60" s="120">
        <f t="shared" ref="J60" si="26">J61</f>
        <v>0</v>
      </c>
      <c r="K60" s="89">
        <f>J60/I60</f>
        <v>0</v>
      </c>
      <c r="L60" s="120"/>
      <c r="M60" s="120"/>
      <c r="N60" s="120">
        <f t="shared" si="23"/>
        <v>10969255.470000001</v>
      </c>
      <c r="O60" s="50"/>
      <c r="P60" s="24"/>
    </row>
    <row r="61" spans="1:16" ht="138.75" thickTop="1" thickBot="1" x14ac:dyDescent="0.25">
      <c r="A61" s="58" t="s">
        <v>168</v>
      </c>
      <c r="B61" s="75" t="s">
        <v>169</v>
      </c>
      <c r="C61" s="75" t="s">
        <v>170</v>
      </c>
      <c r="D61" s="75" t="s">
        <v>171</v>
      </c>
      <c r="E61" s="115">
        <v>18156325</v>
      </c>
      <c r="F61" s="115">
        <v>11181960</v>
      </c>
      <c r="G61" s="115">
        <v>10969255.470000001</v>
      </c>
      <c r="H61" s="88">
        <f t="shared" si="25"/>
        <v>0.98097788491463045</v>
      </c>
      <c r="I61" s="115">
        <v>3000000</v>
      </c>
      <c r="J61" s="115">
        <v>0</v>
      </c>
      <c r="K61" s="88">
        <f>J61/I61</f>
        <v>0</v>
      </c>
      <c r="L61" s="115"/>
      <c r="M61" s="114"/>
      <c r="N61" s="115">
        <f t="shared" si="23"/>
        <v>10969255.470000001</v>
      </c>
      <c r="P61" s="24"/>
    </row>
    <row r="62" spans="1:16" ht="138.75" hidden="1" customHeight="1" thickTop="1" thickBot="1" x14ac:dyDescent="0.25">
      <c r="A62" s="59" t="s">
        <v>172</v>
      </c>
      <c r="B62" s="59" t="s">
        <v>173</v>
      </c>
      <c r="C62" s="59"/>
      <c r="D62" s="59" t="s">
        <v>174</v>
      </c>
      <c r="E62" s="127">
        <f t="shared" ref="E62:G62" si="27">E63</f>
        <v>0</v>
      </c>
      <c r="F62" s="127">
        <f t="shared" si="27"/>
        <v>0</v>
      </c>
      <c r="G62" s="127">
        <f t="shared" si="27"/>
        <v>0</v>
      </c>
      <c r="H62" s="128"/>
      <c r="I62" s="127"/>
      <c r="J62" s="127"/>
      <c r="K62" s="128"/>
      <c r="L62" s="127"/>
      <c r="M62" s="127"/>
      <c r="N62" s="127">
        <f t="shared" si="23"/>
        <v>0</v>
      </c>
      <c r="O62" s="50"/>
      <c r="P62" s="24"/>
    </row>
    <row r="63" spans="1:16" ht="138.75" hidden="1" customHeight="1" thickTop="1" thickBot="1" x14ac:dyDescent="0.25">
      <c r="A63" s="58" t="s">
        <v>175</v>
      </c>
      <c r="B63" s="58" t="s">
        <v>176</v>
      </c>
      <c r="C63" s="58" t="s">
        <v>177</v>
      </c>
      <c r="D63" s="58" t="s">
        <v>178</v>
      </c>
      <c r="E63" s="122"/>
      <c r="F63" s="122"/>
      <c r="G63" s="122"/>
      <c r="H63" s="126"/>
      <c r="I63" s="122"/>
      <c r="J63" s="122"/>
      <c r="K63" s="122"/>
      <c r="L63" s="122"/>
      <c r="M63" s="151"/>
      <c r="N63" s="122">
        <f t="shared" si="23"/>
        <v>0</v>
      </c>
      <c r="P63" s="24"/>
    </row>
    <row r="64" spans="1:16" ht="93" thickTop="1" thickBot="1" x14ac:dyDescent="0.25">
      <c r="A64" s="58" t="s">
        <v>179</v>
      </c>
      <c r="B64" s="76" t="s">
        <v>180</v>
      </c>
      <c r="C64" s="76"/>
      <c r="D64" s="76" t="s">
        <v>181</v>
      </c>
      <c r="E64" s="120">
        <f>SUM(E65:E66)</f>
        <v>10442226</v>
      </c>
      <c r="F64" s="120">
        <f>SUM(F65:F66)</f>
        <v>7952128</v>
      </c>
      <c r="G64" s="120">
        <f t="shared" ref="G64:J64" si="28">SUM(G65:G66)</f>
        <v>6735686.8700000001</v>
      </c>
      <c r="H64" s="89">
        <f t="shared" ref="H64:H66" si="29">G64/F64</f>
        <v>0.84702948317733318</v>
      </c>
      <c r="I64" s="120">
        <f t="shared" si="28"/>
        <v>23700</v>
      </c>
      <c r="J64" s="120">
        <f t="shared" si="28"/>
        <v>21384.639999999999</v>
      </c>
      <c r="K64" s="89">
        <f>J64/I64</f>
        <v>0.90230548523206744</v>
      </c>
      <c r="L64" s="120"/>
      <c r="M64" s="120"/>
      <c r="N64" s="120">
        <f t="shared" si="23"/>
        <v>6757071.5099999998</v>
      </c>
      <c r="O64" s="50"/>
      <c r="P64" s="24"/>
    </row>
    <row r="65" spans="1:18" s="18" customFormat="1" ht="93" thickTop="1" thickBot="1" x14ac:dyDescent="0.25">
      <c r="A65" s="58" t="s">
        <v>182</v>
      </c>
      <c r="B65" s="75" t="s">
        <v>183</v>
      </c>
      <c r="C65" s="75" t="s">
        <v>177</v>
      </c>
      <c r="D65" s="129" t="s">
        <v>184</v>
      </c>
      <c r="E65" s="115">
        <v>3648776</v>
      </c>
      <c r="F65" s="115">
        <v>2747878</v>
      </c>
      <c r="G65" s="115">
        <v>2384608.37</v>
      </c>
      <c r="H65" s="88">
        <f t="shared" si="29"/>
        <v>0.86779994235551949</v>
      </c>
      <c r="I65" s="115">
        <v>23700</v>
      </c>
      <c r="J65" s="115">
        <v>21384.639999999999</v>
      </c>
      <c r="K65" s="88">
        <f>J65/I65</f>
        <v>0.90230548523206744</v>
      </c>
      <c r="L65" s="115"/>
      <c r="M65" s="114"/>
      <c r="N65" s="115">
        <f t="shared" si="23"/>
        <v>2405993.0100000002</v>
      </c>
      <c r="O65" s="20"/>
      <c r="P65" s="24"/>
    </row>
    <row r="66" spans="1:18" s="18" customFormat="1" ht="93" thickTop="1" thickBot="1" x14ac:dyDescent="0.25">
      <c r="A66" s="58" t="s">
        <v>185</v>
      </c>
      <c r="B66" s="75" t="s">
        <v>186</v>
      </c>
      <c r="C66" s="75" t="s">
        <v>177</v>
      </c>
      <c r="D66" s="129" t="s">
        <v>187</v>
      </c>
      <c r="E66" s="115">
        <v>6793450</v>
      </c>
      <c r="F66" s="115">
        <v>5204250</v>
      </c>
      <c r="G66" s="115">
        <v>4351078.5</v>
      </c>
      <c r="H66" s="88">
        <f t="shared" si="29"/>
        <v>0.83606254503530764</v>
      </c>
      <c r="I66" s="115"/>
      <c r="J66" s="115"/>
      <c r="K66" s="115"/>
      <c r="L66" s="115"/>
      <c r="M66" s="114"/>
      <c r="N66" s="115">
        <f t="shared" si="23"/>
        <v>4351078.5</v>
      </c>
      <c r="O66" s="20"/>
      <c r="P66" s="24"/>
    </row>
    <row r="67" spans="1:18" ht="99" customHeight="1" thickTop="1" thickBot="1" x14ac:dyDescent="0.25">
      <c r="A67" s="57" t="s">
        <v>190</v>
      </c>
      <c r="B67" s="77" t="s">
        <v>139</v>
      </c>
      <c r="C67" s="77"/>
      <c r="D67" s="78" t="s">
        <v>140</v>
      </c>
      <c r="E67" s="79">
        <f>SUM(E68:E112)-E68-E77-E91-E93-E110-E88-E80-E83-E95</f>
        <v>242168343.86999997</v>
      </c>
      <c r="F67" s="79">
        <f>SUM(F68:F112)-F68-F77-F91-F93-F110-F88-F80-F83-F95</f>
        <v>197033485.86999997</v>
      </c>
      <c r="G67" s="79">
        <f>SUM(G68:G112)-G68-G77-G91-G93-G110-G88-G80-G83-G95</f>
        <v>161895055.05000001</v>
      </c>
      <c r="H67" s="80">
        <f>G67/F67</f>
        <v>0.82166264447463599</v>
      </c>
      <c r="I67" s="79">
        <f>SUM(I68:I112)-I68-I77-I91-I93-I110-I88-I80-I83-I95</f>
        <v>221970265.72000003</v>
      </c>
      <c r="J67" s="79">
        <f>SUM(J68:J112)-J68-J77-J91-J93-J110-J88-J80-J83-J95</f>
        <v>127489463.49000005</v>
      </c>
      <c r="K67" s="80">
        <f>J67/I67</f>
        <v>0.57435379047939283</v>
      </c>
      <c r="L67" s="79"/>
      <c r="M67" s="79"/>
      <c r="N67" s="81">
        <f>J67+G67</f>
        <v>289384518.54000008</v>
      </c>
      <c r="O67" s="53" t="b">
        <f>N67=N69+N70+N71+N72+N73+N74+N75+N76+N78+N79+N81+N84+N85+N87+N89+N90+N92+N94+N109+N111+N112+N86+N96+N99+N103</f>
        <v>1</v>
      </c>
      <c r="P67" s="26"/>
      <c r="R67" s="25"/>
    </row>
    <row r="68" spans="1:18" ht="276" customHeight="1" thickTop="1" thickBot="1" x14ac:dyDescent="0.25">
      <c r="A68" s="59" t="s">
        <v>191</v>
      </c>
      <c r="B68" s="76" t="s">
        <v>192</v>
      </c>
      <c r="C68" s="76"/>
      <c r="D68" s="76" t="s">
        <v>193</v>
      </c>
      <c r="E68" s="120">
        <f t="shared" ref="E68:J68" si="30">SUM(E69:E73)</f>
        <v>66355000</v>
      </c>
      <c r="F68" s="120">
        <f>SUM(F69:F73)</f>
        <v>54493228</v>
      </c>
      <c r="G68" s="120">
        <f t="shared" si="30"/>
        <v>54091069.740000002</v>
      </c>
      <c r="H68" s="89">
        <f>G68/F68</f>
        <v>0.99262003234603757</v>
      </c>
      <c r="I68" s="120">
        <f t="shared" si="30"/>
        <v>150000</v>
      </c>
      <c r="J68" s="120">
        <f t="shared" si="30"/>
        <v>0</v>
      </c>
      <c r="K68" s="89">
        <f t="shared" ref="K68:K69" si="31">J68/I68</f>
        <v>0</v>
      </c>
      <c r="L68" s="120"/>
      <c r="M68" s="120"/>
      <c r="N68" s="120">
        <f t="shared" si="23"/>
        <v>54091069.740000002</v>
      </c>
      <c r="O68" s="27"/>
      <c r="P68" s="28"/>
      <c r="R68" s="29"/>
    </row>
    <row r="69" spans="1:18" s="18" customFormat="1" ht="93" thickTop="1" thickBot="1" x14ac:dyDescent="0.25">
      <c r="A69" s="58" t="s">
        <v>194</v>
      </c>
      <c r="B69" s="75" t="s">
        <v>195</v>
      </c>
      <c r="C69" s="75" t="s">
        <v>83</v>
      </c>
      <c r="D69" s="135" t="s">
        <v>196</v>
      </c>
      <c r="E69" s="115">
        <v>755000</v>
      </c>
      <c r="F69" s="115">
        <v>705000</v>
      </c>
      <c r="G69" s="115">
        <v>434360.78</v>
      </c>
      <c r="H69" s="88">
        <f>G69/F69</f>
        <v>0.61611458156028376</v>
      </c>
      <c r="I69" s="115">
        <v>150000</v>
      </c>
      <c r="J69" s="115">
        <v>0</v>
      </c>
      <c r="K69" s="88">
        <f t="shared" si="31"/>
        <v>0</v>
      </c>
      <c r="L69" s="115"/>
      <c r="M69" s="114"/>
      <c r="N69" s="115">
        <f t="shared" si="23"/>
        <v>434360.78</v>
      </c>
      <c r="O69" s="20"/>
      <c r="P69" s="26"/>
    </row>
    <row r="70" spans="1:18" s="18" customFormat="1" ht="93" thickTop="1" thickBot="1" x14ac:dyDescent="0.25">
      <c r="A70" s="58" t="s">
        <v>197</v>
      </c>
      <c r="B70" s="75" t="s">
        <v>198</v>
      </c>
      <c r="C70" s="75" t="s">
        <v>93</v>
      </c>
      <c r="D70" s="75" t="s">
        <v>199</v>
      </c>
      <c r="E70" s="115">
        <v>700000</v>
      </c>
      <c r="F70" s="115">
        <v>520000</v>
      </c>
      <c r="G70" s="115">
        <v>487695.71</v>
      </c>
      <c r="H70" s="88">
        <f t="shared" ref="H70:H112" si="32">G70/F70</f>
        <v>0.93787636538461538</v>
      </c>
      <c r="I70" s="115"/>
      <c r="J70" s="115"/>
      <c r="K70" s="115"/>
      <c r="L70" s="115"/>
      <c r="M70" s="114"/>
      <c r="N70" s="115">
        <f t="shared" si="23"/>
        <v>487695.71</v>
      </c>
      <c r="O70" s="20"/>
      <c r="P70" s="30"/>
    </row>
    <row r="71" spans="1:18" s="18" customFormat="1" ht="138.75" thickTop="1" thickBot="1" x14ac:dyDescent="0.25">
      <c r="A71" s="58" t="s">
        <v>200</v>
      </c>
      <c r="B71" s="75" t="s">
        <v>201</v>
      </c>
      <c r="C71" s="75" t="s">
        <v>93</v>
      </c>
      <c r="D71" s="75" t="s">
        <v>202</v>
      </c>
      <c r="E71" s="115">
        <v>19200000</v>
      </c>
      <c r="F71" s="115">
        <v>12800000</v>
      </c>
      <c r="G71" s="115">
        <v>12784999.48</v>
      </c>
      <c r="H71" s="88">
        <f t="shared" si="32"/>
        <v>0.99882808437500004</v>
      </c>
      <c r="I71" s="115"/>
      <c r="J71" s="115"/>
      <c r="K71" s="115"/>
      <c r="L71" s="115"/>
      <c r="M71" s="114"/>
      <c r="N71" s="115">
        <f t="shared" si="23"/>
        <v>12784999.48</v>
      </c>
      <c r="O71" s="20"/>
      <c r="P71" s="30"/>
    </row>
    <row r="72" spans="1:18" s="18" customFormat="1" ht="138.75" thickTop="1" thickBot="1" x14ac:dyDescent="0.25">
      <c r="A72" s="58" t="s">
        <v>203</v>
      </c>
      <c r="B72" s="75" t="s">
        <v>204</v>
      </c>
      <c r="C72" s="75" t="s">
        <v>93</v>
      </c>
      <c r="D72" s="75" t="s">
        <v>205</v>
      </c>
      <c r="E72" s="115">
        <v>700000</v>
      </c>
      <c r="F72" s="115">
        <v>535000</v>
      </c>
      <c r="G72" s="115">
        <v>450785.77</v>
      </c>
      <c r="H72" s="88">
        <f t="shared" si="32"/>
        <v>0.84259022429906549</v>
      </c>
      <c r="I72" s="115"/>
      <c r="J72" s="115"/>
      <c r="K72" s="115"/>
      <c r="L72" s="115"/>
      <c r="M72" s="114"/>
      <c r="N72" s="115">
        <f t="shared" si="23"/>
        <v>450785.77</v>
      </c>
      <c r="O72" s="50"/>
      <c r="P72" s="30"/>
    </row>
    <row r="73" spans="1:18" s="18" customFormat="1" ht="138.75" thickTop="1" thickBot="1" x14ac:dyDescent="0.25">
      <c r="A73" s="58" t="s">
        <v>206</v>
      </c>
      <c r="B73" s="75" t="s">
        <v>207</v>
      </c>
      <c r="C73" s="75" t="s">
        <v>93</v>
      </c>
      <c r="D73" s="75" t="s">
        <v>208</v>
      </c>
      <c r="E73" s="115">
        <v>45000000</v>
      </c>
      <c r="F73" s="115">
        <v>39933228</v>
      </c>
      <c r="G73" s="115">
        <v>39933228</v>
      </c>
      <c r="H73" s="88">
        <f t="shared" si="32"/>
        <v>1</v>
      </c>
      <c r="I73" s="115"/>
      <c r="J73" s="115"/>
      <c r="K73" s="115"/>
      <c r="L73" s="115"/>
      <c r="M73" s="114"/>
      <c r="N73" s="115">
        <f t="shared" si="23"/>
        <v>39933228</v>
      </c>
      <c r="O73" s="20"/>
      <c r="P73" s="30"/>
    </row>
    <row r="74" spans="1:18" s="18" customFormat="1" ht="138.75" thickTop="1" thickBot="1" x14ac:dyDescent="0.25">
      <c r="A74" s="58" t="s">
        <v>209</v>
      </c>
      <c r="B74" s="75" t="s">
        <v>210</v>
      </c>
      <c r="C74" s="75" t="s">
        <v>93</v>
      </c>
      <c r="D74" s="75" t="s">
        <v>211</v>
      </c>
      <c r="E74" s="115">
        <v>272462</v>
      </c>
      <c r="F74" s="115">
        <v>204346</v>
      </c>
      <c r="G74" s="115">
        <v>193988.2</v>
      </c>
      <c r="H74" s="88">
        <f t="shared" si="32"/>
        <v>0.94931244066436349</v>
      </c>
      <c r="I74" s="115"/>
      <c r="J74" s="115"/>
      <c r="K74" s="115"/>
      <c r="L74" s="115"/>
      <c r="M74" s="114"/>
      <c r="N74" s="115">
        <f t="shared" si="23"/>
        <v>193988.2</v>
      </c>
      <c r="O74" s="20"/>
      <c r="P74" s="30"/>
    </row>
    <row r="75" spans="1:18" s="18" customFormat="1" ht="165" customHeight="1" thickTop="1" thickBot="1" x14ac:dyDescent="0.25">
      <c r="A75" s="58"/>
      <c r="B75" s="75" t="s">
        <v>212</v>
      </c>
      <c r="C75" s="75" t="s">
        <v>93</v>
      </c>
      <c r="D75" s="75" t="s">
        <v>213</v>
      </c>
      <c r="E75" s="115">
        <v>2313890</v>
      </c>
      <c r="F75" s="115">
        <v>2313890</v>
      </c>
      <c r="G75" s="115">
        <v>1264726.3799999999</v>
      </c>
      <c r="H75" s="88">
        <f t="shared" si="32"/>
        <v>0.54658016586786751</v>
      </c>
      <c r="I75" s="115"/>
      <c r="J75" s="115"/>
      <c r="K75" s="115"/>
      <c r="L75" s="115"/>
      <c r="M75" s="114"/>
      <c r="N75" s="115">
        <f>G75+J75</f>
        <v>1264726.3799999999</v>
      </c>
      <c r="O75" s="50"/>
      <c r="P75" s="30"/>
    </row>
    <row r="76" spans="1:18" ht="93" thickTop="1" thickBot="1" x14ac:dyDescent="0.25">
      <c r="A76" s="58" t="s">
        <v>214</v>
      </c>
      <c r="B76" s="75" t="s">
        <v>215</v>
      </c>
      <c r="C76" s="75" t="s">
        <v>83</v>
      </c>
      <c r="D76" s="75" t="s">
        <v>216</v>
      </c>
      <c r="E76" s="115">
        <v>546559</v>
      </c>
      <c r="F76" s="115">
        <v>409919</v>
      </c>
      <c r="G76" s="115">
        <v>149532</v>
      </c>
      <c r="H76" s="88">
        <f t="shared" si="32"/>
        <v>0.36478426225668975</v>
      </c>
      <c r="I76" s="115"/>
      <c r="J76" s="115"/>
      <c r="K76" s="115"/>
      <c r="L76" s="115"/>
      <c r="M76" s="114"/>
      <c r="N76" s="115">
        <f t="shared" si="23"/>
        <v>149532</v>
      </c>
      <c r="P76" s="30"/>
    </row>
    <row r="77" spans="1:18" s="18" customFormat="1" ht="184.5" thickTop="1" thickBot="1" x14ac:dyDescent="0.25">
      <c r="A77" s="76" t="s">
        <v>217</v>
      </c>
      <c r="B77" s="76" t="s">
        <v>218</v>
      </c>
      <c r="C77" s="76"/>
      <c r="D77" s="76" t="s">
        <v>219</v>
      </c>
      <c r="E77" s="120">
        <f t="shared" ref="E77:J77" si="33">SUM(E78:E79)</f>
        <v>60322164.700000003</v>
      </c>
      <c r="F77" s="120">
        <f t="shared" ref="F77" si="34">SUM(F78:F79)</f>
        <v>46582478.700000003</v>
      </c>
      <c r="G77" s="120">
        <f t="shared" si="33"/>
        <v>40033477.740000002</v>
      </c>
      <c r="H77" s="89">
        <f t="shared" si="32"/>
        <v>0.85941063801742257</v>
      </c>
      <c r="I77" s="120">
        <f t="shared" si="33"/>
        <v>3409328.53</v>
      </c>
      <c r="J77" s="120">
        <f t="shared" si="33"/>
        <v>3261564.2</v>
      </c>
      <c r="K77" s="89">
        <f t="shared" ref="K77:K82" si="35">J77/I77</f>
        <v>0.9566588175062144</v>
      </c>
      <c r="L77" s="120"/>
      <c r="M77" s="120"/>
      <c r="N77" s="120">
        <f t="shared" si="23"/>
        <v>43295041.940000005</v>
      </c>
      <c r="O77" s="20"/>
      <c r="P77" s="31"/>
    </row>
    <row r="78" spans="1:18" ht="184.5" thickTop="1" thickBot="1" x14ac:dyDescent="0.25">
      <c r="A78" s="75" t="s">
        <v>220</v>
      </c>
      <c r="B78" s="75" t="s">
        <v>221</v>
      </c>
      <c r="C78" s="75" t="s">
        <v>72</v>
      </c>
      <c r="D78" s="75" t="s">
        <v>222</v>
      </c>
      <c r="E78" s="115">
        <v>50203552.700000003</v>
      </c>
      <c r="F78" s="115">
        <v>39034358.700000003</v>
      </c>
      <c r="G78" s="115">
        <v>33794394.07</v>
      </c>
      <c r="H78" s="88">
        <f t="shared" si="32"/>
        <v>0.86576019679810945</v>
      </c>
      <c r="I78" s="115">
        <v>2220810.3199999998</v>
      </c>
      <c r="J78" s="115">
        <v>2078370.6</v>
      </c>
      <c r="K78" s="88">
        <f t="shared" si="35"/>
        <v>0.93586137513986345</v>
      </c>
      <c r="L78" s="115"/>
      <c r="M78" s="114"/>
      <c r="N78" s="115">
        <f t="shared" si="23"/>
        <v>35872764.670000002</v>
      </c>
      <c r="P78" s="26"/>
    </row>
    <row r="79" spans="1:18" ht="93" thickTop="1" thickBot="1" x14ac:dyDescent="0.25">
      <c r="A79" s="58" t="s">
        <v>223</v>
      </c>
      <c r="B79" s="75" t="s">
        <v>224</v>
      </c>
      <c r="C79" s="75" t="s">
        <v>68</v>
      </c>
      <c r="D79" s="75" t="s">
        <v>225</v>
      </c>
      <c r="E79" s="115">
        <v>10118612</v>
      </c>
      <c r="F79" s="115">
        <v>7548120</v>
      </c>
      <c r="G79" s="115">
        <v>6239083.6699999999</v>
      </c>
      <c r="H79" s="88">
        <f t="shared" si="32"/>
        <v>0.82657452054286362</v>
      </c>
      <c r="I79" s="115">
        <v>1188518.21</v>
      </c>
      <c r="J79" s="115">
        <v>1183193.6000000001</v>
      </c>
      <c r="K79" s="88">
        <f t="shared" si="35"/>
        <v>0.99551995926086834</v>
      </c>
      <c r="L79" s="115"/>
      <c r="M79" s="114"/>
      <c r="N79" s="115">
        <f t="shared" si="23"/>
        <v>7422277.2699999996</v>
      </c>
      <c r="P79" s="26"/>
    </row>
    <row r="80" spans="1:18" ht="93" thickTop="1" thickBot="1" x14ac:dyDescent="0.25">
      <c r="A80" s="58"/>
      <c r="B80" s="76" t="s">
        <v>298</v>
      </c>
      <c r="C80" s="76"/>
      <c r="D80" s="76" t="s">
        <v>299</v>
      </c>
      <c r="E80" s="130">
        <f>E81+E82</f>
        <v>9057876.1699999999</v>
      </c>
      <c r="F80" s="130">
        <f>F81+F82</f>
        <v>7161246.1699999999</v>
      </c>
      <c r="G80" s="130">
        <f>G81+G82</f>
        <v>6120348.5999999996</v>
      </c>
      <c r="H80" s="89">
        <f t="shared" si="32"/>
        <v>0.85464854226621279</v>
      </c>
      <c r="I80" s="130">
        <f>I81+I82</f>
        <v>161785.5</v>
      </c>
      <c r="J80" s="130">
        <f>J81+J82</f>
        <v>161785.5</v>
      </c>
      <c r="K80" s="89">
        <f t="shared" si="35"/>
        <v>1</v>
      </c>
      <c r="L80" s="130"/>
      <c r="M80" s="130"/>
      <c r="N80" s="120">
        <f>G80+J80</f>
        <v>6282134.0999999996</v>
      </c>
      <c r="O80" s="50"/>
      <c r="P80" s="26"/>
    </row>
    <row r="81" spans="1:16" ht="93" thickTop="1" thickBot="1" x14ac:dyDescent="0.25">
      <c r="A81" s="58"/>
      <c r="B81" s="75" t="s">
        <v>300</v>
      </c>
      <c r="C81" s="75" t="s">
        <v>141</v>
      </c>
      <c r="D81" s="75" t="s">
        <v>301</v>
      </c>
      <c r="E81" s="131">
        <v>9057876.1699999999</v>
      </c>
      <c r="F81" s="131">
        <v>7161246.1699999999</v>
      </c>
      <c r="G81" s="131">
        <v>6120348.5999999996</v>
      </c>
      <c r="H81" s="88">
        <f t="shared" si="32"/>
        <v>0.85464854226621279</v>
      </c>
      <c r="I81" s="131">
        <v>161785.5</v>
      </c>
      <c r="J81" s="153">
        <v>161785.5</v>
      </c>
      <c r="K81" s="88">
        <f t="shared" si="35"/>
        <v>1</v>
      </c>
      <c r="L81" s="153"/>
      <c r="M81" s="114"/>
      <c r="N81" s="115">
        <f t="shared" si="23"/>
        <v>6282134.0999999996</v>
      </c>
      <c r="P81" s="26"/>
    </row>
    <row r="82" spans="1:16" ht="276" hidden="1" customHeight="1" thickTop="1" thickBot="1" x14ac:dyDescent="0.25">
      <c r="A82" s="58"/>
      <c r="B82" s="58" t="s">
        <v>463</v>
      </c>
      <c r="C82" s="58" t="s">
        <v>141</v>
      </c>
      <c r="D82" s="58" t="s">
        <v>464</v>
      </c>
      <c r="E82" s="132"/>
      <c r="F82" s="132"/>
      <c r="G82" s="132"/>
      <c r="H82" s="88" t="e">
        <f t="shared" si="32"/>
        <v>#DIV/0!</v>
      </c>
      <c r="I82" s="132"/>
      <c r="J82" s="154"/>
      <c r="K82" s="126" t="e">
        <f t="shared" si="35"/>
        <v>#DIV/0!</v>
      </c>
      <c r="L82" s="154"/>
      <c r="M82" s="151"/>
      <c r="N82" s="122">
        <f t="shared" si="23"/>
        <v>0</v>
      </c>
      <c r="P82" s="26"/>
    </row>
    <row r="83" spans="1:16" ht="93" thickTop="1" thickBot="1" x14ac:dyDescent="0.25">
      <c r="A83" s="75"/>
      <c r="B83" s="76" t="s">
        <v>302</v>
      </c>
      <c r="C83" s="76"/>
      <c r="D83" s="76" t="s">
        <v>303</v>
      </c>
      <c r="E83" s="133">
        <f t="shared" ref="E83:G83" si="36">SUM(E84:E85)</f>
        <v>13200222</v>
      </c>
      <c r="F83" s="133">
        <f t="shared" ref="F83" si="37">SUM(F84:F85)</f>
        <v>9202926</v>
      </c>
      <c r="G83" s="133">
        <f t="shared" si="36"/>
        <v>8108403.8100000005</v>
      </c>
      <c r="H83" s="89">
        <f t="shared" si="32"/>
        <v>0.88106802227900127</v>
      </c>
      <c r="I83" s="133">
        <f t="shared" ref="I83:J83" si="38">SUM(I84:I85)</f>
        <v>2415454.4899999998</v>
      </c>
      <c r="J83" s="133">
        <f t="shared" si="38"/>
        <v>479499.94</v>
      </c>
      <c r="K83" s="89">
        <f t="shared" ref="K83:K85" si="39">J83/I83</f>
        <v>0.19851334065085202</v>
      </c>
      <c r="L83" s="133"/>
      <c r="M83" s="133"/>
      <c r="N83" s="120">
        <f t="shared" si="23"/>
        <v>8587903.75</v>
      </c>
      <c r="P83" s="26"/>
    </row>
    <row r="84" spans="1:16" ht="93" thickTop="1" thickBot="1" x14ac:dyDescent="0.25">
      <c r="A84" s="75"/>
      <c r="B84" s="75" t="s">
        <v>304</v>
      </c>
      <c r="C84" s="75" t="s">
        <v>141</v>
      </c>
      <c r="D84" s="75" t="s">
        <v>305</v>
      </c>
      <c r="E84" s="131">
        <v>5445868</v>
      </c>
      <c r="F84" s="131">
        <v>4144877</v>
      </c>
      <c r="G84" s="131">
        <v>3708103.87</v>
      </c>
      <c r="H84" s="88">
        <f t="shared" si="32"/>
        <v>0.89462337965638061</v>
      </c>
      <c r="I84" s="131">
        <v>2351438.4</v>
      </c>
      <c r="J84" s="153">
        <v>418230.94</v>
      </c>
      <c r="K84" s="88">
        <f t="shared" si="39"/>
        <v>0.17786174624008863</v>
      </c>
      <c r="L84" s="153"/>
      <c r="M84" s="114"/>
      <c r="N84" s="115">
        <f t="shared" si="23"/>
        <v>4126334.81</v>
      </c>
      <c r="P84" s="26"/>
    </row>
    <row r="85" spans="1:16" ht="48" thickTop="1" thickBot="1" x14ac:dyDescent="0.25">
      <c r="A85" s="75"/>
      <c r="B85" s="75" t="s">
        <v>306</v>
      </c>
      <c r="C85" s="75" t="s">
        <v>141</v>
      </c>
      <c r="D85" s="75" t="s">
        <v>307</v>
      </c>
      <c r="E85" s="131">
        <v>7754354</v>
      </c>
      <c r="F85" s="131">
        <v>5058049</v>
      </c>
      <c r="G85" s="131">
        <v>4400299.9400000004</v>
      </c>
      <c r="H85" s="88">
        <f t="shared" si="32"/>
        <v>0.86995992723676663</v>
      </c>
      <c r="I85" s="131">
        <v>64016.09</v>
      </c>
      <c r="J85" s="153">
        <v>61269</v>
      </c>
      <c r="K85" s="88">
        <f t="shared" si="39"/>
        <v>0.95708750721888836</v>
      </c>
      <c r="L85" s="153"/>
      <c r="M85" s="114"/>
      <c r="N85" s="115">
        <f t="shared" si="23"/>
        <v>4461568.9400000004</v>
      </c>
      <c r="P85" s="26"/>
    </row>
    <row r="86" spans="1:16" ht="230.25" thickTop="1" thickBot="1" x14ac:dyDescent="0.25">
      <c r="A86" s="75"/>
      <c r="B86" s="75" t="s">
        <v>541</v>
      </c>
      <c r="C86" s="75" t="s">
        <v>141</v>
      </c>
      <c r="D86" s="75" t="s">
        <v>542</v>
      </c>
      <c r="E86" s="131">
        <v>715000</v>
      </c>
      <c r="F86" s="131">
        <v>715000</v>
      </c>
      <c r="G86" s="131">
        <v>200054.49</v>
      </c>
      <c r="H86" s="88">
        <f>G86/F86</f>
        <v>0.27979648951048952</v>
      </c>
      <c r="I86" s="131"/>
      <c r="J86" s="153"/>
      <c r="K86" s="88"/>
      <c r="L86" s="153"/>
      <c r="M86" s="114"/>
      <c r="N86" s="115">
        <f t="shared" ref="N86" si="40">G86+J86</f>
        <v>200054.49</v>
      </c>
      <c r="P86" s="26"/>
    </row>
    <row r="87" spans="1:16" ht="276" thickTop="1" thickBot="1" x14ac:dyDescent="0.25">
      <c r="A87" s="58" t="s">
        <v>226</v>
      </c>
      <c r="B87" s="75" t="s">
        <v>227</v>
      </c>
      <c r="C87" s="75" t="s">
        <v>68</v>
      </c>
      <c r="D87" s="75" t="s">
        <v>228</v>
      </c>
      <c r="E87" s="115">
        <v>4673200</v>
      </c>
      <c r="F87" s="115">
        <v>3504940</v>
      </c>
      <c r="G87" s="115">
        <v>2140620.9</v>
      </c>
      <c r="H87" s="88">
        <f t="shared" si="32"/>
        <v>0.61074394996775971</v>
      </c>
      <c r="I87" s="118"/>
      <c r="J87" s="115"/>
      <c r="K87" s="115"/>
      <c r="L87" s="115"/>
      <c r="M87" s="114"/>
      <c r="N87" s="115">
        <f t="shared" si="23"/>
        <v>2140620.9</v>
      </c>
      <c r="P87" s="30"/>
    </row>
    <row r="88" spans="1:16" ht="93" thickTop="1" thickBot="1" x14ac:dyDescent="0.25">
      <c r="A88" s="76" t="s">
        <v>229</v>
      </c>
      <c r="B88" s="76" t="s">
        <v>230</v>
      </c>
      <c r="C88" s="76"/>
      <c r="D88" s="76" t="s">
        <v>231</v>
      </c>
      <c r="E88" s="120">
        <f>E89</f>
        <v>142618</v>
      </c>
      <c r="F88" s="120">
        <f>F89</f>
        <v>142618</v>
      </c>
      <c r="G88" s="120">
        <f t="shared" ref="G88" si="41">G89</f>
        <v>137130.97</v>
      </c>
      <c r="H88" s="89">
        <f t="shared" si="32"/>
        <v>0.96152638516877253</v>
      </c>
      <c r="I88" s="120"/>
      <c r="J88" s="120"/>
      <c r="K88" s="89"/>
      <c r="L88" s="120"/>
      <c r="M88" s="120"/>
      <c r="N88" s="120">
        <f t="shared" si="23"/>
        <v>137130.97</v>
      </c>
      <c r="O88" s="50"/>
      <c r="P88" s="30"/>
    </row>
    <row r="89" spans="1:16" ht="184.5" thickTop="1" thickBot="1" x14ac:dyDescent="0.25">
      <c r="A89" s="75" t="s">
        <v>232</v>
      </c>
      <c r="B89" s="75" t="s">
        <v>233</v>
      </c>
      <c r="C89" s="75" t="s">
        <v>68</v>
      </c>
      <c r="D89" s="75" t="s">
        <v>234</v>
      </c>
      <c r="E89" s="115">
        <v>142618</v>
      </c>
      <c r="F89" s="115">
        <v>142618</v>
      </c>
      <c r="G89" s="115">
        <v>137130.97</v>
      </c>
      <c r="H89" s="88">
        <f t="shared" si="32"/>
        <v>0.96152638516877253</v>
      </c>
      <c r="I89" s="118"/>
      <c r="J89" s="115"/>
      <c r="K89" s="115"/>
      <c r="L89" s="115"/>
      <c r="M89" s="114"/>
      <c r="N89" s="115">
        <f t="shared" si="23"/>
        <v>137130.97</v>
      </c>
      <c r="P89" s="30"/>
    </row>
    <row r="90" spans="1:16" ht="230.25" thickTop="1" thickBot="1" x14ac:dyDescent="0.25">
      <c r="A90" s="58" t="s">
        <v>235</v>
      </c>
      <c r="B90" s="75" t="s">
        <v>236</v>
      </c>
      <c r="C90" s="75" t="s">
        <v>88</v>
      </c>
      <c r="D90" s="75" t="s">
        <v>237</v>
      </c>
      <c r="E90" s="115">
        <v>3222500</v>
      </c>
      <c r="F90" s="115">
        <v>2400000</v>
      </c>
      <c r="G90" s="115">
        <v>1620422.53</v>
      </c>
      <c r="H90" s="88">
        <f t="shared" si="32"/>
        <v>0.67517605416666671</v>
      </c>
      <c r="I90" s="118"/>
      <c r="J90" s="115"/>
      <c r="K90" s="115"/>
      <c r="L90" s="115"/>
      <c r="M90" s="114"/>
      <c r="N90" s="115">
        <f t="shared" si="23"/>
        <v>1620422.53</v>
      </c>
      <c r="P90" s="30"/>
    </row>
    <row r="91" spans="1:16" s="18" customFormat="1" ht="93" thickTop="1" thickBot="1" x14ac:dyDescent="0.25">
      <c r="A91" s="76" t="s">
        <v>238</v>
      </c>
      <c r="B91" s="76" t="s">
        <v>239</v>
      </c>
      <c r="C91" s="76"/>
      <c r="D91" s="76" t="s">
        <v>240</v>
      </c>
      <c r="E91" s="120">
        <f t="shared" ref="E91:G91" si="42">E92</f>
        <v>1110000</v>
      </c>
      <c r="F91" s="120">
        <f t="shared" si="42"/>
        <v>960000</v>
      </c>
      <c r="G91" s="120">
        <f t="shared" si="42"/>
        <v>630546.25</v>
      </c>
      <c r="H91" s="88">
        <f t="shared" si="32"/>
        <v>0.65681901041666668</v>
      </c>
      <c r="I91" s="120"/>
      <c r="J91" s="120"/>
      <c r="K91" s="89"/>
      <c r="L91" s="120"/>
      <c r="M91" s="120"/>
      <c r="N91" s="120">
        <f>G91+J91</f>
        <v>630546.25</v>
      </c>
      <c r="O91" s="50"/>
      <c r="P91" s="31"/>
    </row>
    <row r="92" spans="1:16" ht="138.75" thickTop="1" thickBot="1" x14ac:dyDescent="0.25">
      <c r="A92" s="75" t="s">
        <v>241</v>
      </c>
      <c r="B92" s="75" t="s">
        <v>242</v>
      </c>
      <c r="C92" s="75" t="s">
        <v>83</v>
      </c>
      <c r="D92" s="75" t="s">
        <v>243</v>
      </c>
      <c r="E92" s="115">
        <v>1110000</v>
      </c>
      <c r="F92" s="115">
        <v>960000</v>
      </c>
      <c r="G92" s="115">
        <v>630546.25</v>
      </c>
      <c r="H92" s="88">
        <f t="shared" si="32"/>
        <v>0.65681901041666668</v>
      </c>
      <c r="I92" s="115"/>
      <c r="J92" s="115"/>
      <c r="K92" s="115"/>
      <c r="L92" s="115"/>
      <c r="M92" s="114"/>
      <c r="N92" s="115">
        <f t="shared" si="23"/>
        <v>630546.25</v>
      </c>
      <c r="P92" s="30"/>
    </row>
    <row r="93" spans="1:16" s="18" customFormat="1" ht="93" thickTop="1" thickBot="1" x14ac:dyDescent="0.25">
      <c r="A93" s="76" t="s">
        <v>244</v>
      </c>
      <c r="B93" s="76" t="s">
        <v>245</v>
      </c>
      <c r="C93" s="76"/>
      <c r="D93" s="76" t="s">
        <v>246</v>
      </c>
      <c r="E93" s="120">
        <f t="shared" ref="E93:J93" si="43">E94</f>
        <v>117000</v>
      </c>
      <c r="F93" s="120">
        <f t="shared" si="43"/>
        <v>97500</v>
      </c>
      <c r="G93" s="120">
        <f t="shared" si="43"/>
        <v>60047.03</v>
      </c>
      <c r="H93" s="89">
        <f t="shared" si="32"/>
        <v>0.61586697435897431</v>
      </c>
      <c r="I93" s="120">
        <f t="shared" si="43"/>
        <v>117700.65</v>
      </c>
      <c r="J93" s="120">
        <f t="shared" si="43"/>
        <v>117700.65</v>
      </c>
      <c r="K93" s="89">
        <f t="shared" ref="K93" si="44">J93/I93</f>
        <v>1</v>
      </c>
      <c r="L93" s="120"/>
      <c r="M93" s="120"/>
      <c r="N93" s="120">
        <f>G93+J93</f>
        <v>177747.68</v>
      </c>
      <c r="O93" s="50"/>
      <c r="P93" s="31"/>
    </row>
    <row r="94" spans="1:16" ht="93" thickTop="1" thickBot="1" x14ac:dyDescent="0.25">
      <c r="A94" s="75" t="s">
        <v>247</v>
      </c>
      <c r="B94" s="75" t="s">
        <v>248</v>
      </c>
      <c r="C94" s="75" t="s">
        <v>249</v>
      </c>
      <c r="D94" s="75" t="s">
        <v>250</v>
      </c>
      <c r="E94" s="115">
        <v>117000</v>
      </c>
      <c r="F94" s="115">
        <v>97500</v>
      </c>
      <c r="G94" s="115">
        <v>60047.03</v>
      </c>
      <c r="H94" s="88">
        <f t="shared" si="32"/>
        <v>0.61586697435897431</v>
      </c>
      <c r="I94" s="115">
        <v>117700.65</v>
      </c>
      <c r="J94" s="115">
        <v>117700.65</v>
      </c>
      <c r="K94" s="88">
        <f t="shared" ref="K94" si="45">J94/I94</f>
        <v>1</v>
      </c>
      <c r="L94" s="115"/>
      <c r="M94" s="114"/>
      <c r="N94" s="115">
        <f>G94+J94</f>
        <v>177747.68</v>
      </c>
      <c r="P94" s="30"/>
    </row>
    <row r="95" spans="1:16" ht="138.75" thickTop="1" thickBot="1" x14ac:dyDescent="0.25">
      <c r="A95" s="75"/>
      <c r="B95" s="76" t="s">
        <v>476</v>
      </c>
      <c r="C95" s="76"/>
      <c r="D95" s="76" t="s">
        <v>477</v>
      </c>
      <c r="E95" s="120">
        <f>E96+E99+E103+E106</f>
        <v>0</v>
      </c>
      <c r="F95" s="120">
        <f>F96+F99+F103+F106</f>
        <v>0</v>
      </c>
      <c r="G95" s="120">
        <f t="shared" ref="G95" si="46">G96+G99+G103+G106</f>
        <v>0</v>
      </c>
      <c r="H95" s="88">
        <v>0</v>
      </c>
      <c r="I95" s="120">
        <f>I96+I99+I103+I106</f>
        <v>101685085.29000001</v>
      </c>
      <c r="J95" s="120">
        <f>J96+J99+J103+J106</f>
        <v>73090932.079999998</v>
      </c>
      <c r="K95" s="89">
        <f>J95/I95</f>
        <v>0.71879697864784076</v>
      </c>
      <c r="L95" s="115"/>
      <c r="M95" s="114"/>
      <c r="N95" s="120">
        <f>G95+J95</f>
        <v>73090932.079999998</v>
      </c>
      <c r="O95" s="50" t="s">
        <v>433</v>
      </c>
      <c r="P95" s="30"/>
    </row>
    <row r="96" spans="1:16" ht="276" thickTop="1" thickBot="1" x14ac:dyDescent="0.7">
      <c r="A96" s="75"/>
      <c r="B96" s="158" t="s">
        <v>478</v>
      </c>
      <c r="C96" s="158" t="s">
        <v>88</v>
      </c>
      <c r="D96" s="136" t="s">
        <v>479</v>
      </c>
      <c r="E96" s="160"/>
      <c r="F96" s="160"/>
      <c r="G96" s="160"/>
      <c r="H96" s="160"/>
      <c r="I96" s="160">
        <v>60048682.840000004</v>
      </c>
      <c r="J96" s="160">
        <v>60030941.399999999</v>
      </c>
      <c r="K96" s="171">
        <f>J96/I96</f>
        <v>0.99970454905651673</v>
      </c>
      <c r="L96" s="115"/>
      <c r="M96" s="114"/>
      <c r="N96" s="160">
        <f>G96+J96</f>
        <v>60030941.399999999</v>
      </c>
      <c r="P96" s="30"/>
    </row>
    <row r="97" spans="1:16" ht="228.75" customHeight="1" thickTop="1" thickBot="1" x14ac:dyDescent="0.25">
      <c r="A97" s="75"/>
      <c r="B97" s="202"/>
      <c r="C97" s="202"/>
      <c r="D97" s="137" t="s">
        <v>480</v>
      </c>
      <c r="E97" s="161"/>
      <c r="F97" s="161"/>
      <c r="G97" s="161"/>
      <c r="H97" s="161"/>
      <c r="I97" s="161"/>
      <c r="J97" s="161"/>
      <c r="K97" s="172"/>
      <c r="L97" s="115"/>
      <c r="M97" s="114"/>
      <c r="N97" s="161"/>
      <c r="P97" s="30"/>
    </row>
    <row r="98" spans="1:16" ht="230.25" thickTop="1" thickBot="1" x14ac:dyDescent="0.25">
      <c r="A98" s="75"/>
      <c r="B98" s="159"/>
      <c r="C98" s="159"/>
      <c r="D98" s="139" t="s">
        <v>481</v>
      </c>
      <c r="E98" s="162"/>
      <c r="F98" s="162"/>
      <c r="G98" s="162"/>
      <c r="H98" s="162"/>
      <c r="I98" s="162"/>
      <c r="J98" s="162"/>
      <c r="K98" s="173"/>
      <c r="L98" s="115"/>
      <c r="M98" s="114"/>
      <c r="N98" s="162"/>
      <c r="P98" s="30"/>
    </row>
    <row r="99" spans="1:16" ht="255" customHeight="1" thickTop="1" thickBot="1" x14ac:dyDescent="0.7">
      <c r="A99" s="75"/>
      <c r="B99" s="158" t="s">
        <v>482</v>
      </c>
      <c r="C99" s="158" t="s">
        <v>88</v>
      </c>
      <c r="D99" s="136" t="s">
        <v>483</v>
      </c>
      <c r="E99" s="160"/>
      <c r="F99" s="160"/>
      <c r="G99" s="160"/>
      <c r="H99" s="160"/>
      <c r="I99" s="160">
        <v>25469713.260000002</v>
      </c>
      <c r="J99" s="160">
        <v>0</v>
      </c>
      <c r="K99" s="171">
        <f>J99/I99</f>
        <v>0</v>
      </c>
      <c r="L99" s="115"/>
      <c r="M99" s="114"/>
      <c r="N99" s="160">
        <f>G99+J99</f>
        <v>0</v>
      </c>
      <c r="P99" s="30"/>
    </row>
    <row r="100" spans="1:16" ht="270.75" customHeight="1" thickTop="1" thickBot="1" x14ac:dyDescent="0.25">
      <c r="A100" s="75"/>
      <c r="B100" s="202"/>
      <c r="C100" s="202"/>
      <c r="D100" s="137" t="s">
        <v>484</v>
      </c>
      <c r="E100" s="161"/>
      <c r="F100" s="161"/>
      <c r="G100" s="161"/>
      <c r="H100" s="161"/>
      <c r="I100" s="161"/>
      <c r="J100" s="161"/>
      <c r="K100" s="172"/>
      <c r="L100" s="115"/>
      <c r="M100" s="114"/>
      <c r="N100" s="161"/>
      <c r="P100" s="30"/>
    </row>
    <row r="101" spans="1:16" ht="276" thickTop="1" thickBot="1" x14ac:dyDescent="0.25">
      <c r="A101" s="75"/>
      <c r="B101" s="202"/>
      <c r="C101" s="202"/>
      <c r="D101" s="137" t="s">
        <v>485</v>
      </c>
      <c r="E101" s="161"/>
      <c r="F101" s="161"/>
      <c r="G101" s="161"/>
      <c r="H101" s="161"/>
      <c r="I101" s="161"/>
      <c r="J101" s="161"/>
      <c r="K101" s="172"/>
      <c r="L101" s="115"/>
      <c r="M101" s="114"/>
      <c r="N101" s="161"/>
      <c r="P101" s="30"/>
    </row>
    <row r="102" spans="1:16" ht="138.75" thickTop="1" thickBot="1" x14ac:dyDescent="0.25">
      <c r="A102" s="75"/>
      <c r="B102" s="159"/>
      <c r="C102" s="159"/>
      <c r="D102" s="139" t="s">
        <v>486</v>
      </c>
      <c r="E102" s="162"/>
      <c r="F102" s="162"/>
      <c r="G102" s="162"/>
      <c r="H102" s="162"/>
      <c r="I102" s="162"/>
      <c r="J102" s="162"/>
      <c r="K102" s="173"/>
      <c r="L102" s="115"/>
      <c r="M102" s="114"/>
      <c r="N102" s="162"/>
      <c r="P102" s="30"/>
    </row>
    <row r="103" spans="1:16" ht="276" thickTop="1" thickBot="1" x14ac:dyDescent="0.7">
      <c r="A103" s="75"/>
      <c r="B103" s="158" t="s">
        <v>487</v>
      </c>
      <c r="C103" s="158" t="s">
        <v>88</v>
      </c>
      <c r="D103" s="136" t="s">
        <v>488</v>
      </c>
      <c r="E103" s="160"/>
      <c r="F103" s="160"/>
      <c r="G103" s="160"/>
      <c r="H103" s="160"/>
      <c r="I103" s="160">
        <v>16166689.189999999</v>
      </c>
      <c r="J103" s="160">
        <v>13059990.68</v>
      </c>
      <c r="K103" s="171">
        <f>J103/I103</f>
        <v>0.80783334958145503</v>
      </c>
      <c r="L103" s="115"/>
      <c r="M103" s="114"/>
      <c r="N103" s="160">
        <f>G103+J103</f>
        <v>13059990.68</v>
      </c>
      <c r="P103" s="30"/>
    </row>
    <row r="104" spans="1:16" ht="276" thickTop="1" thickBot="1" x14ac:dyDescent="0.25">
      <c r="A104" s="75"/>
      <c r="B104" s="202"/>
      <c r="C104" s="202"/>
      <c r="D104" s="137" t="s">
        <v>489</v>
      </c>
      <c r="E104" s="161"/>
      <c r="F104" s="161"/>
      <c r="G104" s="161"/>
      <c r="H104" s="161"/>
      <c r="I104" s="161"/>
      <c r="J104" s="161"/>
      <c r="K104" s="172"/>
      <c r="L104" s="115"/>
      <c r="M104" s="114"/>
      <c r="N104" s="161"/>
      <c r="P104" s="30"/>
    </row>
    <row r="105" spans="1:16" ht="93" thickTop="1" thickBot="1" x14ac:dyDescent="0.25">
      <c r="A105" s="75"/>
      <c r="B105" s="159"/>
      <c r="C105" s="159"/>
      <c r="D105" s="139" t="s">
        <v>490</v>
      </c>
      <c r="E105" s="162"/>
      <c r="F105" s="162"/>
      <c r="G105" s="162"/>
      <c r="H105" s="162"/>
      <c r="I105" s="162"/>
      <c r="J105" s="162"/>
      <c r="K105" s="173"/>
      <c r="L105" s="115"/>
      <c r="M105" s="114"/>
      <c r="N105" s="162"/>
      <c r="P105" s="30"/>
    </row>
    <row r="106" spans="1:16" ht="276" hidden="1" thickTop="1" thickBot="1" x14ac:dyDescent="0.7">
      <c r="A106" s="75"/>
      <c r="B106" s="158" t="s">
        <v>491</v>
      </c>
      <c r="C106" s="158" t="s">
        <v>88</v>
      </c>
      <c r="D106" s="136" t="s">
        <v>492</v>
      </c>
      <c r="E106" s="160"/>
      <c r="F106" s="160"/>
      <c r="G106" s="160"/>
      <c r="H106" s="160"/>
      <c r="I106" s="165"/>
      <c r="J106" s="165"/>
      <c r="K106" s="168" t="e">
        <f>J106/I106</f>
        <v>#DIV/0!</v>
      </c>
      <c r="L106" s="94"/>
      <c r="M106" s="95"/>
      <c r="N106" s="165">
        <f t="shared" si="23"/>
        <v>0</v>
      </c>
      <c r="P106" s="30"/>
    </row>
    <row r="107" spans="1:16" ht="230.25" hidden="1" thickTop="1" thickBot="1" x14ac:dyDescent="0.25">
      <c r="A107" s="75"/>
      <c r="B107" s="202"/>
      <c r="C107" s="202"/>
      <c r="D107" s="137" t="s">
        <v>493</v>
      </c>
      <c r="E107" s="161"/>
      <c r="F107" s="161"/>
      <c r="G107" s="161"/>
      <c r="H107" s="161"/>
      <c r="I107" s="166"/>
      <c r="J107" s="166"/>
      <c r="K107" s="169"/>
      <c r="L107" s="94"/>
      <c r="M107" s="95"/>
      <c r="N107" s="166"/>
      <c r="P107" s="30"/>
    </row>
    <row r="108" spans="1:16" ht="48" hidden="1" thickTop="1" thickBot="1" x14ac:dyDescent="0.25">
      <c r="A108" s="75"/>
      <c r="B108" s="159"/>
      <c r="C108" s="159"/>
      <c r="D108" s="139" t="s">
        <v>494</v>
      </c>
      <c r="E108" s="162"/>
      <c r="F108" s="162"/>
      <c r="G108" s="162"/>
      <c r="H108" s="162"/>
      <c r="I108" s="167"/>
      <c r="J108" s="167"/>
      <c r="K108" s="170"/>
      <c r="L108" s="94"/>
      <c r="M108" s="95"/>
      <c r="N108" s="167"/>
      <c r="P108" s="30"/>
    </row>
    <row r="109" spans="1:16" ht="138.75" thickTop="1" thickBot="1" x14ac:dyDescent="0.25">
      <c r="A109" s="75"/>
      <c r="B109" s="75" t="s">
        <v>531</v>
      </c>
      <c r="C109" s="138" t="s">
        <v>93</v>
      </c>
      <c r="D109" s="138" t="s">
        <v>543</v>
      </c>
      <c r="E109" s="134">
        <f>2364150+100000+9322150+794919</f>
        <v>12581219</v>
      </c>
      <c r="F109" s="134">
        <v>12108869</v>
      </c>
      <c r="G109" s="134">
        <f>1031502.44+40000+3205380.93+632418.5</f>
        <v>4909301.87</v>
      </c>
      <c r="H109" s="88">
        <f t="shared" si="32"/>
        <v>0.40543025694637541</v>
      </c>
      <c r="I109" s="134">
        <f>74589023+5098000+156881</f>
        <v>79843904</v>
      </c>
      <c r="J109" s="134">
        <f>31302670.52+1767632.71+140381.5</f>
        <v>33210684.73</v>
      </c>
      <c r="K109" s="88">
        <f t="shared" ref="K109" si="47">J109/I109</f>
        <v>0.41594515130422482</v>
      </c>
      <c r="L109" s="115"/>
      <c r="M109" s="114"/>
      <c r="N109" s="115">
        <f t="shared" si="23"/>
        <v>38119986.600000001</v>
      </c>
      <c r="P109" s="30"/>
    </row>
    <row r="110" spans="1:16" s="18" customFormat="1" ht="93" thickTop="1" thickBot="1" x14ac:dyDescent="0.25">
      <c r="A110" s="76" t="s">
        <v>251</v>
      </c>
      <c r="B110" s="76" t="s">
        <v>252</v>
      </c>
      <c r="C110" s="76"/>
      <c r="D110" s="76" t="s">
        <v>253</v>
      </c>
      <c r="E110" s="120">
        <f t="shared" ref="E110:J110" si="48">SUM(E111:E112)</f>
        <v>67538633</v>
      </c>
      <c r="F110" s="120">
        <f t="shared" ref="F110" si="49">SUM(F111:F112)</f>
        <v>56736525</v>
      </c>
      <c r="G110" s="120">
        <f t="shared" si="48"/>
        <v>42235384.539999999</v>
      </c>
      <c r="H110" s="89">
        <f t="shared" si="32"/>
        <v>0.74441260792760922</v>
      </c>
      <c r="I110" s="120">
        <f t="shared" si="48"/>
        <v>34187007.259999998</v>
      </c>
      <c r="J110" s="120">
        <f t="shared" si="48"/>
        <v>17167296.390000001</v>
      </c>
      <c r="K110" s="89">
        <f t="shared" ref="K110:K112" si="50">J110/I110</f>
        <v>0.5021585030663489</v>
      </c>
      <c r="L110" s="120"/>
      <c r="M110" s="120"/>
      <c r="N110" s="120">
        <f t="shared" si="23"/>
        <v>59402680.93</v>
      </c>
      <c r="O110" s="20"/>
      <c r="P110" s="31"/>
    </row>
    <row r="111" spans="1:16" ht="93" thickTop="1" thickBot="1" x14ac:dyDescent="0.25">
      <c r="A111" s="75" t="s">
        <v>254</v>
      </c>
      <c r="B111" s="75" t="s">
        <v>255</v>
      </c>
      <c r="C111" s="75" t="s">
        <v>97</v>
      </c>
      <c r="D111" s="129" t="s">
        <v>256</v>
      </c>
      <c r="E111" s="115">
        <v>24030039</v>
      </c>
      <c r="F111" s="115">
        <v>20578350</v>
      </c>
      <c r="G111" s="131">
        <v>15675119.98</v>
      </c>
      <c r="H111" s="88">
        <f t="shared" si="32"/>
        <v>0.76172870905587675</v>
      </c>
      <c r="I111" s="115">
        <v>15533007.26</v>
      </c>
      <c r="J111" s="115">
        <v>10819184.33</v>
      </c>
      <c r="K111" s="88">
        <f t="shared" si="50"/>
        <v>0.69652863408241272</v>
      </c>
      <c r="L111" s="115"/>
      <c r="M111" s="114"/>
      <c r="N111" s="115">
        <f t="shared" si="23"/>
        <v>26494304.310000002</v>
      </c>
      <c r="P111" s="26"/>
    </row>
    <row r="112" spans="1:16" ht="93" thickTop="1" thickBot="1" x14ac:dyDescent="0.25">
      <c r="A112" s="58" t="s">
        <v>257</v>
      </c>
      <c r="B112" s="75" t="s">
        <v>258</v>
      </c>
      <c r="C112" s="75" t="s">
        <v>97</v>
      </c>
      <c r="D112" s="129" t="s">
        <v>259</v>
      </c>
      <c r="E112" s="115">
        <v>43508594</v>
      </c>
      <c r="F112" s="115">
        <v>36158175</v>
      </c>
      <c r="G112" s="115">
        <v>26560264.559999999</v>
      </c>
      <c r="H112" s="88">
        <f t="shared" si="32"/>
        <v>0.73455766393077082</v>
      </c>
      <c r="I112" s="115">
        <v>18654000</v>
      </c>
      <c r="J112" s="115">
        <v>6348112.0599999996</v>
      </c>
      <c r="K112" s="88">
        <f t="shared" si="50"/>
        <v>0.34030835531253351</v>
      </c>
      <c r="L112" s="115"/>
      <c r="M112" s="114"/>
      <c r="N112" s="115">
        <f t="shared" si="23"/>
        <v>32908376.619999997</v>
      </c>
      <c r="P112" s="26"/>
    </row>
    <row r="113" spans="1:16" s="11" customFormat="1" ht="92.25" customHeight="1" thickTop="1" thickBot="1" x14ac:dyDescent="0.25">
      <c r="A113" s="57" t="s">
        <v>270</v>
      </c>
      <c r="B113" s="77" t="s">
        <v>271</v>
      </c>
      <c r="C113" s="77"/>
      <c r="D113" s="78" t="s">
        <v>272</v>
      </c>
      <c r="E113" s="79">
        <f>SUM(E114:E121)-E119</f>
        <v>71351994</v>
      </c>
      <c r="F113" s="79">
        <f>SUM(F114:F121)-F119</f>
        <v>54222207</v>
      </c>
      <c r="G113" s="79">
        <f t="shared" ref="G113:J113" si="51">SUM(G114:G121)-G119</f>
        <v>46322620.579999998</v>
      </c>
      <c r="H113" s="80">
        <f>G113/F113</f>
        <v>0.85431086528809119</v>
      </c>
      <c r="I113" s="79">
        <f t="shared" si="51"/>
        <v>4488075.25</v>
      </c>
      <c r="J113" s="79">
        <f t="shared" si="51"/>
        <v>2129967.2599999998</v>
      </c>
      <c r="K113" s="80">
        <f>J113/I113</f>
        <v>0.47458367815913954</v>
      </c>
      <c r="L113" s="79"/>
      <c r="M113" s="79"/>
      <c r="N113" s="81">
        <f>J113+G113</f>
        <v>48452587.839999996</v>
      </c>
      <c r="O113" s="53" t="b">
        <f>N113=N114+N115+N116+N117+N120+N121+N118</f>
        <v>1</v>
      </c>
      <c r="P113" s="30"/>
    </row>
    <row r="114" spans="1:16" ht="93" thickTop="1" thickBot="1" x14ac:dyDescent="0.25">
      <c r="A114" s="58" t="s">
        <v>273</v>
      </c>
      <c r="B114" s="75" t="s">
        <v>274</v>
      </c>
      <c r="C114" s="75" t="s">
        <v>275</v>
      </c>
      <c r="D114" s="75" t="s">
        <v>276</v>
      </c>
      <c r="E114" s="115">
        <v>1156300</v>
      </c>
      <c r="F114" s="115">
        <v>867600</v>
      </c>
      <c r="G114" s="115">
        <v>522229.91</v>
      </c>
      <c r="H114" s="88">
        <f>G114/F114</f>
        <v>0.60192474642692484</v>
      </c>
      <c r="I114" s="115"/>
      <c r="J114" s="115"/>
      <c r="K114" s="115"/>
      <c r="L114" s="115"/>
      <c r="M114" s="114"/>
      <c r="N114" s="115">
        <f t="shared" ref="N114:N137" si="52">G114+J114</f>
        <v>522229.91</v>
      </c>
      <c r="P114" s="30"/>
    </row>
    <row r="115" spans="1:16" ht="93" thickTop="1" thickBot="1" x14ac:dyDescent="0.25">
      <c r="A115" s="58" t="s">
        <v>277</v>
      </c>
      <c r="B115" s="75" t="s">
        <v>278</v>
      </c>
      <c r="C115" s="75" t="s">
        <v>279</v>
      </c>
      <c r="D115" s="75" t="s">
        <v>280</v>
      </c>
      <c r="E115" s="115">
        <v>16592119</v>
      </c>
      <c r="F115" s="115">
        <v>12148717</v>
      </c>
      <c r="G115" s="115">
        <v>11124727.890000001</v>
      </c>
      <c r="H115" s="88">
        <f t="shared" ref="H115:H117" si="53">G115/F115</f>
        <v>0.91571216038697756</v>
      </c>
      <c r="I115" s="115">
        <v>1075530.55</v>
      </c>
      <c r="J115" s="115">
        <v>734822.16</v>
      </c>
      <c r="K115" s="88">
        <f t="shared" ref="K115:K120" si="54">J115/I115</f>
        <v>0.6832183056074046</v>
      </c>
      <c r="L115" s="115"/>
      <c r="M115" s="114"/>
      <c r="N115" s="115">
        <f t="shared" si="52"/>
        <v>11859550.050000001</v>
      </c>
      <c r="P115" s="26"/>
    </row>
    <row r="116" spans="1:16" ht="93" thickTop="1" thickBot="1" x14ac:dyDescent="0.25">
      <c r="A116" s="58" t="s">
        <v>281</v>
      </c>
      <c r="B116" s="75" t="s">
        <v>282</v>
      </c>
      <c r="C116" s="75" t="s">
        <v>279</v>
      </c>
      <c r="D116" s="75" t="s">
        <v>283</v>
      </c>
      <c r="E116" s="115">
        <v>2531546</v>
      </c>
      <c r="F116" s="115">
        <v>1782543</v>
      </c>
      <c r="G116" s="115">
        <v>1519629.51</v>
      </c>
      <c r="H116" s="88">
        <f t="shared" si="53"/>
        <v>0.85250650895939117</v>
      </c>
      <c r="I116" s="115">
        <v>222012</v>
      </c>
      <c r="J116" s="115">
        <v>127368.39</v>
      </c>
      <c r="K116" s="88">
        <f t="shared" si="54"/>
        <v>0.57370047564996485</v>
      </c>
      <c r="L116" s="115"/>
      <c r="M116" s="114"/>
      <c r="N116" s="115">
        <f t="shared" si="52"/>
        <v>1646997.9</v>
      </c>
      <c r="P116" s="26"/>
    </row>
    <row r="117" spans="1:16" ht="138.75" thickTop="1" thickBot="1" x14ac:dyDescent="0.25">
      <c r="A117" s="58" t="s">
        <v>284</v>
      </c>
      <c r="B117" s="75" t="s">
        <v>285</v>
      </c>
      <c r="C117" s="75" t="s">
        <v>286</v>
      </c>
      <c r="D117" s="75" t="s">
        <v>287</v>
      </c>
      <c r="E117" s="115">
        <v>19898862</v>
      </c>
      <c r="F117" s="115">
        <v>14841794</v>
      </c>
      <c r="G117" s="115">
        <v>12576309.810000001</v>
      </c>
      <c r="H117" s="88">
        <f t="shared" si="53"/>
        <v>0.84735779313471138</v>
      </c>
      <c r="I117" s="115">
        <v>2909806.18</v>
      </c>
      <c r="J117" s="115">
        <v>1134050.19</v>
      </c>
      <c r="K117" s="88">
        <f t="shared" si="54"/>
        <v>0.38973392722672678</v>
      </c>
      <c r="L117" s="115"/>
      <c r="M117" s="114"/>
      <c r="N117" s="115">
        <f t="shared" si="52"/>
        <v>13710360</v>
      </c>
      <c r="P117" s="26"/>
    </row>
    <row r="118" spans="1:16" ht="48" thickTop="1" thickBot="1" x14ac:dyDescent="0.25">
      <c r="A118" s="58"/>
      <c r="B118" s="75" t="s">
        <v>532</v>
      </c>
      <c r="C118" s="75" t="s">
        <v>533</v>
      </c>
      <c r="D118" s="75" t="s">
        <v>534</v>
      </c>
      <c r="E118" s="115">
        <v>197759</v>
      </c>
      <c r="F118" s="115">
        <v>197759</v>
      </c>
      <c r="G118" s="115">
        <v>45495.360000000001</v>
      </c>
      <c r="H118" s="88">
        <f>G118/F118</f>
        <v>0.23005456136003924</v>
      </c>
      <c r="I118" s="115"/>
      <c r="J118" s="115"/>
      <c r="K118" s="88"/>
      <c r="L118" s="115"/>
      <c r="M118" s="114"/>
      <c r="N118" s="115">
        <f t="shared" si="52"/>
        <v>45495.360000000001</v>
      </c>
      <c r="P118" s="26"/>
    </row>
    <row r="119" spans="1:16" ht="93" thickTop="1" thickBot="1" x14ac:dyDescent="0.25">
      <c r="A119" s="76" t="s">
        <v>288</v>
      </c>
      <c r="B119" s="76" t="s">
        <v>289</v>
      </c>
      <c r="C119" s="76"/>
      <c r="D119" s="76" t="s">
        <v>290</v>
      </c>
      <c r="E119" s="120">
        <f t="shared" ref="E119:J119" si="55">SUM(E120:E121)</f>
        <v>30975408</v>
      </c>
      <c r="F119" s="120">
        <f t="shared" ref="F119" si="56">SUM(F120:F121)</f>
        <v>24383794</v>
      </c>
      <c r="G119" s="120">
        <f t="shared" si="55"/>
        <v>20534228.100000001</v>
      </c>
      <c r="H119" s="89">
        <f>G119/F119</f>
        <v>0.84212604896514465</v>
      </c>
      <c r="I119" s="120">
        <f t="shared" si="55"/>
        <v>280726.52</v>
      </c>
      <c r="J119" s="120">
        <f t="shared" si="55"/>
        <v>133726.51999999999</v>
      </c>
      <c r="K119" s="89">
        <f t="shared" si="54"/>
        <v>0.47635869956283428</v>
      </c>
      <c r="L119" s="120"/>
      <c r="M119" s="120"/>
      <c r="N119" s="120">
        <f t="shared" si="52"/>
        <v>20667954.620000001</v>
      </c>
      <c r="P119" s="26"/>
    </row>
    <row r="120" spans="1:16" ht="93" thickTop="1" thickBot="1" x14ac:dyDescent="0.25">
      <c r="A120" s="75" t="s">
        <v>291</v>
      </c>
      <c r="B120" s="75" t="s">
        <v>292</v>
      </c>
      <c r="C120" s="75" t="s">
        <v>293</v>
      </c>
      <c r="D120" s="75" t="s">
        <v>294</v>
      </c>
      <c r="E120" s="115">
        <v>25361387</v>
      </c>
      <c r="F120" s="115">
        <v>19410128</v>
      </c>
      <c r="G120" s="115">
        <v>18626002.870000001</v>
      </c>
      <c r="H120" s="88">
        <f t="shared" ref="H120:H121" si="57">G120/F120</f>
        <v>0.95960226898040035</v>
      </c>
      <c r="I120" s="115">
        <v>280726.52</v>
      </c>
      <c r="J120" s="115">
        <v>133726.51999999999</v>
      </c>
      <c r="K120" s="88">
        <f t="shared" si="54"/>
        <v>0.47635869956283428</v>
      </c>
      <c r="L120" s="115"/>
      <c r="M120" s="114"/>
      <c r="N120" s="115">
        <f t="shared" si="52"/>
        <v>18759729.390000001</v>
      </c>
      <c r="P120" s="30"/>
    </row>
    <row r="121" spans="1:16" ht="93" thickTop="1" thickBot="1" x14ac:dyDescent="0.25">
      <c r="A121" s="75" t="s">
        <v>295</v>
      </c>
      <c r="B121" s="75" t="s">
        <v>296</v>
      </c>
      <c r="C121" s="75" t="s">
        <v>293</v>
      </c>
      <c r="D121" s="75" t="s">
        <v>297</v>
      </c>
      <c r="E121" s="115">
        <v>5614021</v>
      </c>
      <c r="F121" s="115">
        <v>4973666</v>
      </c>
      <c r="G121" s="115">
        <v>1908225.23</v>
      </c>
      <c r="H121" s="88">
        <f t="shared" si="57"/>
        <v>0.38366573670206244</v>
      </c>
      <c r="I121" s="115"/>
      <c r="J121" s="115"/>
      <c r="K121" s="115"/>
      <c r="L121" s="115"/>
      <c r="M121" s="114"/>
      <c r="N121" s="115">
        <f t="shared" si="52"/>
        <v>1908225.23</v>
      </c>
      <c r="P121" s="30"/>
    </row>
    <row r="122" spans="1:16" ht="77.25" customHeight="1" thickTop="1" thickBot="1" x14ac:dyDescent="0.25">
      <c r="A122" s="57" t="s">
        <v>308</v>
      </c>
      <c r="B122" s="77" t="s">
        <v>309</v>
      </c>
      <c r="C122" s="77"/>
      <c r="D122" s="78" t="s">
        <v>310</v>
      </c>
      <c r="E122" s="79">
        <f>SUM(E123:E137)-E123-E126-E128-E134-E131</f>
        <v>104592462</v>
      </c>
      <c r="F122" s="79">
        <f>SUM(F123:F137)-F123-F126-F128-F134-F131</f>
        <v>74528163</v>
      </c>
      <c r="G122" s="79">
        <f>SUM(G123:G137)-G123-G126-G128-G134-G131</f>
        <v>68687676.150000006</v>
      </c>
      <c r="H122" s="80">
        <f>G122/F122</f>
        <v>0.92163382787255876</v>
      </c>
      <c r="I122" s="79">
        <f>SUM(I123:I137)-I123-I126-I128-I134-I131</f>
        <v>30748061.950000003</v>
      </c>
      <c r="J122" s="79">
        <f>SUM(J123:J137)-J123-J126-J128-J134-J131</f>
        <v>12338614.439999999</v>
      </c>
      <c r="K122" s="80">
        <f>J122/I122</f>
        <v>0.40128104529202691</v>
      </c>
      <c r="L122" s="79"/>
      <c r="M122" s="79"/>
      <c r="N122" s="81">
        <f>J122+G122</f>
        <v>81026290.590000004</v>
      </c>
      <c r="O122" s="53" t="b">
        <f>N122=N124+N125+N127+N129+N130+N132+N135+N136+N137+N133</f>
        <v>1</v>
      </c>
      <c r="P122" s="26"/>
    </row>
    <row r="123" spans="1:16" s="18" customFormat="1" ht="93" thickTop="1" thickBot="1" x14ac:dyDescent="0.25">
      <c r="A123" s="59" t="s">
        <v>311</v>
      </c>
      <c r="B123" s="76" t="s">
        <v>312</v>
      </c>
      <c r="C123" s="76"/>
      <c r="D123" s="76" t="s">
        <v>313</v>
      </c>
      <c r="E123" s="133">
        <f t="shared" ref="E123:G123" si="58">SUM(E124:E125)</f>
        <v>29233742</v>
      </c>
      <c r="F123" s="133">
        <f t="shared" ref="F123" si="59">SUM(F124:F125)</f>
        <v>17626071</v>
      </c>
      <c r="G123" s="133">
        <f t="shared" si="58"/>
        <v>15846387.540000001</v>
      </c>
      <c r="H123" s="89">
        <f>G123/F123</f>
        <v>0.8990311873814647</v>
      </c>
      <c r="I123" s="133"/>
      <c r="J123" s="133"/>
      <c r="K123" s="89"/>
      <c r="L123" s="133"/>
      <c r="M123" s="133"/>
      <c r="N123" s="120">
        <f t="shared" si="52"/>
        <v>15846387.540000001</v>
      </c>
      <c r="O123" s="50"/>
      <c r="P123" s="32"/>
    </row>
    <row r="124" spans="1:16" s="35" customFormat="1" ht="93" thickTop="1" thickBot="1" x14ac:dyDescent="0.25">
      <c r="A124" s="58" t="s">
        <v>314</v>
      </c>
      <c r="B124" s="75" t="s">
        <v>315</v>
      </c>
      <c r="C124" s="75" t="s">
        <v>316</v>
      </c>
      <c r="D124" s="75" t="s">
        <v>317</v>
      </c>
      <c r="E124" s="131">
        <v>25132670</v>
      </c>
      <c r="F124" s="131">
        <v>15279055</v>
      </c>
      <c r="G124" s="115">
        <v>13800974.890000001</v>
      </c>
      <c r="H124" s="88">
        <f t="shared" ref="H124:H137" si="60">G124/F124</f>
        <v>0.90326102563280264</v>
      </c>
      <c r="I124" s="115"/>
      <c r="J124" s="115"/>
      <c r="K124" s="115"/>
      <c r="L124" s="115"/>
      <c r="M124" s="114"/>
      <c r="N124" s="115">
        <f t="shared" si="52"/>
        <v>13800974.890000001</v>
      </c>
      <c r="O124" s="33"/>
      <c r="P124" s="34"/>
    </row>
    <row r="125" spans="1:16" s="35" customFormat="1" ht="93" thickTop="1" thickBot="1" x14ac:dyDescent="0.25">
      <c r="A125" s="58" t="s">
        <v>318</v>
      </c>
      <c r="B125" s="75" t="s">
        <v>319</v>
      </c>
      <c r="C125" s="75" t="s">
        <v>316</v>
      </c>
      <c r="D125" s="75" t="s">
        <v>320</v>
      </c>
      <c r="E125" s="131">
        <v>4101072</v>
      </c>
      <c r="F125" s="131">
        <v>2347016</v>
      </c>
      <c r="G125" s="115">
        <v>2045412.65</v>
      </c>
      <c r="H125" s="88">
        <f t="shared" si="60"/>
        <v>0.87149497489578254</v>
      </c>
      <c r="I125" s="115"/>
      <c r="J125" s="115"/>
      <c r="K125" s="115"/>
      <c r="L125" s="115"/>
      <c r="M125" s="114"/>
      <c r="N125" s="115">
        <f t="shared" si="52"/>
        <v>2045412.65</v>
      </c>
      <c r="O125" s="33"/>
      <c r="P125" s="34"/>
    </row>
    <row r="126" spans="1:16" s="18" customFormat="1" ht="93" thickTop="1" thickBot="1" x14ac:dyDescent="0.25">
      <c r="A126" s="59" t="s">
        <v>321</v>
      </c>
      <c r="B126" s="76" t="s">
        <v>322</v>
      </c>
      <c r="C126" s="76"/>
      <c r="D126" s="76" t="s">
        <v>323</v>
      </c>
      <c r="E126" s="133">
        <f t="shared" ref="E126:F126" si="61">E127</f>
        <v>53300</v>
      </c>
      <c r="F126" s="133">
        <f t="shared" si="61"/>
        <v>39160</v>
      </c>
      <c r="G126" s="133">
        <f>G127</f>
        <v>6600</v>
      </c>
      <c r="H126" s="89">
        <f t="shared" si="60"/>
        <v>0.16853932584269662</v>
      </c>
      <c r="I126" s="133"/>
      <c r="J126" s="133"/>
      <c r="K126" s="89"/>
      <c r="L126" s="133"/>
      <c r="M126" s="133"/>
      <c r="N126" s="120">
        <f t="shared" si="52"/>
        <v>6600</v>
      </c>
      <c r="O126" s="50"/>
      <c r="P126" s="36"/>
    </row>
    <row r="127" spans="1:16" s="35" customFormat="1" ht="93" thickTop="1" thickBot="1" x14ac:dyDescent="0.25">
      <c r="A127" s="58" t="s">
        <v>324</v>
      </c>
      <c r="B127" s="75" t="s">
        <v>325</v>
      </c>
      <c r="C127" s="75" t="s">
        <v>316</v>
      </c>
      <c r="D127" s="75" t="s">
        <v>326</v>
      </c>
      <c r="E127" s="131">
        <v>53300</v>
      </c>
      <c r="F127" s="131">
        <v>39160</v>
      </c>
      <c r="G127" s="131">
        <v>6600</v>
      </c>
      <c r="H127" s="88">
        <f t="shared" si="60"/>
        <v>0.16853932584269662</v>
      </c>
      <c r="I127" s="115"/>
      <c r="J127" s="131"/>
      <c r="K127" s="131"/>
      <c r="L127" s="131"/>
      <c r="M127" s="114"/>
      <c r="N127" s="115">
        <f t="shared" si="52"/>
        <v>6600</v>
      </c>
      <c r="O127" s="33"/>
      <c r="P127" s="34"/>
    </row>
    <row r="128" spans="1:16" ht="93" thickTop="1" thickBot="1" x14ac:dyDescent="0.25">
      <c r="A128" s="76" t="s">
        <v>327</v>
      </c>
      <c r="B128" s="76" t="s">
        <v>328</v>
      </c>
      <c r="C128" s="76"/>
      <c r="D128" s="76" t="s">
        <v>329</v>
      </c>
      <c r="E128" s="133">
        <f t="shared" ref="E128:J128" si="62">SUM(E129:E130)</f>
        <v>68617758</v>
      </c>
      <c r="F128" s="133">
        <f t="shared" ref="F128" si="63">SUM(F129:F130)</f>
        <v>51489219</v>
      </c>
      <c r="G128" s="133">
        <f t="shared" si="62"/>
        <v>48612280.140000001</v>
      </c>
      <c r="H128" s="89">
        <f t="shared" si="60"/>
        <v>0.94412541273931538</v>
      </c>
      <c r="I128" s="133">
        <f t="shared" si="62"/>
        <v>27633735.809999999</v>
      </c>
      <c r="J128" s="133">
        <f t="shared" si="62"/>
        <v>12309060.85</v>
      </c>
      <c r="K128" s="89">
        <f t="shared" ref="K128:K134" si="64">J128/I128</f>
        <v>0.44543600382636794</v>
      </c>
      <c r="L128" s="133"/>
      <c r="M128" s="133"/>
      <c r="N128" s="120">
        <f t="shared" si="52"/>
        <v>60921340.990000002</v>
      </c>
      <c r="P128" s="26"/>
    </row>
    <row r="129" spans="1:16" s="35" customFormat="1" ht="93" thickTop="1" thickBot="1" x14ac:dyDescent="0.25">
      <c r="A129" s="75" t="s">
        <v>330</v>
      </c>
      <c r="B129" s="75" t="s">
        <v>331</v>
      </c>
      <c r="C129" s="75" t="s">
        <v>316</v>
      </c>
      <c r="D129" s="75" t="s">
        <v>332</v>
      </c>
      <c r="E129" s="131">
        <v>62193419</v>
      </c>
      <c r="F129" s="131">
        <v>46632083</v>
      </c>
      <c r="G129" s="131">
        <v>44049183.93</v>
      </c>
      <c r="H129" s="88">
        <f t="shared" si="60"/>
        <v>0.94461111527014563</v>
      </c>
      <c r="I129" s="131">
        <v>27633735.809999999</v>
      </c>
      <c r="J129" s="131">
        <v>12309060.85</v>
      </c>
      <c r="K129" s="88">
        <f t="shared" si="64"/>
        <v>0.44543600382636794</v>
      </c>
      <c r="L129" s="131"/>
      <c r="M129" s="114"/>
      <c r="N129" s="115">
        <f t="shared" si="52"/>
        <v>56358244.780000001</v>
      </c>
      <c r="O129" s="33"/>
      <c r="P129" s="34"/>
    </row>
    <row r="130" spans="1:16" s="35" customFormat="1" ht="138.75" thickTop="1" thickBot="1" x14ac:dyDescent="0.25">
      <c r="A130" s="75" t="s">
        <v>333</v>
      </c>
      <c r="B130" s="75" t="s">
        <v>334</v>
      </c>
      <c r="C130" s="75" t="s">
        <v>316</v>
      </c>
      <c r="D130" s="75" t="s">
        <v>335</v>
      </c>
      <c r="E130" s="131">
        <v>6424339</v>
      </c>
      <c r="F130" s="131">
        <v>4857136</v>
      </c>
      <c r="G130" s="131">
        <v>4563096.21</v>
      </c>
      <c r="H130" s="88">
        <f t="shared" si="60"/>
        <v>0.93946231071149744</v>
      </c>
      <c r="I130" s="131"/>
      <c r="J130" s="131"/>
      <c r="K130" s="88"/>
      <c r="L130" s="131"/>
      <c r="M130" s="114"/>
      <c r="N130" s="115">
        <f t="shared" si="52"/>
        <v>4563096.21</v>
      </c>
      <c r="O130" s="33"/>
      <c r="P130" s="34"/>
    </row>
    <row r="131" spans="1:16" s="35" customFormat="1" ht="93" thickTop="1" thickBot="1" x14ac:dyDescent="0.25">
      <c r="A131" s="58"/>
      <c r="B131" s="76" t="s">
        <v>393</v>
      </c>
      <c r="C131" s="76"/>
      <c r="D131" s="76" t="s">
        <v>394</v>
      </c>
      <c r="E131" s="133">
        <f>SUM(E132:E133)</f>
        <v>88281</v>
      </c>
      <c r="F131" s="133">
        <f t="shared" ref="F131:G131" si="65">SUM(F132:F133)</f>
        <v>58872</v>
      </c>
      <c r="G131" s="133">
        <f t="shared" si="65"/>
        <v>58872</v>
      </c>
      <c r="H131" s="89">
        <v>0</v>
      </c>
      <c r="I131" s="133">
        <f t="shared" ref="I131:J131" si="66">I132</f>
        <v>3000000</v>
      </c>
      <c r="J131" s="133">
        <f t="shared" si="66"/>
        <v>14298.59</v>
      </c>
      <c r="K131" s="89">
        <f t="shared" si="64"/>
        <v>4.7661966666666666E-3</v>
      </c>
      <c r="L131" s="133"/>
      <c r="M131" s="133"/>
      <c r="N131" s="120">
        <f t="shared" si="52"/>
        <v>73170.59</v>
      </c>
      <c r="O131" s="33"/>
      <c r="P131" s="34"/>
    </row>
    <row r="132" spans="1:16" s="35" customFormat="1" ht="230.25" thickTop="1" thickBot="1" x14ac:dyDescent="0.25">
      <c r="A132" s="58"/>
      <c r="B132" s="75" t="s">
        <v>395</v>
      </c>
      <c r="C132" s="75" t="s">
        <v>316</v>
      </c>
      <c r="D132" s="75" t="s">
        <v>518</v>
      </c>
      <c r="E132" s="115"/>
      <c r="F132" s="115"/>
      <c r="G132" s="115"/>
      <c r="H132" s="88">
        <v>0</v>
      </c>
      <c r="I132" s="115">
        <v>3000000</v>
      </c>
      <c r="J132" s="115">
        <v>14298.59</v>
      </c>
      <c r="K132" s="88">
        <f t="shared" si="64"/>
        <v>4.7661966666666666E-3</v>
      </c>
      <c r="L132" s="115"/>
      <c r="M132" s="114"/>
      <c r="N132" s="115">
        <f t="shared" si="52"/>
        <v>14298.59</v>
      </c>
      <c r="O132" s="33"/>
      <c r="P132" s="34"/>
    </row>
    <row r="133" spans="1:16" s="35" customFormat="1" ht="138.75" thickTop="1" thickBot="1" x14ac:dyDescent="0.25">
      <c r="A133" s="58"/>
      <c r="B133" s="75" t="s">
        <v>545</v>
      </c>
      <c r="C133" s="75" t="s">
        <v>316</v>
      </c>
      <c r="D133" s="75" t="s">
        <v>546</v>
      </c>
      <c r="E133" s="115">
        <v>88281</v>
      </c>
      <c r="F133" s="115">
        <v>58872</v>
      </c>
      <c r="G133" s="115">
        <v>58872</v>
      </c>
      <c r="H133" s="88">
        <f t="shared" si="60"/>
        <v>1</v>
      </c>
      <c r="I133" s="115"/>
      <c r="J133" s="115"/>
      <c r="K133" s="88"/>
      <c r="L133" s="115"/>
      <c r="M133" s="114"/>
      <c r="N133" s="115">
        <f t="shared" si="52"/>
        <v>58872</v>
      </c>
      <c r="O133" s="33"/>
      <c r="P133" s="34"/>
    </row>
    <row r="134" spans="1:16" ht="93" thickTop="1" thickBot="1" x14ac:dyDescent="0.25">
      <c r="A134" s="67" t="s">
        <v>336</v>
      </c>
      <c r="B134" s="76" t="s">
        <v>337</v>
      </c>
      <c r="C134" s="76"/>
      <c r="D134" s="76" t="s">
        <v>338</v>
      </c>
      <c r="E134" s="133">
        <f t="shared" ref="E134:J134" si="67">SUM(E135:E137)</f>
        <v>6599381</v>
      </c>
      <c r="F134" s="133">
        <f t="shared" ref="F134" si="68">SUM(F135:F137)</f>
        <v>5314841</v>
      </c>
      <c r="G134" s="133">
        <f t="shared" si="67"/>
        <v>4163536.47</v>
      </c>
      <c r="H134" s="89">
        <f t="shared" si="60"/>
        <v>0.78337930899532082</v>
      </c>
      <c r="I134" s="133">
        <f t="shared" si="67"/>
        <v>114326.14</v>
      </c>
      <c r="J134" s="133">
        <f t="shared" si="67"/>
        <v>15255</v>
      </c>
      <c r="K134" s="89">
        <f t="shared" si="64"/>
        <v>0.13343405104029576</v>
      </c>
      <c r="L134" s="133"/>
      <c r="M134" s="133"/>
      <c r="N134" s="120">
        <f t="shared" si="52"/>
        <v>4178791.47</v>
      </c>
      <c r="O134" s="50"/>
      <c r="P134" s="26"/>
    </row>
    <row r="135" spans="1:16" s="35" customFormat="1" ht="184.5" thickTop="1" thickBot="1" x14ac:dyDescent="0.25">
      <c r="A135" s="68" t="s">
        <v>339</v>
      </c>
      <c r="B135" s="140" t="s">
        <v>340</v>
      </c>
      <c r="C135" s="140" t="s">
        <v>316</v>
      </c>
      <c r="D135" s="75" t="s">
        <v>341</v>
      </c>
      <c r="E135" s="131">
        <v>870057</v>
      </c>
      <c r="F135" s="131">
        <v>823742</v>
      </c>
      <c r="G135" s="115">
        <v>265371.59999999998</v>
      </c>
      <c r="H135" s="88">
        <f t="shared" si="60"/>
        <v>0.32215378115963489</v>
      </c>
      <c r="I135" s="115"/>
      <c r="J135" s="115"/>
      <c r="K135" s="115"/>
      <c r="L135" s="115"/>
      <c r="M135" s="114"/>
      <c r="N135" s="115">
        <f t="shared" si="52"/>
        <v>265371.59999999998</v>
      </c>
      <c r="O135" s="33"/>
      <c r="P135" s="34"/>
    </row>
    <row r="136" spans="1:16" s="35" customFormat="1" ht="138.75" thickTop="1" thickBot="1" x14ac:dyDescent="0.25">
      <c r="A136" s="68" t="s">
        <v>342</v>
      </c>
      <c r="B136" s="140" t="s">
        <v>343</v>
      </c>
      <c r="C136" s="140" t="s">
        <v>316</v>
      </c>
      <c r="D136" s="75" t="s">
        <v>344</v>
      </c>
      <c r="E136" s="131">
        <v>3791300</v>
      </c>
      <c r="F136" s="131">
        <v>2983475</v>
      </c>
      <c r="G136" s="115">
        <v>2494450</v>
      </c>
      <c r="H136" s="88">
        <f t="shared" si="60"/>
        <v>0.83608878907984818</v>
      </c>
      <c r="I136" s="115"/>
      <c r="J136" s="115"/>
      <c r="K136" s="115"/>
      <c r="L136" s="115"/>
      <c r="M136" s="114"/>
      <c r="N136" s="115">
        <f t="shared" si="52"/>
        <v>2494450</v>
      </c>
      <c r="O136" s="33"/>
      <c r="P136" s="34"/>
    </row>
    <row r="137" spans="1:16" s="35" customFormat="1" ht="93" thickTop="1" thickBot="1" x14ac:dyDescent="0.25">
      <c r="A137" s="68" t="s">
        <v>345</v>
      </c>
      <c r="B137" s="140" t="s">
        <v>346</v>
      </c>
      <c r="C137" s="140" t="s">
        <v>316</v>
      </c>
      <c r="D137" s="75" t="s">
        <v>347</v>
      </c>
      <c r="E137" s="131">
        <v>1938024</v>
      </c>
      <c r="F137" s="131">
        <v>1507624</v>
      </c>
      <c r="G137" s="115">
        <v>1403714.87</v>
      </c>
      <c r="H137" s="88">
        <f t="shared" si="60"/>
        <v>0.93107755647296686</v>
      </c>
      <c r="I137" s="115">
        <v>114326.14</v>
      </c>
      <c r="J137" s="115">
        <v>15255</v>
      </c>
      <c r="K137" s="88">
        <f t="shared" ref="K137" si="69">J137/I137</f>
        <v>0.13343405104029576</v>
      </c>
      <c r="L137" s="115"/>
      <c r="M137" s="114"/>
      <c r="N137" s="115">
        <f t="shared" si="52"/>
        <v>1418969.87</v>
      </c>
      <c r="O137" s="33"/>
      <c r="P137" s="34"/>
    </row>
    <row r="138" spans="1:16" ht="91.5" thickTop="1" thickBot="1" x14ac:dyDescent="0.25">
      <c r="A138" s="57" t="s">
        <v>350</v>
      </c>
      <c r="B138" s="77" t="s">
        <v>260</v>
      </c>
      <c r="C138" s="77"/>
      <c r="D138" s="78" t="s">
        <v>261</v>
      </c>
      <c r="E138" s="79">
        <f>SUM(E139:E152)-E139-E148</f>
        <v>536781648</v>
      </c>
      <c r="F138" s="79">
        <f>SUM(F139:F152)-F139-F148</f>
        <v>421950882</v>
      </c>
      <c r="G138" s="79">
        <f>SUM(G139:G152)-G139-G148</f>
        <v>331428231.31000006</v>
      </c>
      <c r="H138" s="80">
        <f>G138/F138</f>
        <v>0.78546637878576597</v>
      </c>
      <c r="I138" s="79">
        <f>SUM(I139:I152)-I139-I148</f>
        <v>40317311</v>
      </c>
      <c r="J138" s="79">
        <f>SUM(J139:J152)-J139-J148</f>
        <v>9776546.9899999984</v>
      </c>
      <c r="K138" s="80">
        <f>J138/I138</f>
        <v>0.24249005569840704</v>
      </c>
      <c r="L138" s="79"/>
      <c r="M138" s="79"/>
      <c r="N138" s="81">
        <f>J138+G138</f>
        <v>341204778.30000007</v>
      </c>
      <c r="O138" s="53" t="b">
        <f>N138=N140+N141+N142+N143+N146+N147+N149+N151+N152+N145+N144</f>
        <v>1</v>
      </c>
      <c r="P138" s="37"/>
    </row>
    <row r="139" spans="1:16" s="18" customFormat="1" ht="93" thickTop="1" thickBot="1" x14ac:dyDescent="0.25">
      <c r="A139" s="76" t="s">
        <v>351</v>
      </c>
      <c r="B139" s="76" t="s">
        <v>352</v>
      </c>
      <c r="C139" s="76"/>
      <c r="D139" s="76" t="s">
        <v>353</v>
      </c>
      <c r="E139" s="120">
        <f t="shared" ref="E139:J139" si="70">SUM(E140:E145)</f>
        <v>166424908</v>
      </c>
      <c r="F139" s="120">
        <f t="shared" ref="F139" si="71">SUM(F140:F145)</f>
        <v>143599408</v>
      </c>
      <c r="G139" s="120">
        <f t="shared" si="70"/>
        <v>130761863.52000001</v>
      </c>
      <c r="H139" s="89">
        <f>G139/F139</f>
        <v>0.91060168938858033</v>
      </c>
      <c r="I139" s="120">
        <f t="shared" si="70"/>
        <v>20842173</v>
      </c>
      <c r="J139" s="120">
        <f t="shared" si="70"/>
        <v>7748245.0100000007</v>
      </c>
      <c r="K139" s="89">
        <f t="shared" ref="K139:K140" si="72">J139/I139</f>
        <v>0.37175802206420611</v>
      </c>
      <c r="L139" s="120"/>
      <c r="M139" s="120"/>
      <c r="N139" s="120">
        <f t="shared" ref="N139:N189" si="73">G139+J139</f>
        <v>138510108.53</v>
      </c>
      <c r="O139" s="20"/>
      <c r="P139" s="37"/>
    </row>
    <row r="140" spans="1:16" ht="93" thickTop="1" thickBot="1" x14ac:dyDescent="0.25">
      <c r="A140" s="75" t="s">
        <v>354</v>
      </c>
      <c r="B140" s="75" t="s">
        <v>355</v>
      </c>
      <c r="C140" s="75" t="s">
        <v>264</v>
      </c>
      <c r="D140" s="75" t="s">
        <v>356</v>
      </c>
      <c r="E140" s="131">
        <v>7438600</v>
      </c>
      <c r="F140" s="131">
        <v>4473100</v>
      </c>
      <c r="G140" s="131">
        <v>2503248.54</v>
      </c>
      <c r="H140" s="88">
        <f>G140/F140</f>
        <v>0.55962275379490733</v>
      </c>
      <c r="I140" s="131">
        <v>7126181</v>
      </c>
      <c r="J140" s="153">
        <v>1006044.38</v>
      </c>
      <c r="K140" s="88">
        <f t="shared" si="72"/>
        <v>0.14117581071825147</v>
      </c>
      <c r="L140" s="153"/>
      <c r="M140" s="114"/>
      <c r="N140" s="115">
        <f t="shared" si="73"/>
        <v>3509292.92</v>
      </c>
      <c r="P140" s="37"/>
    </row>
    <row r="141" spans="1:16" ht="138.75" customHeight="1" thickTop="1" thickBot="1" x14ac:dyDescent="0.25">
      <c r="A141" s="58"/>
      <c r="B141" s="75" t="s">
        <v>376</v>
      </c>
      <c r="C141" s="75" t="s">
        <v>359</v>
      </c>
      <c r="D141" s="75" t="s">
        <v>377</v>
      </c>
      <c r="E141" s="131">
        <v>123000000</v>
      </c>
      <c r="F141" s="131">
        <v>111500000</v>
      </c>
      <c r="G141" s="131">
        <v>104000000</v>
      </c>
      <c r="H141" s="88">
        <f t="shared" ref="H141:H152" si="74">G141/F141</f>
        <v>0.93273542600896864</v>
      </c>
      <c r="I141" s="131"/>
      <c r="J141" s="153"/>
      <c r="K141" s="153"/>
      <c r="L141" s="153"/>
      <c r="M141" s="114"/>
      <c r="N141" s="115">
        <f t="shared" si="73"/>
        <v>104000000</v>
      </c>
      <c r="P141" s="37"/>
    </row>
    <row r="142" spans="1:16" ht="93" thickTop="1" thickBot="1" x14ac:dyDescent="0.25">
      <c r="A142" s="58"/>
      <c r="B142" s="75" t="s">
        <v>378</v>
      </c>
      <c r="C142" s="75" t="s">
        <v>359</v>
      </c>
      <c r="D142" s="75" t="s">
        <v>379</v>
      </c>
      <c r="E142" s="131">
        <v>32259100</v>
      </c>
      <c r="F142" s="131">
        <v>23899100</v>
      </c>
      <c r="G142" s="131">
        <v>22589971.75</v>
      </c>
      <c r="H142" s="88">
        <f t="shared" si="74"/>
        <v>0.94522269667058589</v>
      </c>
      <c r="I142" s="131">
        <v>2100000</v>
      </c>
      <c r="J142" s="153">
        <v>33486.44</v>
      </c>
      <c r="K142" s="88">
        <f t="shared" ref="K142:K150" si="75">J142/I142</f>
        <v>1.594592380952381E-2</v>
      </c>
      <c r="L142" s="153"/>
      <c r="M142" s="114"/>
      <c r="N142" s="115">
        <f t="shared" si="73"/>
        <v>22623458.190000001</v>
      </c>
      <c r="P142" s="37"/>
    </row>
    <row r="143" spans="1:16" ht="123" thickTop="1" thickBot="1" x14ac:dyDescent="0.25">
      <c r="A143" s="58" t="s">
        <v>357</v>
      </c>
      <c r="B143" s="75" t="s">
        <v>358</v>
      </c>
      <c r="C143" s="75" t="s">
        <v>359</v>
      </c>
      <c r="D143" s="75" t="s">
        <v>360</v>
      </c>
      <c r="E143" s="131"/>
      <c r="F143" s="131"/>
      <c r="G143" s="131"/>
      <c r="H143" s="88">
        <v>0</v>
      </c>
      <c r="I143" s="131">
        <v>11237500</v>
      </c>
      <c r="J143" s="153">
        <v>6466805.4500000002</v>
      </c>
      <c r="K143" s="88">
        <f t="shared" si="75"/>
        <v>0.57546655839822025</v>
      </c>
      <c r="L143" s="153"/>
      <c r="M143" s="114"/>
      <c r="N143" s="115">
        <f t="shared" si="73"/>
        <v>6466805.4500000002</v>
      </c>
      <c r="O143" s="50" t="s">
        <v>433</v>
      </c>
      <c r="P143" s="37"/>
    </row>
    <row r="144" spans="1:16" ht="93" thickTop="1" thickBot="1" x14ac:dyDescent="0.25">
      <c r="A144" s="58"/>
      <c r="B144" s="75" t="s">
        <v>565</v>
      </c>
      <c r="C144" s="75" t="s">
        <v>359</v>
      </c>
      <c r="D144" s="75" t="s">
        <v>566</v>
      </c>
      <c r="E144" s="131">
        <v>3727208</v>
      </c>
      <c r="F144" s="131">
        <v>3727208</v>
      </c>
      <c r="G144" s="131">
        <v>1668643.23</v>
      </c>
      <c r="H144" s="88">
        <f t="shared" si="74"/>
        <v>0.4476925435875862</v>
      </c>
      <c r="I144" s="131"/>
      <c r="J144" s="153"/>
      <c r="K144" s="88"/>
      <c r="L144" s="153"/>
      <c r="M144" s="114"/>
      <c r="N144" s="115">
        <f t="shared" si="73"/>
        <v>1668643.23</v>
      </c>
      <c r="O144" s="50"/>
      <c r="P144" s="37"/>
    </row>
    <row r="145" spans="1:16" ht="123" thickTop="1" thickBot="1" x14ac:dyDescent="0.25">
      <c r="A145" s="58" t="s">
        <v>361</v>
      </c>
      <c r="B145" s="75" t="s">
        <v>362</v>
      </c>
      <c r="C145" s="75" t="s">
        <v>359</v>
      </c>
      <c r="D145" s="75" t="s">
        <v>363</v>
      </c>
      <c r="E145" s="131"/>
      <c r="F145" s="131"/>
      <c r="G145" s="131"/>
      <c r="H145" s="88">
        <v>0</v>
      </c>
      <c r="I145" s="131">
        <v>378492</v>
      </c>
      <c r="J145" s="153">
        <v>241908.74</v>
      </c>
      <c r="K145" s="88">
        <f t="shared" si="75"/>
        <v>0.63913831732242687</v>
      </c>
      <c r="L145" s="153"/>
      <c r="M145" s="114"/>
      <c r="N145" s="115">
        <f t="shared" si="73"/>
        <v>241908.74</v>
      </c>
      <c r="O145" s="50" t="s">
        <v>433</v>
      </c>
      <c r="P145" s="37"/>
    </row>
    <row r="146" spans="1:16" ht="184.5" thickTop="1" thickBot="1" x14ac:dyDescent="0.25">
      <c r="A146" s="58" t="s">
        <v>364</v>
      </c>
      <c r="B146" s="75" t="s">
        <v>365</v>
      </c>
      <c r="C146" s="75" t="s">
        <v>359</v>
      </c>
      <c r="D146" s="75" t="s">
        <v>366</v>
      </c>
      <c r="E146" s="131">
        <f>5608100+3599000</f>
        <v>9207100</v>
      </c>
      <c r="F146" s="131">
        <v>6965900</v>
      </c>
      <c r="G146" s="131">
        <f>2059964.66+3434864.8</f>
        <v>5494829.46</v>
      </c>
      <c r="H146" s="88">
        <f t="shared" si="74"/>
        <v>0.78881830919192064</v>
      </c>
      <c r="I146" s="131"/>
      <c r="J146" s="153"/>
      <c r="K146" s="153"/>
      <c r="L146" s="153"/>
      <c r="M146" s="114"/>
      <c r="N146" s="115">
        <f t="shared" si="73"/>
        <v>5494829.46</v>
      </c>
      <c r="O146" s="50"/>
      <c r="P146" s="37"/>
    </row>
    <row r="147" spans="1:16" ht="62.25" thickTop="1" thickBot="1" x14ac:dyDescent="0.25">
      <c r="A147" s="58"/>
      <c r="B147" s="75" t="s">
        <v>368</v>
      </c>
      <c r="C147" s="75" t="s">
        <v>359</v>
      </c>
      <c r="D147" s="75" t="s">
        <v>369</v>
      </c>
      <c r="E147" s="131">
        <f>8500000+343537055</f>
        <v>352037055</v>
      </c>
      <c r="F147" s="131">
        <v>262366574</v>
      </c>
      <c r="G147" s="131">
        <f>0+192694122.97</f>
        <v>192694122.97</v>
      </c>
      <c r="H147" s="88">
        <f t="shared" si="74"/>
        <v>0.73444616069880908</v>
      </c>
      <c r="I147" s="115">
        <f>4882138+4593000</f>
        <v>9475138</v>
      </c>
      <c r="J147" s="131">
        <f>980882.81+1047419.17</f>
        <v>2028301.98</v>
      </c>
      <c r="K147" s="88">
        <f t="shared" si="75"/>
        <v>0.21406569276352491</v>
      </c>
      <c r="L147" s="131"/>
      <c r="M147" s="114"/>
      <c r="N147" s="115">
        <f t="shared" si="73"/>
        <v>194722424.94999999</v>
      </c>
      <c r="O147" s="52"/>
      <c r="P147" s="37"/>
    </row>
    <row r="148" spans="1:16" ht="123" thickTop="1" thickBot="1" x14ac:dyDescent="0.25">
      <c r="A148" s="58"/>
      <c r="B148" s="76" t="s">
        <v>262</v>
      </c>
      <c r="C148" s="76"/>
      <c r="D148" s="76" t="s">
        <v>434</v>
      </c>
      <c r="E148" s="133">
        <f>SUM(E149:E151)</f>
        <v>63000</v>
      </c>
      <c r="F148" s="133">
        <f>SUM(F149:F151)</f>
        <v>63000</v>
      </c>
      <c r="G148" s="133">
        <f>SUM(G149:G151)</f>
        <v>0</v>
      </c>
      <c r="H148" s="89">
        <v>0</v>
      </c>
      <c r="I148" s="133">
        <f>SUM(I149:I151)</f>
        <v>10000000</v>
      </c>
      <c r="J148" s="133">
        <f>SUM(J149:J151)</f>
        <v>0</v>
      </c>
      <c r="K148" s="88">
        <f t="shared" si="75"/>
        <v>0</v>
      </c>
      <c r="L148" s="133"/>
      <c r="M148" s="111"/>
      <c r="N148" s="120">
        <f t="shared" si="73"/>
        <v>0</v>
      </c>
      <c r="O148" s="50" t="s">
        <v>433</v>
      </c>
      <c r="P148" s="37"/>
    </row>
    <row r="149" spans="1:16" ht="123" thickTop="1" thickBot="1" x14ac:dyDescent="0.25">
      <c r="A149" s="58" t="s">
        <v>367</v>
      </c>
      <c r="B149" s="75" t="s">
        <v>263</v>
      </c>
      <c r="C149" s="75" t="s">
        <v>264</v>
      </c>
      <c r="D149" s="75" t="s">
        <v>435</v>
      </c>
      <c r="E149" s="131"/>
      <c r="F149" s="131"/>
      <c r="G149" s="131"/>
      <c r="H149" s="88">
        <v>0</v>
      </c>
      <c r="I149" s="115">
        <v>10000000</v>
      </c>
      <c r="J149" s="131">
        <v>0</v>
      </c>
      <c r="K149" s="88">
        <f t="shared" si="75"/>
        <v>0</v>
      </c>
      <c r="L149" s="131"/>
      <c r="M149" s="114"/>
      <c r="N149" s="115">
        <f t="shared" si="73"/>
        <v>0</v>
      </c>
      <c r="O149" s="50" t="s">
        <v>433</v>
      </c>
      <c r="P149" s="30"/>
    </row>
    <row r="150" spans="1:16" ht="409.6" hidden="1" customHeight="1" thickTop="1" thickBot="1" x14ac:dyDescent="0.25">
      <c r="A150" s="58"/>
      <c r="B150" s="75" t="s">
        <v>495</v>
      </c>
      <c r="C150" s="75" t="s">
        <v>264</v>
      </c>
      <c r="D150" s="75" t="s">
        <v>496</v>
      </c>
      <c r="E150" s="131"/>
      <c r="F150" s="131"/>
      <c r="G150" s="131"/>
      <c r="H150" s="88" t="e">
        <f t="shared" si="74"/>
        <v>#DIV/0!</v>
      </c>
      <c r="I150" s="94">
        <v>0</v>
      </c>
      <c r="J150" s="104">
        <v>0</v>
      </c>
      <c r="K150" s="92" t="e">
        <f t="shared" si="75"/>
        <v>#DIV/0!</v>
      </c>
      <c r="L150" s="104"/>
      <c r="M150" s="95"/>
      <c r="N150" s="94">
        <f t="shared" si="73"/>
        <v>0</v>
      </c>
      <c r="P150" s="30"/>
    </row>
    <row r="151" spans="1:16" ht="184.5" thickTop="1" thickBot="1" x14ac:dyDescent="0.25">
      <c r="A151" s="58"/>
      <c r="B151" s="140" t="s">
        <v>348</v>
      </c>
      <c r="C151" s="140" t="s">
        <v>264</v>
      </c>
      <c r="D151" s="75" t="s">
        <v>349</v>
      </c>
      <c r="E151" s="131">
        <v>63000</v>
      </c>
      <c r="F151" s="131">
        <v>63000</v>
      </c>
      <c r="G151" s="115">
        <v>0</v>
      </c>
      <c r="H151" s="88">
        <v>0</v>
      </c>
      <c r="I151" s="115"/>
      <c r="J151" s="115"/>
      <c r="K151" s="115"/>
      <c r="L151" s="115"/>
      <c r="M151" s="114"/>
      <c r="N151" s="115">
        <f t="shared" si="73"/>
        <v>0</v>
      </c>
      <c r="O151" s="156" t="s">
        <v>433</v>
      </c>
      <c r="P151" s="157"/>
    </row>
    <row r="152" spans="1:16" ht="93" thickTop="1" thickBot="1" x14ac:dyDescent="0.25">
      <c r="A152" s="58"/>
      <c r="B152" s="75" t="s">
        <v>508</v>
      </c>
      <c r="C152" s="75" t="s">
        <v>509</v>
      </c>
      <c r="D152" s="75" t="s">
        <v>510</v>
      </c>
      <c r="E152" s="131">
        <f>5000000+4049585</f>
        <v>9049585</v>
      </c>
      <c r="F152" s="131">
        <v>8956000</v>
      </c>
      <c r="G152" s="115">
        <f>2477415.36+0</f>
        <v>2477415.36</v>
      </c>
      <c r="H152" s="88">
        <f t="shared" si="74"/>
        <v>0.27662074140241177</v>
      </c>
      <c r="I152" s="115"/>
      <c r="J152" s="115"/>
      <c r="K152" s="115"/>
      <c r="L152" s="115"/>
      <c r="M152" s="114"/>
      <c r="N152" s="115">
        <f t="shared" si="73"/>
        <v>2477415.36</v>
      </c>
      <c r="O152" s="156" t="s">
        <v>433</v>
      </c>
      <c r="P152" s="157"/>
    </row>
    <row r="153" spans="1:16" s="38" customFormat="1" ht="101.25" customHeight="1" thickTop="1" thickBot="1" x14ac:dyDescent="0.25">
      <c r="A153" s="60" t="s">
        <v>370</v>
      </c>
      <c r="B153" s="77" t="s">
        <v>31</v>
      </c>
      <c r="C153" s="77"/>
      <c r="D153" s="78" t="s">
        <v>371</v>
      </c>
      <c r="E153" s="79">
        <f>E154+E156+E169+E177+E180</f>
        <v>224357819.47999999</v>
      </c>
      <c r="F153" s="79">
        <f>F154+F156+F169+F177+F180</f>
        <v>166983566.47999999</v>
      </c>
      <c r="G153" s="79">
        <f>G154+G156+G169+G177+G180</f>
        <v>132019360.90999998</v>
      </c>
      <c r="H153" s="80">
        <f>G153/F153</f>
        <v>0.79061289498695819</v>
      </c>
      <c r="I153" s="79">
        <f>I154+I156+I169+I177+I180</f>
        <v>809733620.42000008</v>
      </c>
      <c r="J153" s="79">
        <f>J154+J156+J169+J177+J180</f>
        <v>222936990.38</v>
      </c>
      <c r="K153" s="80">
        <f>J153/I153</f>
        <v>0.27532139552803181</v>
      </c>
      <c r="L153" s="79"/>
      <c r="M153" s="79"/>
      <c r="N153" s="81">
        <f>J153+G153</f>
        <v>354956351.28999996</v>
      </c>
      <c r="O153" s="53" t="b">
        <f>N153=N155+N157+N159+N160+N162+N163+N164+N168+N173+N176+N178+N181+N183+N184+N185+N186+N187+N188+N190+N192+N171</f>
        <v>1</v>
      </c>
      <c r="P153" s="51"/>
    </row>
    <row r="154" spans="1:16" s="38" customFormat="1" ht="91.5" thickTop="1" thickBot="1" x14ac:dyDescent="0.25">
      <c r="A154" s="82"/>
      <c r="B154" s="109" t="s">
        <v>414</v>
      </c>
      <c r="C154" s="109"/>
      <c r="D154" s="109" t="s">
        <v>415</v>
      </c>
      <c r="E154" s="119">
        <f>SUM(E155)</f>
        <v>190000</v>
      </c>
      <c r="F154" s="119">
        <f>SUM(F155)</f>
        <v>190000</v>
      </c>
      <c r="G154" s="119">
        <f>SUM(G155)</f>
        <v>52268.67</v>
      </c>
      <c r="H154" s="90">
        <f>G154/F154</f>
        <v>0.27509826315789471</v>
      </c>
      <c r="I154" s="119">
        <f>SUM(I155)</f>
        <v>1210000</v>
      </c>
      <c r="J154" s="119">
        <f t="shared" ref="J154" si="76">SUM(J155)</f>
        <v>91500</v>
      </c>
      <c r="K154" s="90">
        <f t="shared" ref="K154:K156" si="77">J154/I154</f>
        <v>7.5619834710743808E-2</v>
      </c>
      <c r="L154" s="119"/>
      <c r="M154" s="119"/>
      <c r="N154" s="119">
        <f t="shared" si="73"/>
        <v>143768.66999999998</v>
      </c>
      <c r="O154" s="39"/>
      <c r="P154" s="51"/>
    </row>
    <row r="155" spans="1:16" s="38" customFormat="1" ht="48" thickTop="1" thickBot="1" x14ac:dyDescent="0.25">
      <c r="A155" s="82"/>
      <c r="B155" s="75" t="s">
        <v>416</v>
      </c>
      <c r="C155" s="75" t="s">
        <v>417</v>
      </c>
      <c r="D155" s="75" t="s">
        <v>418</v>
      </c>
      <c r="E155" s="115">
        <v>190000</v>
      </c>
      <c r="F155" s="115">
        <v>190000</v>
      </c>
      <c r="G155" s="115">
        <v>52268.67</v>
      </c>
      <c r="H155" s="88">
        <f t="shared" ref="H155" si="78">G155/F155</f>
        <v>0.27509826315789471</v>
      </c>
      <c r="I155" s="115">
        <v>1210000</v>
      </c>
      <c r="J155" s="115">
        <v>91500</v>
      </c>
      <c r="K155" s="88">
        <f>J155/I155</f>
        <v>7.5619834710743808E-2</v>
      </c>
      <c r="L155" s="115"/>
      <c r="M155" s="114"/>
      <c r="N155" s="115">
        <f t="shared" si="73"/>
        <v>143768.66999999998</v>
      </c>
      <c r="O155" s="39"/>
      <c r="P155" s="51"/>
    </row>
    <row r="156" spans="1:16" s="38" customFormat="1" ht="62.25" thickTop="1" thickBot="1" x14ac:dyDescent="0.25">
      <c r="A156" s="82"/>
      <c r="B156" s="109" t="s">
        <v>265</v>
      </c>
      <c r="C156" s="109"/>
      <c r="D156" s="109" t="s">
        <v>266</v>
      </c>
      <c r="E156" s="141">
        <f>SUM(E157:E168)-E158-E166</f>
        <v>50000</v>
      </c>
      <c r="F156" s="141">
        <f>SUM(F157:F168)-F158-F166</f>
        <v>50000</v>
      </c>
      <c r="G156" s="141">
        <f>SUM(G157:G168)-G158-G166</f>
        <v>26000</v>
      </c>
      <c r="H156" s="90">
        <f>G156/F156</f>
        <v>0.52</v>
      </c>
      <c r="I156" s="141">
        <f>SUM(I157:I168)-I158-I166</f>
        <v>199505123.59999999</v>
      </c>
      <c r="J156" s="141">
        <f>SUM(J157:J168)-J158-J166</f>
        <v>22338046.180000003</v>
      </c>
      <c r="K156" s="90">
        <f t="shared" si="77"/>
        <v>0.11196728072401246</v>
      </c>
      <c r="L156" s="141"/>
      <c r="M156" s="141"/>
      <c r="N156" s="119">
        <f>G156+J156</f>
        <v>22364046.180000003</v>
      </c>
      <c r="O156" s="156"/>
      <c r="P156" s="157"/>
    </row>
    <row r="157" spans="1:16" s="38" customFormat="1" ht="93" customHeight="1" thickTop="1" thickBot="1" x14ac:dyDescent="0.25">
      <c r="A157" s="82"/>
      <c r="B157" s="75" t="s">
        <v>380</v>
      </c>
      <c r="C157" s="75" t="s">
        <v>268</v>
      </c>
      <c r="D157" s="75" t="s">
        <v>525</v>
      </c>
      <c r="E157" s="131"/>
      <c r="F157" s="131"/>
      <c r="G157" s="131"/>
      <c r="H157" s="131"/>
      <c r="I157" s="115">
        <f>4800000+4572064+4500000</f>
        <v>13872064</v>
      </c>
      <c r="J157" s="131">
        <f>933906.21+239781.57+65317.51</f>
        <v>1239005.29</v>
      </c>
      <c r="K157" s="88">
        <f>J157/I157</f>
        <v>8.9316578268381699E-2</v>
      </c>
      <c r="L157" s="131"/>
      <c r="M157" s="114"/>
      <c r="N157" s="115">
        <f t="shared" si="73"/>
        <v>1239005.29</v>
      </c>
      <c r="O157" s="39"/>
      <c r="P157" s="51"/>
    </row>
    <row r="158" spans="1:16" s="38" customFormat="1" ht="93" thickTop="1" thickBot="1" x14ac:dyDescent="0.25">
      <c r="A158" s="60"/>
      <c r="B158" s="76" t="s">
        <v>267</v>
      </c>
      <c r="C158" s="76"/>
      <c r="D158" s="76" t="s">
        <v>526</v>
      </c>
      <c r="E158" s="120"/>
      <c r="F158" s="120"/>
      <c r="G158" s="120"/>
      <c r="H158" s="89"/>
      <c r="I158" s="120">
        <f>SUM(I159:I163)</f>
        <v>145638025.59999999</v>
      </c>
      <c r="J158" s="120">
        <f>SUM(J159:J163)</f>
        <v>17656346.870000001</v>
      </c>
      <c r="K158" s="89">
        <f t="shared" ref="K158:K159" si="79">J158/I158</f>
        <v>0.12123445643580602</v>
      </c>
      <c r="L158" s="120"/>
      <c r="M158" s="120"/>
      <c r="N158" s="120">
        <f t="shared" si="73"/>
        <v>17656346.870000001</v>
      </c>
      <c r="O158" s="39"/>
      <c r="P158" s="51"/>
    </row>
    <row r="159" spans="1:16" s="38" customFormat="1" ht="48" thickTop="1" thickBot="1" x14ac:dyDescent="0.25">
      <c r="A159" s="60"/>
      <c r="B159" s="75" t="s">
        <v>396</v>
      </c>
      <c r="C159" s="75" t="s">
        <v>268</v>
      </c>
      <c r="D159" s="75" t="s">
        <v>527</v>
      </c>
      <c r="E159" s="115"/>
      <c r="F159" s="115"/>
      <c r="G159" s="115"/>
      <c r="H159" s="115"/>
      <c r="I159" s="115">
        <f>70434322.6+49133650</f>
        <v>119567972.59999999</v>
      </c>
      <c r="J159" s="115">
        <f>8148919.37+6400406.8</f>
        <v>14549326.17</v>
      </c>
      <c r="K159" s="88">
        <f t="shared" si="79"/>
        <v>0.12168246942409058</v>
      </c>
      <c r="L159" s="115"/>
      <c r="M159" s="114"/>
      <c r="N159" s="115">
        <f t="shared" si="73"/>
        <v>14549326.17</v>
      </c>
      <c r="O159" s="39"/>
      <c r="P159" s="51"/>
    </row>
    <row r="160" spans="1:16" s="38" customFormat="1" ht="48" thickTop="1" thickBot="1" x14ac:dyDescent="0.25">
      <c r="A160" s="60"/>
      <c r="B160" s="75" t="s">
        <v>519</v>
      </c>
      <c r="C160" s="75" t="s">
        <v>268</v>
      </c>
      <c r="D160" s="75" t="s">
        <v>528</v>
      </c>
      <c r="E160" s="115"/>
      <c r="F160" s="115"/>
      <c r="G160" s="115"/>
      <c r="H160" s="115"/>
      <c r="I160" s="115">
        <v>24670053</v>
      </c>
      <c r="J160" s="115">
        <v>3107020.7</v>
      </c>
      <c r="K160" s="88">
        <f t="shared" ref="K160" si="80">J160/I160</f>
        <v>0.12594300871587102</v>
      </c>
      <c r="L160" s="115"/>
      <c r="M160" s="114"/>
      <c r="N160" s="115">
        <f t="shared" ref="N160" si="81">G160+J160</f>
        <v>3107020.7</v>
      </c>
      <c r="O160" s="39"/>
      <c r="P160" s="51"/>
    </row>
    <row r="161" spans="1:16" s="38" customFormat="1" ht="123" hidden="1" thickTop="1" thickBot="1" x14ac:dyDescent="0.25">
      <c r="A161" s="60"/>
      <c r="B161" s="75" t="s">
        <v>448</v>
      </c>
      <c r="C161" s="75" t="s">
        <v>268</v>
      </c>
      <c r="D161" s="75" t="s">
        <v>523</v>
      </c>
      <c r="E161" s="115"/>
      <c r="F161" s="115"/>
      <c r="G161" s="115"/>
      <c r="H161" s="115"/>
      <c r="I161" s="115">
        <v>0</v>
      </c>
      <c r="J161" s="115">
        <v>0</v>
      </c>
      <c r="K161" s="88">
        <v>0</v>
      </c>
      <c r="L161" s="115"/>
      <c r="M161" s="114"/>
      <c r="N161" s="115">
        <f t="shared" si="73"/>
        <v>0</v>
      </c>
      <c r="O161" s="50" t="s">
        <v>433</v>
      </c>
      <c r="P161" s="51"/>
    </row>
    <row r="162" spans="1:16" s="38" customFormat="1" ht="48" thickTop="1" thickBot="1" x14ac:dyDescent="0.25">
      <c r="A162" s="60"/>
      <c r="B162" s="75" t="s">
        <v>397</v>
      </c>
      <c r="C162" s="75" t="s">
        <v>268</v>
      </c>
      <c r="D162" s="75" t="s">
        <v>529</v>
      </c>
      <c r="E162" s="115"/>
      <c r="F162" s="115"/>
      <c r="G162" s="115"/>
      <c r="H162" s="115"/>
      <c r="I162" s="115">
        <v>1400000</v>
      </c>
      <c r="J162" s="115">
        <v>0</v>
      </c>
      <c r="K162" s="88">
        <f t="shared" ref="K162" si="82">J162/I162</f>
        <v>0</v>
      </c>
      <c r="L162" s="115"/>
      <c r="M162" s="114"/>
      <c r="N162" s="115">
        <f t="shared" ref="N162" si="83">G162+J162</f>
        <v>0</v>
      </c>
      <c r="O162" s="39"/>
      <c r="P162" s="51"/>
    </row>
    <row r="163" spans="1:16" s="38" customFormat="1" ht="93" hidden="1" thickTop="1" thickBot="1" x14ac:dyDescent="0.25">
      <c r="A163" s="82"/>
      <c r="B163" s="75" t="s">
        <v>520</v>
      </c>
      <c r="C163" s="75" t="s">
        <v>268</v>
      </c>
      <c r="D163" s="75" t="s">
        <v>524</v>
      </c>
      <c r="E163" s="115"/>
      <c r="F163" s="115"/>
      <c r="G163" s="115"/>
      <c r="H163" s="115"/>
      <c r="I163" s="94">
        <v>0</v>
      </c>
      <c r="J163" s="94">
        <v>0</v>
      </c>
      <c r="K163" s="92" t="e">
        <f t="shared" ref="K163:K169" si="84">J163/I163</f>
        <v>#DIV/0!</v>
      </c>
      <c r="L163" s="94"/>
      <c r="M163" s="95"/>
      <c r="N163" s="94">
        <f t="shared" si="73"/>
        <v>0</v>
      </c>
      <c r="O163" s="39"/>
      <c r="P163" s="51"/>
    </row>
    <row r="164" spans="1:16" s="38" customFormat="1" ht="93" thickTop="1" thickBot="1" x14ac:dyDescent="0.25">
      <c r="A164" s="8"/>
      <c r="B164" s="75" t="s">
        <v>398</v>
      </c>
      <c r="C164" s="75" t="s">
        <v>268</v>
      </c>
      <c r="D164" s="75" t="s">
        <v>530</v>
      </c>
      <c r="E164" s="115"/>
      <c r="F164" s="115"/>
      <c r="G164" s="115"/>
      <c r="H164" s="115"/>
      <c r="I164" s="115">
        <v>38545034</v>
      </c>
      <c r="J164" s="115">
        <v>3442694.02</v>
      </c>
      <c r="K164" s="88">
        <f t="shared" si="84"/>
        <v>8.931614952006528E-2</v>
      </c>
      <c r="L164" s="115"/>
      <c r="M164" s="114"/>
      <c r="N164" s="115">
        <f t="shared" si="73"/>
        <v>3442694.02</v>
      </c>
      <c r="O164" s="39"/>
      <c r="P164" s="51"/>
    </row>
    <row r="165" spans="1:16" s="38" customFormat="1" ht="93" thickTop="1" thickBot="1" x14ac:dyDescent="0.25">
      <c r="A165" s="82"/>
      <c r="B165" s="75" t="s">
        <v>449</v>
      </c>
      <c r="C165" s="75" t="s">
        <v>268</v>
      </c>
      <c r="D165" s="75" t="s">
        <v>450</v>
      </c>
      <c r="E165" s="115"/>
      <c r="F165" s="115"/>
      <c r="G165" s="115"/>
      <c r="H165" s="115"/>
      <c r="I165" s="115">
        <v>1450000</v>
      </c>
      <c r="J165" s="115">
        <v>0</v>
      </c>
      <c r="K165" s="88">
        <f t="shared" si="84"/>
        <v>0</v>
      </c>
      <c r="L165" s="115"/>
      <c r="M165" s="114"/>
      <c r="N165" s="115">
        <f t="shared" si="73"/>
        <v>0</v>
      </c>
      <c r="O165" s="39"/>
      <c r="P165" s="51"/>
    </row>
    <row r="166" spans="1:16" s="38" customFormat="1" ht="123" hidden="1" thickTop="1" thickBot="1" x14ac:dyDescent="0.25">
      <c r="A166" s="82"/>
      <c r="B166" s="76" t="s">
        <v>497</v>
      </c>
      <c r="C166" s="76"/>
      <c r="D166" s="76" t="s">
        <v>499</v>
      </c>
      <c r="E166" s="120">
        <f>E167</f>
        <v>0</v>
      </c>
      <c r="F166" s="120">
        <f>F167</f>
        <v>0</v>
      </c>
      <c r="G166" s="120">
        <f t="shared" ref="G166" si="85">G167</f>
        <v>0</v>
      </c>
      <c r="H166" s="89"/>
      <c r="I166" s="120">
        <f>I167</f>
        <v>0</v>
      </c>
      <c r="J166" s="120">
        <f>J167</f>
        <v>0</v>
      </c>
      <c r="K166" s="88" t="e">
        <f t="shared" si="84"/>
        <v>#DIV/0!</v>
      </c>
      <c r="L166" s="120"/>
      <c r="M166" s="120"/>
      <c r="N166" s="120">
        <f t="shared" si="73"/>
        <v>0</v>
      </c>
      <c r="O166" s="50" t="s">
        <v>433</v>
      </c>
      <c r="P166" s="51"/>
    </row>
    <row r="167" spans="1:16" s="38" customFormat="1" ht="138.75" hidden="1" thickTop="1" thickBot="1" x14ac:dyDescent="0.25">
      <c r="A167" s="82"/>
      <c r="B167" s="75" t="s">
        <v>498</v>
      </c>
      <c r="C167" s="75" t="s">
        <v>39</v>
      </c>
      <c r="D167" s="75" t="s">
        <v>500</v>
      </c>
      <c r="E167" s="115"/>
      <c r="F167" s="115"/>
      <c r="G167" s="115"/>
      <c r="H167" s="115"/>
      <c r="I167" s="115"/>
      <c r="J167" s="115">
        <v>0</v>
      </c>
      <c r="K167" s="88" t="e">
        <f t="shared" si="84"/>
        <v>#DIV/0!</v>
      </c>
      <c r="L167" s="115"/>
      <c r="M167" s="114"/>
      <c r="N167" s="115">
        <f t="shared" si="73"/>
        <v>0</v>
      </c>
      <c r="O167" s="39"/>
      <c r="P167" s="51"/>
    </row>
    <row r="168" spans="1:16" s="38" customFormat="1" ht="93" thickTop="1" thickBot="1" x14ac:dyDescent="0.25">
      <c r="A168" s="82"/>
      <c r="B168" s="75" t="s">
        <v>399</v>
      </c>
      <c r="C168" s="75" t="s">
        <v>39</v>
      </c>
      <c r="D168" s="75" t="s">
        <v>400</v>
      </c>
      <c r="E168" s="115">
        <v>50000</v>
      </c>
      <c r="F168" s="115">
        <v>50000</v>
      </c>
      <c r="G168" s="115">
        <v>26000</v>
      </c>
      <c r="H168" s="88">
        <f>G168/F168</f>
        <v>0.52</v>
      </c>
      <c r="I168" s="115"/>
      <c r="J168" s="115"/>
      <c r="K168" s="88"/>
      <c r="L168" s="115"/>
      <c r="M168" s="114"/>
      <c r="N168" s="115">
        <f>G168+J168</f>
        <v>26000</v>
      </c>
      <c r="O168" s="156"/>
      <c r="P168" s="157"/>
    </row>
    <row r="169" spans="1:16" s="38" customFormat="1" ht="91.5" thickTop="1" thickBot="1" x14ac:dyDescent="0.25">
      <c r="A169" s="57"/>
      <c r="B169" s="109" t="s">
        <v>381</v>
      </c>
      <c r="C169" s="109"/>
      <c r="D169" s="109" t="s">
        <v>382</v>
      </c>
      <c r="E169" s="119">
        <f>SUM(E170:E176)-E172-E175-E170</f>
        <v>199588761</v>
      </c>
      <c r="F169" s="119">
        <f>SUM(F170:F176)-F172-F175-F170</f>
        <v>149873955</v>
      </c>
      <c r="G169" s="119">
        <f>SUM(G170:G176)-G172-G175-G170</f>
        <v>117364106.84999998</v>
      </c>
      <c r="H169" s="90">
        <f t="shared" ref="H169" si="86">G169/F169</f>
        <v>0.7830854056663813</v>
      </c>
      <c r="I169" s="119">
        <f>SUM(I170:I176)-I172-I175-I170</f>
        <v>94061021</v>
      </c>
      <c r="J169" s="119">
        <f>SUM(J170:J176)-J172-J175-J170</f>
        <v>13202015.74</v>
      </c>
      <c r="K169" s="90">
        <f t="shared" si="84"/>
        <v>0.14035586260540378</v>
      </c>
      <c r="L169" s="119"/>
      <c r="M169" s="119"/>
      <c r="N169" s="119">
        <f>G169+J169</f>
        <v>130566122.58999997</v>
      </c>
      <c r="O169" s="39"/>
      <c r="P169" s="51"/>
    </row>
    <row r="170" spans="1:16" s="38" customFormat="1" ht="93" thickTop="1" thickBot="1" x14ac:dyDescent="0.25">
      <c r="A170" s="57"/>
      <c r="B170" s="76" t="s">
        <v>465</v>
      </c>
      <c r="C170" s="76"/>
      <c r="D170" s="76" t="s">
        <v>466</v>
      </c>
      <c r="E170" s="120">
        <f>E171</f>
        <v>505540</v>
      </c>
      <c r="F170" s="120">
        <f>F171</f>
        <v>400000</v>
      </c>
      <c r="G170" s="120">
        <f>G171</f>
        <v>90690.09</v>
      </c>
      <c r="H170" s="89">
        <f t="shared" ref="H170:H185" si="87">G170/F170</f>
        <v>0.226725225</v>
      </c>
      <c r="I170" s="120">
        <f>I171</f>
        <v>0</v>
      </c>
      <c r="J170" s="120">
        <f>J171</f>
        <v>0</v>
      </c>
      <c r="K170" s="88">
        <v>0</v>
      </c>
      <c r="L170" s="120"/>
      <c r="M170" s="120"/>
      <c r="N170" s="120">
        <f t="shared" si="73"/>
        <v>90690.09</v>
      </c>
      <c r="O170" s="50"/>
      <c r="P170" s="51"/>
    </row>
    <row r="171" spans="1:16" s="38" customFormat="1" ht="48" thickTop="1" thickBot="1" x14ac:dyDescent="0.25">
      <c r="A171" s="57"/>
      <c r="B171" s="75" t="s">
        <v>467</v>
      </c>
      <c r="C171" s="75" t="s">
        <v>468</v>
      </c>
      <c r="D171" s="75" t="s">
        <v>469</v>
      </c>
      <c r="E171" s="115">
        <v>505540</v>
      </c>
      <c r="F171" s="115">
        <v>400000</v>
      </c>
      <c r="G171" s="115">
        <v>90690.09</v>
      </c>
      <c r="H171" s="88">
        <f>G171/F171</f>
        <v>0.226725225</v>
      </c>
      <c r="I171" s="115"/>
      <c r="J171" s="115"/>
      <c r="K171" s="115"/>
      <c r="L171" s="115"/>
      <c r="M171" s="114"/>
      <c r="N171" s="115">
        <f t="shared" si="73"/>
        <v>90690.09</v>
      </c>
      <c r="O171" s="39"/>
      <c r="P171" s="51"/>
    </row>
    <row r="172" spans="1:16" s="38" customFormat="1" ht="93" thickTop="1" thickBot="1" x14ac:dyDescent="0.25">
      <c r="A172" s="57"/>
      <c r="B172" s="76" t="s">
        <v>401</v>
      </c>
      <c r="C172" s="76"/>
      <c r="D172" s="76" t="s">
        <v>402</v>
      </c>
      <c r="E172" s="120">
        <f>E173</f>
        <v>136783221</v>
      </c>
      <c r="F172" s="120">
        <f t="shared" ref="F172:G172" si="88">F173</f>
        <v>98873955</v>
      </c>
      <c r="G172" s="120">
        <f t="shared" si="88"/>
        <v>96232427.780000001</v>
      </c>
      <c r="H172" s="88">
        <f t="shared" si="87"/>
        <v>0.97328389240624591</v>
      </c>
      <c r="I172" s="120"/>
      <c r="J172" s="120"/>
      <c r="K172" s="89"/>
      <c r="L172" s="120"/>
      <c r="M172" s="120"/>
      <c r="N172" s="120">
        <f t="shared" si="73"/>
        <v>96232427.780000001</v>
      </c>
      <c r="O172" s="50"/>
      <c r="P172" s="51"/>
    </row>
    <row r="173" spans="1:16" s="38" customFormat="1" ht="48" thickTop="1" thickBot="1" x14ac:dyDescent="0.25">
      <c r="A173" s="57"/>
      <c r="B173" s="75" t="s">
        <v>403</v>
      </c>
      <c r="C173" s="75" t="s">
        <v>404</v>
      </c>
      <c r="D173" s="75" t="s">
        <v>405</v>
      </c>
      <c r="E173" s="115">
        <v>136783221</v>
      </c>
      <c r="F173" s="115">
        <v>98873955</v>
      </c>
      <c r="G173" s="115">
        <v>96232427.780000001</v>
      </c>
      <c r="H173" s="88">
        <f t="shared" si="87"/>
        <v>0.97328389240624591</v>
      </c>
      <c r="I173" s="115"/>
      <c r="J173" s="115"/>
      <c r="K173" s="115"/>
      <c r="L173" s="115"/>
      <c r="M173" s="114"/>
      <c r="N173" s="115">
        <f t="shared" si="73"/>
        <v>96232427.780000001</v>
      </c>
      <c r="O173" s="39"/>
      <c r="P173" s="51"/>
    </row>
    <row r="174" spans="1:16" s="38" customFormat="1" ht="62.25" hidden="1" thickTop="1" thickBot="1" x14ac:dyDescent="0.25">
      <c r="A174" s="57"/>
      <c r="B174" s="93" t="s">
        <v>511</v>
      </c>
      <c r="C174" s="93" t="s">
        <v>384</v>
      </c>
      <c r="D174" s="93" t="s">
        <v>512</v>
      </c>
      <c r="E174" s="94">
        <v>0</v>
      </c>
      <c r="F174" s="115">
        <v>0</v>
      </c>
      <c r="G174" s="94">
        <v>0</v>
      </c>
      <c r="H174" s="92" t="e">
        <f t="shared" si="87"/>
        <v>#DIV/0!</v>
      </c>
      <c r="I174" s="115"/>
      <c r="J174" s="115"/>
      <c r="K174" s="115"/>
      <c r="L174" s="115"/>
      <c r="M174" s="114"/>
      <c r="N174" s="115">
        <f t="shared" si="73"/>
        <v>0</v>
      </c>
      <c r="O174" s="50"/>
      <c r="P174" s="51"/>
    </row>
    <row r="175" spans="1:16" s="38" customFormat="1" ht="93" thickTop="1" thickBot="1" x14ac:dyDescent="0.25">
      <c r="A175" s="57"/>
      <c r="B175" s="76" t="s">
        <v>446</v>
      </c>
      <c r="C175" s="76"/>
      <c r="D175" s="76" t="s">
        <v>447</v>
      </c>
      <c r="E175" s="120">
        <f>E176</f>
        <v>62300000</v>
      </c>
      <c r="F175" s="120">
        <f>F176</f>
        <v>50600000</v>
      </c>
      <c r="G175" s="120">
        <f>G176</f>
        <v>21040988.98</v>
      </c>
      <c r="H175" s="89">
        <f t="shared" si="87"/>
        <v>0.41582982173913047</v>
      </c>
      <c r="I175" s="120">
        <f>I176</f>
        <v>94061021</v>
      </c>
      <c r="J175" s="120">
        <f>J176</f>
        <v>13202015.74</v>
      </c>
      <c r="K175" s="89">
        <f t="shared" ref="K175:K176" si="89">J175/I175</f>
        <v>0.14035586260540378</v>
      </c>
      <c r="L175" s="120"/>
      <c r="M175" s="111"/>
      <c r="N175" s="120">
        <f t="shared" si="73"/>
        <v>34243004.719999999</v>
      </c>
      <c r="O175" s="39"/>
      <c r="P175" s="51"/>
    </row>
    <row r="176" spans="1:16" s="38" customFormat="1" ht="138.75" thickTop="1" thickBot="1" x14ac:dyDescent="0.25">
      <c r="A176" s="8"/>
      <c r="B176" s="75" t="s">
        <v>383</v>
      </c>
      <c r="C176" s="75" t="s">
        <v>384</v>
      </c>
      <c r="D176" s="75" t="s">
        <v>385</v>
      </c>
      <c r="E176" s="131">
        <v>62300000</v>
      </c>
      <c r="F176" s="131">
        <v>50600000</v>
      </c>
      <c r="G176" s="131">
        <v>21040988.98</v>
      </c>
      <c r="H176" s="88">
        <f t="shared" si="87"/>
        <v>0.41582982173913047</v>
      </c>
      <c r="I176" s="131">
        <v>94061021</v>
      </c>
      <c r="J176" s="153">
        <v>13202015.74</v>
      </c>
      <c r="K176" s="88">
        <f t="shared" si="89"/>
        <v>0.14035586260540378</v>
      </c>
      <c r="L176" s="153"/>
      <c r="M176" s="114"/>
      <c r="N176" s="115">
        <f t="shared" si="73"/>
        <v>34243004.719999999</v>
      </c>
      <c r="O176" s="50"/>
      <c r="P176" s="51"/>
    </row>
    <row r="177" spans="1:16" s="38" customFormat="1" ht="47.25" thickTop="1" thickBot="1" x14ac:dyDescent="0.25">
      <c r="A177" s="8"/>
      <c r="B177" s="109" t="s">
        <v>32</v>
      </c>
      <c r="C177" s="8"/>
      <c r="D177" s="109" t="s">
        <v>33</v>
      </c>
      <c r="E177" s="141">
        <f>E178+E179</f>
        <v>5063364.9800000004</v>
      </c>
      <c r="F177" s="141">
        <f>F178+F179</f>
        <v>3829042.98</v>
      </c>
      <c r="G177" s="141">
        <f>G178+G179</f>
        <v>3823095.89</v>
      </c>
      <c r="H177" s="90">
        <f t="shared" si="87"/>
        <v>0.99844684689331953</v>
      </c>
      <c r="I177" s="141">
        <f>I178+I179</f>
        <v>2235000</v>
      </c>
      <c r="J177" s="141">
        <f>J178+J179</f>
        <v>1676169</v>
      </c>
      <c r="K177" s="90">
        <f>J177/I177</f>
        <v>0.74996375838926177</v>
      </c>
      <c r="L177" s="155"/>
      <c r="M177" s="155"/>
      <c r="N177" s="119">
        <f>G177+J177</f>
        <v>5499264.8900000006</v>
      </c>
      <c r="O177" s="39"/>
      <c r="P177" s="51"/>
    </row>
    <row r="178" spans="1:16" s="38" customFormat="1" ht="48" thickTop="1" thickBot="1" x14ac:dyDescent="0.25">
      <c r="A178" s="8"/>
      <c r="B178" s="75" t="s">
        <v>34</v>
      </c>
      <c r="C178" s="75" t="s">
        <v>501</v>
      </c>
      <c r="D178" s="75" t="s">
        <v>35</v>
      </c>
      <c r="E178" s="131">
        <v>5063364.9800000004</v>
      </c>
      <c r="F178" s="131">
        <v>3829042.98</v>
      </c>
      <c r="G178" s="131">
        <v>3823095.89</v>
      </c>
      <c r="H178" s="88">
        <f t="shared" si="87"/>
        <v>0.99844684689331953</v>
      </c>
      <c r="I178" s="131">
        <v>2235000</v>
      </c>
      <c r="J178" s="131">
        <v>1676169</v>
      </c>
      <c r="K178" s="88">
        <f>J178/I178</f>
        <v>0.74996375838926177</v>
      </c>
      <c r="L178" s="155"/>
      <c r="M178" s="155"/>
      <c r="N178" s="115">
        <f t="shared" si="73"/>
        <v>5499264.8900000006</v>
      </c>
      <c r="O178" s="39"/>
      <c r="P178" s="51"/>
    </row>
    <row r="179" spans="1:16" s="38" customFormat="1" ht="244.5" hidden="1" customHeight="1" thickTop="1" thickBot="1" x14ac:dyDescent="0.25">
      <c r="A179" s="57"/>
      <c r="B179" s="101" t="s">
        <v>451</v>
      </c>
      <c r="C179" s="101" t="s">
        <v>501</v>
      </c>
      <c r="D179" s="101" t="s">
        <v>452</v>
      </c>
      <c r="E179" s="105"/>
      <c r="F179" s="132"/>
      <c r="G179" s="105"/>
      <c r="H179" s="92" t="e">
        <f t="shared" si="87"/>
        <v>#DIV/0!</v>
      </c>
      <c r="I179" s="105">
        <v>0</v>
      </c>
      <c r="J179" s="105">
        <v>0</v>
      </c>
      <c r="K179" s="103">
        <v>0</v>
      </c>
      <c r="L179" s="106"/>
      <c r="M179" s="106"/>
      <c r="N179" s="102">
        <f t="shared" si="73"/>
        <v>0</v>
      </c>
      <c r="O179" s="50" t="s">
        <v>433</v>
      </c>
      <c r="P179" s="51"/>
    </row>
    <row r="180" spans="1:16" s="38" customFormat="1" ht="91.5" thickTop="1" thickBot="1" x14ac:dyDescent="0.25">
      <c r="A180" s="57"/>
      <c r="B180" s="109" t="s">
        <v>36</v>
      </c>
      <c r="C180" s="8"/>
      <c r="D180" s="109" t="s">
        <v>37</v>
      </c>
      <c r="E180" s="141">
        <f>SUM(E181:E192)-E189-E182</f>
        <v>19465693.5</v>
      </c>
      <c r="F180" s="141">
        <f>SUM(F181:F192)-F189-F182</f>
        <v>13040568.5</v>
      </c>
      <c r="G180" s="141">
        <f>SUM(G181:G192)-G189-G182</f>
        <v>10753889.500000002</v>
      </c>
      <c r="H180" s="90">
        <f t="shared" si="87"/>
        <v>0.82464882570111897</v>
      </c>
      <c r="I180" s="141">
        <f>SUM(I181:I192)-I189-I182</f>
        <v>512722475.81999999</v>
      </c>
      <c r="J180" s="141">
        <f>SUM(J181:J192)-J189-J182</f>
        <v>185629259.46000001</v>
      </c>
      <c r="K180" s="90">
        <f>J180/I180</f>
        <v>0.3620462691110275</v>
      </c>
      <c r="L180" s="155"/>
      <c r="M180" s="155"/>
      <c r="N180" s="119">
        <f t="shared" si="73"/>
        <v>196383148.96000001</v>
      </c>
      <c r="O180" s="39"/>
      <c r="P180" s="51"/>
    </row>
    <row r="181" spans="1:16" s="38" customFormat="1" ht="93" thickTop="1" thickBot="1" x14ac:dyDescent="0.25">
      <c r="A181" s="57"/>
      <c r="B181" s="75" t="s">
        <v>406</v>
      </c>
      <c r="C181" s="75" t="s">
        <v>407</v>
      </c>
      <c r="D181" s="75" t="s">
        <v>408</v>
      </c>
      <c r="E181" s="115">
        <v>6065000</v>
      </c>
      <c r="F181" s="115">
        <v>2041000</v>
      </c>
      <c r="G181" s="115">
        <v>1765434.39</v>
      </c>
      <c r="H181" s="88">
        <f t="shared" si="87"/>
        <v>0.86498500244977949</v>
      </c>
      <c r="I181" s="115"/>
      <c r="J181" s="115"/>
      <c r="K181" s="88"/>
      <c r="L181" s="115"/>
      <c r="M181" s="114"/>
      <c r="N181" s="115">
        <f t="shared" si="73"/>
        <v>1765434.39</v>
      </c>
      <c r="O181" s="39"/>
      <c r="P181" s="51"/>
    </row>
    <row r="182" spans="1:16" s="38" customFormat="1" ht="62.25" thickTop="1" thickBot="1" x14ac:dyDescent="0.25">
      <c r="A182" s="60"/>
      <c r="B182" s="76" t="s">
        <v>470</v>
      </c>
      <c r="C182" s="76"/>
      <c r="D182" s="76" t="s">
        <v>472</v>
      </c>
      <c r="E182" s="120">
        <f>E183</f>
        <v>1062625</v>
      </c>
      <c r="F182" s="120">
        <f>F183</f>
        <v>814950</v>
      </c>
      <c r="G182" s="120">
        <f>G183</f>
        <v>804639.44</v>
      </c>
      <c r="H182" s="88">
        <f t="shared" si="87"/>
        <v>0.98734822995275773</v>
      </c>
      <c r="I182" s="120">
        <f>I183</f>
        <v>0</v>
      </c>
      <c r="J182" s="120">
        <f>J183</f>
        <v>0</v>
      </c>
      <c r="K182" s="89">
        <v>0</v>
      </c>
      <c r="L182" s="120"/>
      <c r="M182" s="111"/>
      <c r="N182" s="120">
        <f t="shared" si="73"/>
        <v>804639.44</v>
      </c>
      <c r="O182" s="156" t="s">
        <v>433</v>
      </c>
      <c r="P182" s="157"/>
    </row>
    <row r="183" spans="1:16" s="38" customFormat="1" ht="93" thickTop="1" thickBot="1" x14ac:dyDescent="0.25">
      <c r="A183" s="57"/>
      <c r="B183" s="75" t="s">
        <v>471</v>
      </c>
      <c r="C183" s="75" t="s">
        <v>373</v>
      </c>
      <c r="D183" s="75" t="s">
        <v>473</v>
      </c>
      <c r="E183" s="115">
        <v>1062625</v>
      </c>
      <c r="F183" s="115">
        <v>814950</v>
      </c>
      <c r="G183" s="115">
        <v>804639.44</v>
      </c>
      <c r="H183" s="88">
        <f t="shared" si="87"/>
        <v>0.98734822995275773</v>
      </c>
      <c r="I183" s="115"/>
      <c r="J183" s="115"/>
      <c r="K183" s="88"/>
      <c r="L183" s="115"/>
      <c r="M183" s="114"/>
      <c r="N183" s="115">
        <f t="shared" si="73"/>
        <v>804639.44</v>
      </c>
      <c r="O183" s="39"/>
      <c r="P183" s="51"/>
    </row>
    <row r="184" spans="1:16" s="38" customFormat="1" ht="93" thickTop="1" thickBot="1" x14ac:dyDescent="0.25">
      <c r="A184" s="57"/>
      <c r="B184" s="75" t="s">
        <v>409</v>
      </c>
      <c r="C184" s="75" t="s">
        <v>373</v>
      </c>
      <c r="D184" s="75" t="s">
        <v>410</v>
      </c>
      <c r="E184" s="115">
        <v>755000</v>
      </c>
      <c r="F184" s="115">
        <v>650000</v>
      </c>
      <c r="G184" s="115">
        <v>518595.29</v>
      </c>
      <c r="H184" s="88">
        <f t="shared" si="87"/>
        <v>0.7978389076923077</v>
      </c>
      <c r="I184" s="115">
        <v>798808.78</v>
      </c>
      <c r="J184" s="115">
        <v>0</v>
      </c>
      <c r="K184" s="88">
        <f>J184/I184</f>
        <v>0</v>
      </c>
      <c r="L184" s="115"/>
      <c r="M184" s="114"/>
      <c r="N184" s="115">
        <f t="shared" si="73"/>
        <v>518595.29</v>
      </c>
      <c r="O184" s="39"/>
      <c r="P184" s="51"/>
    </row>
    <row r="185" spans="1:16" s="38" customFormat="1" ht="62.25" thickTop="1" thickBot="1" x14ac:dyDescent="0.25">
      <c r="A185" s="57"/>
      <c r="B185" s="75" t="s">
        <v>372</v>
      </c>
      <c r="C185" s="75" t="s">
        <v>373</v>
      </c>
      <c r="D185" s="75" t="s">
        <v>374</v>
      </c>
      <c r="E185" s="131">
        <f>20000+8551370+42254</f>
        <v>8613624</v>
      </c>
      <c r="F185" s="131">
        <v>7772574</v>
      </c>
      <c r="G185" s="131">
        <f>20000+5953102.9+34927</f>
        <v>6008029.9000000004</v>
      </c>
      <c r="H185" s="88">
        <f t="shared" si="87"/>
        <v>0.77297815369786127</v>
      </c>
      <c r="I185" s="115">
        <f>1000000+45855977.12+24401108.24+8800000+2767235+4229000+16434368+195396</f>
        <v>103683084.36</v>
      </c>
      <c r="J185" s="131">
        <f>0+1780211.67+18694471.25+296971+727856.58+200870+928018.36+183598</f>
        <v>22811996.859999999</v>
      </c>
      <c r="K185" s="88">
        <f>J185/I185</f>
        <v>0.22001657262426755</v>
      </c>
      <c r="L185" s="131"/>
      <c r="M185" s="114"/>
      <c r="N185" s="115">
        <f t="shared" si="73"/>
        <v>28820026.759999998</v>
      </c>
      <c r="O185" s="156" t="s">
        <v>433</v>
      </c>
      <c r="P185" s="157"/>
    </row>
    <row r="186" spans="1:16" s="38" customFormat="1" ht="93" thickTop="1" thickBot="1" x14ac:dyDescent="0.25">
      <c r="A186" s="57"/>
      <c r="B186" s="75" t="s">
        <v>419</v>
      </c>
      <c r="C186" s="75" t="s">
        <v>39</v>
      </c>
      <c r="D186" s="75" t="s">
        <v>420</v>
      </c>
      <c r="E186" s="115"/>
      <c r="F186" s="115"/>
      <c r="G186" s="115"/>
      <c r="H186" s="115"/>
      <c r="I186" s="115">
        <v>112500</v>
      </c>
      <c r="J186" s="115">
        <v>40400</v>
      </c>
      <c r="K186" s="88">
        <f>J186/I186</f>
        <v>0.3591111111111111</v>
      </c>
      <c r="L186" s="115"/>
      <c r="M186" s="114"/>
      <c r="N186" s="115">
        <f t="shared" si="73"/>
        <v>40400</v>
      </c>
      <c r="O186" s="39"/>
      <c r="P186" s="51"/>
    </row>
    <row r="187" spans="1:16" s="38" customFormat="1" ht="93" thickTop="1" thickBot="1" x14ac:dyDescent="0.25">
      <c r="A187" s="57"/>
      <c r="B187" s="75" t="s">
        <v>188</v>
      </c>
      <c r="C187" s="75" t="s">
        <v>39</v>
      </c>
      <c r="D187" s="75" t="s">
        <v>189</v>
      </c>
      <c r="E187" s="131"/>
      <c r="F187" s="131"/>
      <c r="G187" s="131"/>
      <c r="H187" s="131"/>
      <c r="I187" s="115">
        <f>607091+14888977+344143650.6+42321000</f>
        <v>401960718.60000002</v>
      </c>
      <c r="J187" s="131">
        <f>0+231399+127279191.12+33703840</f>
        <v>161214430.12</v>
      </c>
      <c r="K187" s="88">
        <f>J187/I187</f>
        <v>0.40107011123250585</v>
      </c>
      <c r="L187" s="131"/>
      <c r="M187" s="114"/>
      <c r="N187" s="115">
        <f t="shared" si="73"/>
        <v>161214430.12</v>
      </c>
      <c r="O187" s="39"/>
      <c r="P187" s="51"/>
    </row>
    <row r="188" spans="1:16" s="38" customFormat="1" ht="93" thickTop="1" thickBot="1" x14ac:dyDescent="0.25">
      <c r="A188" s="57"/>
      <c r="B188" s="75" t="s">
        <v>38</v>
      </c>
      <c r="C188" s="75" t="s">
        <v>39</v>
      </c>
      <c r="D188" s="75" t="s">
        <v>40</v>
      </c>
      <c r="E188" s="115">
        <v>341770.5</v>
      </c>
      <c r="F188" s="115">
        <v>269370.5</v>
      </c>
      <c r="G188" s="115">
        <v>268545.46999999997</v>
      </c>
      <c r="H188" s="88">
        <f t="shared" ref="H188:H189" si="90">G188/F188</f>
        <v>0.99693719245425905</v>
      </c>
      <c r="I188" s="155"/>
      <c r="J188" s="155"/>
      <c r="K188" s="155"/>
      <c r="L188" s="155"/>
      <c r="M188" s="155"/>
      <c r="N188" s="115">
        <f t="shared" si="73"/>
        <v>268545.46999999997</v>
      </c>
      <c r="O188" s="39"/>
      <c r="P188" s="51"/>
    </row>
    <row r="189" spans="1:16" s="38" customFormat="1" ht="48" thickTop="1" thickBot="1" x14ac:dyDescent="0.25">
      <c r="A189" s="57"/>
      <c r="B189" s="76" t="s">
        <v>41</v>
      </c>
      <c r="C189" s="76"/>
      <c r="D189" s="76" t="s">
        <v>375</v>
      </c>
      <c r="E189" s="133">
        <f>SUM(E190:E192)</f>
        <v>2627674</v>
      </c>
      <c r="F189" s="133">
        <f>SUM(F190:F192)</f>
        <v>1492674</v>
      </c>
      <c r="G189" s="133">
        <f>SUM(G190:G192)</f>
        <v>1388645.0099999998</v>
      </c>
      <c r="H189" s="88">
        <f t="shared" si="90"/>
        <v>0.93030695918867734</v>
      </c>
      <c r="I189" s="133">
        <f>SUM(I190:I192)</f>
        <v>6167364.0800000001</v>
      </c>
      <c r="J189" s="133">
        <f>SUM(J190:J192)</f>
        <v>1562432.48</v>
      </c>
      <c r="K189" s="89">
        <f>J189/I189</f>
        <v>0.25333877807972704</v>
      </c>
      <c r="L189" s="133"/>
      <c r="M189" s="133"/>
      <c r="N189" s="120">
        <f t="shared" si="73"/>
        <v>2951077.4899999998</v>
      </c>
      <c r="O189" s="39"/>
      <c r="P189" s="51"/>
    </row>
    <row r="190" spans="1:16" s="38" customFormat="1" ht="276" thickTop="1" thickBot="1" x14ac:dyDescent="0.7">
      <c r="A190" s="57"/>
      <c r="B190" s="158" t="s">
        <v>42</v>
      </c>
      <c r="C190" s="158" t="s">
        <v>39</v>
      </c>
      <c r="D190" s="142" t="s">
        <v>43</v>
      </c>
      <c r="E190" s="163"/>
      <c r="F190" s="163"/>
      <c r="G190" s="163"/>
      <c r="H190" s="163"/>
      <c r="I190" s="163">
        <f>4754696.21+479725.87+852942</f>
        <v>6087364.0800000001</v>
      </c>
      <c r="J190" s="163">
        <f>1345994.61+141725.87</f>
        <v>1487720.48</v>
      </c>
      <c r="K190" s="174">
        <f>J190/I190</f>
        <v>0.24439485801217264</v>
      </c>
      <c r="L190" s="163"/>
      <c r="M190" s="187"/>
      <c r="N190" s="163">
        <f>J190+G190</f>
        <v>1487720.48</v>
      </c>
      <c r="O190" s="39"/>
      <c r="P190" s="51"/>
    </row>
    <row r="191" spans="1:16" s="38" customFormat="1" ht="138.75" thickTop="1" thickBot="1" x14ac:dyDescent="0.25">
      <c r="A191" s="57"/>
      <c r="B191" s="159"/>
      <c r="C191" s="159"/>
      <c r="D191" s="143" t="s">
        <v>44</v>
      </c>
      <c r="E191" s="164"/>
      <c r="F191" s="164"/>
      <c r="G191" s="164"/>
      <c r="H191" s="164"/>
      <c r="I191" s="164"/>
      <c r="J191" s="164"/>
      <c r="K191" s="175"/>
      <c r="L191" s="164"/>
      <c r="M191" s="188"/>
      <c r="N191" s="164"/>
      <c r="O191" s="39"/>
      <c r="P191" s="51"/>
    </row>
    <row r="192" spans="1:16" s="38" customFormat="1" ht="48" thickTop="1" thickBot="1" x14ac:dyDescent="0.25">
      <c r="A192" s="57"/>
      <c r="B192" s="75" t="s">
        <v>45</v>
      </c>
      <c r="C192" s="75" t="s">
        <v>39</v>
      </c>
      <c r="D192" s="75" t="s">
        <v>46</v>
      </c>
      <c r="E192" s="115">
        <f>2407674+220000</f>
        <v>2627674</v>
      </c>
      <c r="F192" s="115">
        <v>1492674</v>
      </c>
      <c r="G192" s="115">
        <f>1191443.9+197201.11</f>
        <v>1388645.0099999998</v>
      </c>
      <c r="H192" s="88">
        <f t="shared" ref="H192" si="91">G192/F192</f>
        <v>0.93030695918867734</v>
      </c>
      <c r="I192" s="115">
        <v>80000</v>
      </c>
      <c r="J192" s="115">
        <v>74712</v>
      </c>
      <c r="K192" s="88">
        <f>J192/I192</f>
        <v>0.93389999999999995</v>
      </c>
      <c r="L192" s="115"/>
      <c r="M192" s="114"/>
      <c r="N192" s="115">
        <f t="shared" ref="N192:N213" si="92">G192+J192</f>
        <v>1463357.0099999998</v>
      </c>
      <c r="O192" s="39"/>
      <c r="P192" s="51"/>
    </row>
    <row r="193" spans="1:17" s="38" customFormat="1" ht="107.45" customHeight="1" thickTop="1" thickBot="1" x14ac:dyDescent="0.25">
      <c r="A193" s="60"/>
      <c r="B193" s="77" t="s">
        <v>47</v>
      </c>
      <c r="C193" s="77"/>
      <c r="D193" s="78" t="s">
        <v>48</v>
      </c>
      <c r="E193" s="79">
        <f>SUM(E194:E207)-E194-E201-E203-E206-E197</f>
        <v>75057428.549999997</v>
      </c>
      <c r="F193" s="79">
        <f>SUM(F194:F207)-F194-F201-F203-F206-F197</f>
        <v>23423553</v>
      </c>
      <c r="G193" s="79">
        <f>SUM(G194:G207)-G194-G201-G203-G206-G197</f>
        <v>16351884.789999995</v>
      </c>
      <c r="H193" s="80">
        <f>G193/F193</f>
        <v>0.6980958349913865</v>
      </c>
      <c r="I193" s="79">
        <f>SUM(I194:I207)-I194-I201-I203-I206-I197</f>
        <v>34937623.460000008</v>
      </c>
      <c r="J193" s="79">
        <f>SUM(J194:J207)-J194-J201-J203-J206-J197</f>
        <v>19709249.150000006</v>
      </c>
      <c r="K193" s="80">
        <f t="shared" ref="K193:K199" si="93">J193/I193</f>
        <v>0.56412678362525348</v>
      </c>
      <c r="L193" s="79"/>
      <c r="M193" s="79"/>
      <c r="N193" s="81">
        <f>J193+G193</f>
        <v>36061133.939999998</v>
      </c>
      <c r="O193" s="53" t="b">
        <f>N193=N195+N196+N198+N199+N200+N202+N204+N207+N205</f>
        <v>1</v>
      </c>
      <c r="P193" s="51"/>
    </row>
    <row r="194" spans="1:17" s="38" customFormat="1" ht="107.45" customHeight="1" thickTop="1" thickBot="1" x14ac:dyDescent="0.25">
      <c r="A194" s="60"/>
      <c r="B194" s="109" t="s">
        <v>386</v>
      </c>
      <c r="C194" s="109"/>
      <c r="D194" s="144" t="s">
        <v>387</v>
      </c>
      <c r="E194" s="119">
        <f>SUM(E195:E196)</f>
        <v>6591684</v>
      </c>
      <c r="F194" s="119">
        <f>SUM(F195:F196)</f>
        <v>6065564</v>
      </c>
      <c r="G194" s="119">
        <f>SUM(G195:G196)</f>
        <v>2970870.21</v>
      </c>
      <c r="H194" s="90">
        <f>G194/F194</f>
        <v>0.48979290466640857</v>
      </c>
      <c r="I194" s="119">
        <f>SUM(I195:I196)</f>
        <v>1005734.46</v>
      </c>
      <c r="J194" s="119">
        <f>SUM(J195:J196)</f>
        <v>197607.63</v>
      </c>
      <c r="K194" s="90">
        <f t="shared" si="93"/>
        <v>0.19648091803476636</v>
      </c>
      <c r="L194" s="119"/>
      <c r="M194" s="119"/>
      <c r="N194" s="119">
        <f t="shared" si="92"/>
        <v>3168477.84</v>
      </c>
      <c r="O194" s="156"/>
      <c r="P194" s="157"/>
    </row>
    <row r="195" spans="1:17" s="38" customFormat="1" ht="93" thickTop="1" thickBot="1" x14ac:dyDescent="0.25">
      <c r="A195" s="57"/>
      <c r="B195" s="75" t="s">
        <v>388</v>
      </c>
      <c r="C195" s="75" t="s">
        <v>389</v>
      </c>
      <c r="D195" s="75" t="s">
        <v>390</v>
      </c>
      <c r="E195" s="131">
        <v>4361250</v>
      </c>
      <c r="F195" s="131">
        <v>4361250</v>
      </c>
      <c r="G195" s="131">
        <v>1496943.5</v>
      </c>
      <c r="H195" s="88">
        <f>G195/F195</f>
        <v>0.34323725995987386</v>
      </c>
      <c r="I195" s="115">
        <v>1000000</v>
      </c>
      <c r="J195" s="115">
        <v>195273.7</v>
      </c>
      <c r="K195" s="88">
        <f t="shared" si="93"/>
        <v>0.19527370000000002</v>
      </c>
      <c r="L195" s="131"/>
      <c r="M195" s="114"/>
      <c r="N195" s="115">
        <f t="shared" si="92"/>
        <v>1692217.2</v>
      </c>
      <c r="O195" s="156"/>
      <c r="P195" s="157"/>
    </row>
    <row r="196" spans="1:17" s="38" customFormat="1" ht="48" thickTop="1" thickBot="1" x14ac:dyDescent="0.25">
      <c r="A196" s="57"/>
      <c r="B196" s="75" t="s">
        <v>391</v>
      </c>
      <c r="C196" s="75" t="s">
        <v>389</v>
      </c>
      <c r="D196" s="75" t="s">
        <v>392</v>
      </c>
      <c r="E196" s="131">
        <v>2230434</v>
      </c>
      <c r="F196" s="131">
        <v>1704314</v>
      </c>
      <c r="G196" s="131">
        <v>1473926.71</v>
      </c>
      <c r="H196" s="88">
        <f t="shared" ref="H196:H204" si="94">G196/F196</f>
        <v>0.86482110104123999</v>
      </c>
      <c r="I196" s="115">
        <v>5734.46</v>
      </c>
      <c r="J196" s="115">
        <v>2333.9299999999998</v>
      </c>
      <c r="K196" s="88">
        <f t="shared" si="93"/>
        <v>0.40700083355712652</v>
      </c>
      <c r="L196" s="131"/>
      <c r="M196" s="114"/>
      <c r="N196" s="115">
        <f t="shared" si="92"/>
        <v>1476260.64</v>
      </c>
      <c r="O196" s="12"/>
      <c r="P196" s="51"/>
    </row>
    <row r="197" spans="1:17" s="38" customFormat="1" ht="62.25" thickTop="1" thickBot="1" x14ac:dyDescent="0.25">
      <c r="A197" s="57"/>
      <c r="B197" s="109" t="s">
        <v>513</v>
      </c>
      <c r="C197" s="109"/>
      <c r="D197" s="109" t="s">
        <v>514</v>
      </c>
      <c r="E197" s="141">
        <f>SUM(E198:E200)</f>
        <v>15007611</v>
      </c>
      <c r="F197" s="141">
        <f>SUM(F198:F200)</f>
        <v>10005589</v>
      </c>
      <c r="G197" s="141">
        <f>SUM(G198:G200)</f>
        <v>6900986.8000000007</v>
      </c>
      <c r="H197" s="90">
        <f t="shared" si="94"/>
        <v>0.6897131992929153</v>
      </c>
      <c r="I197" s="141">
        <f t="shared" ref="I197:J197" si="95">SUM(I198:I200)</f>
        <v>29060455</v>
      </c>
      <c r="J197" s="141">
        <f t="shared" si="95"/>
        <v>17788739.5</v>
      </c>
      <c r="K197" s="90">
        <f t="shared" si="93"/>
        <v>0.61212873301536397</v>
      </c>
      <c r="L197" s="141"/>
      <c r="M197" s="141"/>
      <c r="N197" s="119">
        <f t="shared" ref="N197:N200" si="96">G197+J197</f>
        <v>24689726.300000001</v>
      </c>
      <c r="O197" s="156"/>
      <c r="P197" s="157"/>
    </row>
    <row r="198" spans="1:17" s="38" customFormat="1" ht="93" thickTop="1" thickBot="1" x14ac:dyDescent="0.25">
      <c r="A198" s="57"/>
      <c r="B198" s="75" t="s">
        <v>536</v>
      </c>
      <c r="C198" s="75" t="s">
        <v>516</v>
      </c>
      <c r="D198" s="75" t="s">
        <v>537</v>
      </c>
      <c r="E198" s="131">
        <v>4750000</v>
      </c>
      <c r="F198" s="131">
        <v>3480000</v>
      </c>
      <c r="G198" s="131">
        <v>2686347.89</v>
      </c>
      <c r="H198" s="88">
        <f t="shared" si="94"/>
        <v>0.77193904885057474</v>
      </c>
      <c r="I198" s="115"/>
      <c r="J198" s="131"/>
      <c r="K198" s="89"/>
      <c r="L198" s="131"/>
      <c r="M198" s="114"/>
      <c r="N198" s="115">
        <f t="shared" si="96"/>
        <v>2686347.89</v>
      </c>
      <c r="O198" s="52"/>
      <c r="P198" s="52"/>
    </row>
    <row r="199" spans="1:17" s="38" customFormat="1" ht="62.25" thickTop="1" thickBot="1" x14ac:dyDescent="0.25">
      <c r="A199" s="57"/>
      <c r="B199" s="75" t="s">
        <v>538</v>
      </c>
      <c r="C199" s="75" t="s">
        <v>516</v>
      </c>
      <c r="D199" s="75" t="s">
        <v>539</v>
      </c>
      <c r="E199" s="131">
        <v>1600000</v>
      </c>
      <c r="F199" s="131">
        <v>1600000</v>
      </c>
      <c r="G199" s="131">
        <v>566370</v>
      </c>
      <c r="H199" s="88">
        <f t="shared" si="94"/>
        <v>0.35398125000000003</v>
      </c>
      <c r="I199" s="115">
        <v>19900000</v>
      </c>
      <c r="J199" s="131">
        <v>13372180</v>
      </c>
      <c r="K199" s="88">
        <f t="shared" si="93"/>
        <v>0.67196884422110548</v>
      </c>
      <c r="L199" s="131"/>
      <c r="M199" s="114"/>
      <c r="N199" s="115">
        <f>G199+J199</f>
        <v>13938550</v>
      </c>
      <c r="O199" s="52"/>
      <c r="P199" s="52"/>
    </row>
    <row r="200" spans="1:17" s="38" customFormat="1" ht="48" thickTop="1" thickBot="1" x14ac:dyDescent="0.25">
      <c r="A200" s="57"/>
      <c r="B200" s="75" t="s">
        <v>515</v>
      </c>
      <c r="C200" s="75" t="s">
        <v>516</v>
      </c>
      <c r="D200" s="75" t="s">
        <v>517</v>
      </c>
      <c r="E200" s="131">
        <f>8471546+186065</f>
        <v>8657611</v>
      </c>
      <c r="F200" s="131">
        <v>4925589</v>
      </c>
      <c r="G200" s="131">
        <f>3531686.41+116582.5</f>
        <v>3648268.91</v>
      </c>
      <c r="H200" s="88">
        <f t="shared" si="94"/>
        <v>0.74067668049445456</v>
      </c>
      <c r="I200" s="115">
        <f>5240000+3770000+150455</f>
        <v>9160455</v>
      </c>
      <c r="J200" s="131">
        <f>588172+3691710+136677.5</f>
        <v>4416559.5</v>
      </c>
      <c r="K200" s="88">
        <f>J200/I200</f>
        <v>0.48213320189881398</v>
      </c>
      <c r="L200" s="131"/>
      <c r="M200" s="114"/>
      <c r="N200" s="115">
        <f t="shared" si="96"/>
        <v>8064828.4100000001</v>
      </c>
      <c r="O200" s="12"/>
      <c r="P200" s="51"/>
    </row>
    <row r="201" spans="1:17" s="38" customFormat="1" ht="91.5" thickTop="1" thickBot="1" x14ac:dyDescent="0.25">
      <c r="A201" s="57"/>
      <c r="B201" s="109" t="s">
        <v>411</v>
      </c>
      <c r="C201" s="109"/>
      <c r="D201" s="109" t="s">
        <v>412</v>
      </c>
      <c r="E201" s="141">
        <f>SUM(E202:E202)</f>
        <v>0</v>
      </c>
      <c r="F201" s="141">
        <f>SUM(F202:F202)</f>
        <v>0</v>
      </c>
      <c r="G201" s="141">
        <f>SUM(G202:G202)</f>
        <v>0</v>
      </c>
      <c r="H201" s="90">
        <v>0</v>
      </c>
      <c r="I201" s="141">
        <f>SUM(I202:I202)</f>
        <v>3956434</v>
      </c>
      <c r="J201" s="141">
        <f>SUM(J202:J202)</f>
        <v>1601252.02</v>
      </c>
      <c r="K201" s="90">
        <f t="shared" ref="K201:K204" si="97">J201/I201</f>
        <v>0.40472102403325821</v>
      </c>
      <c r="L201" s="141"/>
      <c r="M201" s="141"/>
      <c r="N201" s="119">
        <f t="shared" si="92"/>
        <v>1601252.02</v>
      </c>
      <c r="O201" s="156" t="s">
        <v>433</v>
      </c>
      <c r="P201" s="157"/>
    </row>
    <row r="202" spans="1:17" s="38" customFormat="1" ht="93" thickTop="1" thickBot="1" x14ac:dyDescent="0.25">
      <c r="A202" s="57"/>
      <c r="B202" s="75" t="s">
        <v>521</v>
      </c>
      <c r="C202" s="75" t="s">
        <v>413</v>
      </c>
      <c r="D202" s="75" t="s">
        <v>522</v>
      </c>
      <c r="E202" s="115"/>
      <c r="F202" s="115"/>
      <c r="G202" s="115"/>
      <c r="H202" s="88"/>
      <c r="I202" s="115">
        <v>3956434</v>
      </c>
      <c r="J202" s="115">
        <v>1601252.02</v>
      </c>
      <c r="K202" s="88">
        <f t="shared" si="97"/>
        <v>0.40472102403325821</v>
      </c>
      <c r="L202" s="115"/>
      <c r="M202" s="114"/>
      <c r="N202" s="115">
        <f t="shared" si="92"/>
        <v>1601252.02</v>
      </c>
      <c r="O202" s="39"/>
      <c r="P202" s="51"/>
    </row>
    <row r="203" spans="1:17" s="38" customFormat="1" ht="62.25" thickTop="1" thickBot="1" x14ac:dyDescent="0.25">
      <c r="A203" s="57"/>
      <c r="B203" s="109" t="s">
        <v>49</v>
      </c>
      <c r="C203" s="109"/>
      <c r="D203" s="109" t="s">
        <v>50</v>
      </c>
      <c r="E203" s="119">
        <f>SUM(E204)</f>
        <v>9330000</v>
      </c>
      <c r="F203" s="119">
        <f>SUM(F204)</f>
        <v>6699200</v>
      </c>
      <c r="G203" s="119">
        <f t="shared" ref="G203:J203" si="98">SUM(G204)</f>
        <v>6444336.9000000004</v>
      </c>
      <c r="H203" s="90">
        <f t="shared" si="94"/>
        <v>0.96195618879866263</v>
      </c>
      <c r="I203" s="119">
        <f t="shared" si="98"/>
        <v>915000</v>
      </c>
      <c r="J203" s="119">
        <f t="shared" si="98"/>
        <v>121650</v>
      </c>
      <c r="K203" s="90">
        <f t="shared" si="97"/>
        <v>0.13295081967213115</v>
      </c>
      <c r="L203" s="119"/>
      <c r="M203" s="119"/>
      <c r="N203" s="119">
        <f t="shared" si="92"/>
        <v>6565986.9000000004</v>
      </c>
      <c r="O203" s="156"/>
      <c r="P203" s="157"/>
    </row>
    <row r="204" spans="1:17" s="38" customFormat="1" ht="48" thickTop="1" thickBot="1" x14ac:dyDescent="0.25">
      <c r="A204" s="57"/>
      <c r="B204" s="75" t="s">
        <v>51</v>
      </c>
      <c r="C204" s="75" t="s">
        <v>52</v>
      </c>
      <c r="D204" s="75" t="s">
        <v>53</v>
      </c>
      <c r="E204" s="115">
        <f>9330000</f>
        <v>9330000</v>
      </c>
      <c r="F204" s="115">
        <v>6699200</v>
      </c>
      <c r="G204" s="115">
        <f>6444336.9</f>
        <v>6444336.9000000004</v>
      </c>
      <c r="H204" s="88">
        <f t="shared" si="94"/>
        <v>0.96195618879866263</v>
      </c>
      <c r="I204" s="115">
        <v>915000</v>
      </c>
      <c r="J204" s="115">
        <v>121650</v>
      </c>
      <c r="K204" s="88">
        <f t="shared" si="97"/>
        <v>0.13295081967213115</v>
      </c>
      <c r="L204" s="115"/>
      <c r="M204" s="114"/>
      <c r="N204" s="115">
        <f t="shared" si="92"/>
        <v>6565986.9000000004</v>
      </c>
      <c r="O204" s="39"/>
      <c r="P204" s="51"/>
    </row>
    <row r="205" spans="1:17" s="38" customFormat="1" ht="62.25" thickTop="1" thickBot="1" x14ac:dyDescent="0.25">
      <c r="A205" s="57"/>
      <c r="B205" s="145">
        <v>8600</v>
      </c>
      <c r="C205" s="109" t="s">
        <v>24</v>
      </c>
      <c r="D205" s="145" t="s">
        <v>421</v>
      </c>
      <c r="E205" s="119">
        <v>1306400</v>
      </c>
      <c r="F205" s="119">
        <v>653200</v>
      </c>
      <c r="G205" s="119">
        <v>35690.879999999997</v>
      </c>
      <c r="H205" s="90">
        <f>G205/F205</f>
        <v>5.4640048989589705E-2</v>
      </c>
      <c r="I205" s="119"/>
      <c r="J205" s="119"/>
      <c r="K205" s="119"/>
      <c r="L205" s="119"/>
      <c r="M205" s="110"/>
      <c r="N205" s="119">
        <f t="shared" si="92"/>
        <v>35690.879999999997</v>
      </c>
      <c r="O205" s="156"/>
      <c r="P205" s="157"/>
    </row>
    <row r="206" spans="1:17" s="38" customFormat="1" ht="62.25" thickTop="1" thickBot="1" x14ac:dyDescent="0.25">
      <c r="A206" s="57"/>
      <c r="B206" s="145">
        <v>8700</v>
      </c>
      <c r="C206" s="109"/>
      <c r="D206" s="145" t="s">
        <v>422</v>
      </c>
      <c r="E206" s="119">
        <f t="shared" ref="E206:J206" si="99">E207</f>
        <v>42821733.549999997</v>
      </c>
      <c r="F206" s="119">
        <f t="shared" si="99"/>
        <v>0</v>
      </c>
      <c r="G206" s="119">
        <f t="shared" si="99"/>
        <v>0</v>
      </c>
      <c r="H206" s="90">
        <v>0</v>
      </c>
      <c r="I206" s="119">
        <f t="shared" si="99"/>
        <v>0</v>
      </c>
      <c r="J206" s="119">
        <f t="shared" si="99"/>
        <v>0</v>
      </c>
      <c r="K206" s="90">
        <v>0</v>
      </c>
      <c r="L206" s="119"/>
      <c r="M206" s="119"/>
      <c r="N206" s="119">
        <f t="shared" si="92"/>
        <v>0</v>
      </c>
      <c r="O206" s="156" t="s">
        <v>433</v>
      </c>
      <c r="P206" s="157"/>
    </row>
    <row r="207" spans="1:17" s="38" customFormat="1" ht="62.25" thickTop="1" thickBot="1" x14ac:dyDescent="0.25">
      <c r="A207" s="57"/>
      <c r="B207" s="135">
        <v>8710</v>
      </c>
      <c r="C207" s="75" t="s">
        <v>29</v>
      </c>
      <c r="D207" s="129" t="s">
        <v>423</v>
      </c>
      <c r="E207" s="115">
        <v>42821733.549999997</v>
      </c>
      <c r="F207" s="115">
        <v>0</v>
      </c>
      <c r="G207" s="115">
        <v>0</v>
      </c>
      <c r="H207" s="88">
        <v>0</v>
      </c>
      <c r="I207" s="115"/>
      <c r="J207" s="115"/>
      <c r="K207" s="88"/>
      <c r="L207" s="115"/>
      <c r="M207" s="114"/>
      <c r="N207" s="115">
        <f t="shared" si="92"/>
        <v>0</v>
      </c>
      <c r="O207" s="156" t="s">
        <v>433</v>
      </c>
      <c r="P207" s="157"/>
    </row>
    <row r="208" spans="1:17" s="38" customFormat="1" ht="103.7" customHeight="1" thickTop="1" thickBot="1" x14ac:dyDescent="0.25">
      <c r="A208" s="60"/>
      <c r="B208" s="77" t="s">
        <v>54</v>
      </c>
      <c r="C208" s="77"/>
      <c r="D208" s="78" t="s">
        <v>55</v>
      </c>
      <c r="E208" s="79">
        <f>SUM(E209:E215)-E209-E211</f>
        <v>455843187.47000003</v>
      </c>
      <c r="F208" s="79">
        <f>SUM(F209:F215)-F209-F211</f>
        <v>373489987.47000003</v>
      </c>
      <c r="G208" s="79">
        <f>SUM(G209:G215)-G209-G211</f>
        <v>363899397.47000003</v>
      </c>
      <c r="H208" s="80">
        <f>G208/F208</f>
        <v>0.97432169449851624</v>
      </c>
      <c r="I208" s="79">
        <f>SUM(I209:I215)-I209-I211</f>
        <v>176463734.36000001</v>
      </c>
      <c r="J208" s="79">
        <f>SUM(J209:J215)-J209-J211</f>
        <v>149343397.36000001</v>
      </c>
      <c r="K208" s="80">
        <f>J208/I208</f>
        <v>0.84631212130718958</v>
      </c>
      <c r="L208" s="79"/>
      <c r="M208" s="79"/>
      <c r="N208" s="81">
        <f>J208+G208</f>
        <v>513242794.83000004</v>
      </c>
      <c r="O208" s="53" t="b">
        <f>N208=N210+N212+N213+N214+N215</f>
        <v>1</v>
      </c>
      <c r="P208" s="156"/>
      <c r="Q208" s="157"/>
    </row>
    <row r="209" spans="1:27" s="38" customFormat="1" ht="103.7" customHeight="1" thickTop="1" thickBot="1" x14ac:dyDescent="0.25">
      <c r="A209" s="60"/>
      <c r="B209" s="109" t="s">
        <v>424</v>
      </c>
      <c r="C209" s="109"/>
      <c r="D209" s="109" t="s">
        <v>425</v>
      </c>
      <c r="E209" s="119">
        <f t="shared" ref="E209:J209" si="100">E210</f>
        <v>328100700</v>
      </c>
      <c r="F209" s="119">
        <f t="shared" si="100"/>
        <v>246075300</v>
      </c>
      <c r="G209" s="119">
        <f t="shared" si="100"/>
        <v>246075300</v>
      </c>
      <c r="H209" s="90">
        <f>G209/F209</f>
        <v>1</v>
      </c>
      <c r="I209" s="119">
        <f t="shared" si="100"/>
        <v>0</v>
      </c>
      <c r="J209" s="119">
        <f t="shared" si="100"/>
        <v>0</v>
      </c>
      <c r="K209" s="90">
        <v>0</v>
      </c>
      <c r="L209" s="119"/>
      <c r="M209" s="119"/>
      <c r="N209" s="119">
        <f t="shared" si="92"/>
        <v>246075300</v>
      </c>
      <c r="O209" s="156" t="s">
        <v>433</v>
      </c>
      <c r="P209" s="157"/>
    </row>
    <row r="210" spans="1:27" s="38" customFormat="1" ht="103.7" customHeight="1" thickTop="1" thickBot="1" x14ac:dyDescent="0.25">
      <c r="A210" s="60"/>
      <c r="B210" s="135">
        <v>9110</v>
      </c>
      <c r="C210" s="75" t="s">
        <v>28</v>
      </c>
      <c r="D210" s="129" t="s">
        <v>426</v>
      </c>
      <c r="E210" s="115">
        <v>328100700</v>
      </c>
      <c r="F210" s="115">
        <v>246075300</v>
      </c>
      <c r="G210" s="115">
        <v>246075300</v>
      </c>
      <c r="H210" s="88">
        <f>G210/F210</f>
        <v>1</v>
      </c>
      <c r="I210" s="115"/>
      <c r="J210" s="115"/>
      <c r="K210" s="115"/>
      <c r="L210" s="115"/>
      <c r="M210" s="114"/>
      <c r="N210" s="115">
        <f t="shared" si="92"/>
        <v>246075300</v>
      </c>
      <c r="O210" s="12"/>
    </row>
    <row r="211" spans="1:27" s="38" customFormat="1" ht="136.5" thickTop="1" thickBot="1" x14ac:dyDescent="0.25">
      <c r="A211" s="60"/>
      <c r="B211" s="109" t="s">
        <v>56</v>
      </c>
      <c r="C211" s="109"/>
      <c r="D211" s="109" t="s">
        <v>57</v>
      </c>
      <c r="E211" s="119">
        <f>SUM(E212:E213)</f>
        <v>1312400</v>
      </c>
      <c r="F211" s="119">
        <f>SUM(F212:F213)</f>
        <v>984600</v>
      </c>
      <c r="G211" s="119">
        <f t="shared" ref="G211" si="101">SUM(G212:G213)</f>
        <v>984600</v>
      </c>
      <c r="H211" s="90">
        <f t="shared" ref="H211:H215" si="102">G211/F211</f>
        <v>1</v>
      </c>
      <c r="I211" s="119">
        <f t="shared" ref="I211:J211" si="103">SUM(I212:I213)</f>
        <v>0</v>
      </c>
      <c r="J211" s="119">
        <f t="shared" si="103"/>
        <v>0</v>
      </c>
      <c r="K211" s="90">
        <v>0</v>
      </c>
      <c r="L211" s="119"/>
      <c r="M211" s="119"/>
      <c r="N211" s="119">
        <f t="shared" si="92"/>
        <v>984600</v>
      </c>
      <c r="O211" s="156" t="s">
        <v>433</v>
      </c>
      <c r="P211" s="157"/>
    </row>
    <row r="212" spans="1:27" s="38" customFormat="1" ht="184.5" thickTop="1" thickBot="1" x14ac:dyDescent="0.25">
      <c r="A212" s="57"/>
      <c r="B212" s="75" t="s">
        <v>58</v>
      </c>
      <c r="C212" s="75" t="s">
        <v>28</v>
      </c>
      <c r="D212" s="75" t="s">
        <v>59</v>
      </c>
      <c r="E212" s="115">
        <v>1163700</v>
      </c>
      <c r="F212" s="115">
        <v>873000</v>
      </c>
      <c r="G212" s="115">
        <v>873000</v>
      </c>
      <c r="H212" s="88">
        <f t="shared" si="102"/>
        <v>1</v>
      </c>
      <c r="I212" s="115"/>
      <c r="J212" s="115"/>
      <c r="K212" s="115"/>
      <c r="L212" s="115"/>
      <c r="M212" s="114"/>
      <c r="N212" s="115">
        <f t="shared" si="92"/>
        <v>873000</v>
      </c>
      <c r="O212" s="39"/>
      <c r="P212" s="51"/>
    </row>
    <row r="213" spans="1:27" s="38" customFormat="1" ht="60.75" thickTop="1" thickBot="1" x14ac:dyDescent="0.8">
      <c r="A213" s="57"/>
      <c r="B213" s="75" t="s">
        <v>60</v>
      </c>
      <c r="C213" s="75" t="s">
        <v>28</v>
      </c>
      <c r="D213" s="75" t="s">
        <v>61</v>
      </c>
      <c r="E213" s="115">
        <v>148700</v>
      </c>
      <c r="F213" s="115">
        <v>111600</v>
      </c>
      <c r="G213" s="115">
        <v>111600</v>
      </c>
      <c r="H213" s="88">
        <f t="shared" si="102"/>
        <v>1</v>
      </c>
      <c r="I213" s="115"/>
      <c r="J213" s="115"/>
      <c r="K213" s="88"/>
      <c r="L213" s="115"/>
      <c r="M213" s="114"/>
      <c r="N213" s="115">
        <f t="shared" si="92"/>
        <v>111600</v>
      </c>
      <c r="O213" s="54"/>
      <c r="P213" s="51"/>
    </row>
    <row r="214" spans="1:27" s="38" customFormat="1" ht="136.5" thickTop="1" thickBot="1" x14ac:dyDescent="0.25">
      <c r="A214" s="57"/>
      <c r="B214" s="109" t="s">
        <v>62</v>
      </c>
      <c r="C214" s="109" t="s">
        <v>28</v>
      </c>
      <c r="D214" s="109" t="s">
        <v>63</v>
      </c>
      <c r="E214" s="118">
        <f>126273956.47+120000+36131</f>
        <v>126430087.47</v>
      </c>
      <c r="F214" s="118">
        <v>126430087.47</v>
      </c>
      <c r="G214" s="118">
        <f>116683366.47+120000+36131</f>
        <v>116839497.47</v>
      </c>
      <c r="H214" s="91">
        <f t="shared" si="102"/>
        <v>0.92414313561021855</v>
      </c>
      <c r="I214" s="118">
        <f>176310865.36+152869</f>
        <v>176463734.36000001</v>
      </c>
      <c r="J214" s="118">
        <f>149190528.36+152869</f>
        <v>149343397.36000001</v>
      </c>
      <c r="K214" s="91">
        <f t="shared" ref="K214" si="104">J214/I214</f>
        <v>0.84631212130718958</v>
      </c>
      <c r="L214" s="119"/>
      <c r="M214" s="119"/>
      <c r="N214" s="118">
        <f t="shared" ref="N214:N215" si="105">G214+J214</f>
        <v>266182894.83000001</v>
      </c>
      <c r="O214" s="39"/>
      <c r="P214" s="51"/>
    </row>
    <row r="215" spans="1:27" s="38" customFormat="1" ht="367.5" hidden="1" thickTop="1" thickBot="1" x14ac:dyDescent="0.25">
      <c r="A215" s="57"/>
      <c r="B215" s="93" t="s">
        <v>548</v>
      </c>
      <c r="C215" s="93" t="s">
        <v>28</v>
      </c>
      <c r="D215" s="93" t="s">
        <v>547</v>
      </c>
      <c r="E215" s="94">
        <v>0</v>
      </c>
      <c r="F215" s="94">
        <v>0</v>
      </c>
      <c r="G215" s="94">
        <v>0</v>
      </c>
      <c r="H215" s="92" t="e">
        <f t="shared" si="102"/>
        <v>#DIV/0!</v>
      </c>
      <c r="I215" s="94"/>
      <c r="J215" s="94"/>
      <c r="K215" s="92"/>
      <c r="L215" s="94"/>
      <c r="M215" s="95"/>
      <c r="N215" s="94">
        <f t="shared" si="105"/>
        <v>0</v>
      </c>
      <c r="O215" s="39"/>
      <c r="P215" s="51"/>
    </row>
    <row r="216" spans="1:27" s="38" customFormat="1" ht="71.45" customHeight="1" thickTop="1" thickBot="1" x14ac:dyDescent="0.25">
      <c r="A216" s="60"/>
      <c r="B216" s="63" t="s">
        <v>427</v>
      </c>
      <c r="C216" s="63" t="s">
        <v>427</v>
      </c>
      <c r="D216" s="64" t="s">
        <v>436</v>
      </c>
      <c r="E216" s="65">
        <f>E14+E19+E54+E67+E113+E122+E138+E153+E193+E208</f>
        <v>4287618795.5899992</v>
      </c>
      <c r="F216" s="65">
        <f>F14+F19+F54+F67+F113+F122+F138+F153+F193+F208</f>
        <v>3240604993.2300005</v>
      </c>
      <c r="G216" s="65">
        <f>G14+G19+G54+G67+G113+G122+G138+G153+G193+G208</f>
        <v>2859784872.8800001</v>
      </c>
      <c r="H216" s="66">
        <f>G216/F216</f>
        <v>0.88248486898416256</v>
      </c>
      <c r="I216" s="65">
        <f>I14+I19+I54+I67+I113+I122+I138+I153+I193+I208</f>
        <v>1738159793.3200002</v>
      </c>
      <c r="J216" s="65">
        <f>J14+J19+J54+J67+J113+J122+J138+J153+J193+J208</f>
        <v>714528230.36000001</v>
      </c>
      <c r="K216" s="66">
        <f>J216/I216</f>
        <v>0.41108316571700454</v>
      </c>
      <c r="L216" s="65" t="e">
        <f>#REF!+#REF!+#REF!+#REF!+#REF!+#REF!++L130+L139+L204+L163+L184+L196+L148+#REF!+#REF!</f>
        <v>#REF!</v>
      </c>
      <c r="M216" s="65" t="e">
        <f>#REF!+#REF!+#REF!+#REF!+#REF!+#REF!++M130+M139+M204+M163+M184+M196+M148+#REF!+#REF!</f>
        <v>#REF!</v>
      </c>
      <c r="N216" s="65">
        <f>N14+N19+N54+N67+N113+N122+N138+N153+N193+N208</f>
        <v>3574313103.2400007</v>
      </c>
      <c r="O216" s="53" t="b">
        <f>N216=J216+G216</f>
        <v>1</v>
      </c>
      <c r="P216" s="51"/>
    </row>
    <row r="217" spans="1:27" s="38" customFormat="1" ht="62.25" thickTop="1" thickBot="1" x14ac:dyDescent="0.25">
      <c r="A217" s="57"/>
      <c r="B217" s="8" t="s">
        <v>47</v>
      </c>
      <c r="C217" s="107"/>
      <c r="D217" s="85" t="s">
        <v>441</v>
      </c>
      <c r="E217" s="108">
        <f>E218</f>
        <v>790000</v>
      </c>
      <c r="F217" s="108">
        <f t="shared" ref="F217:G217" si="106">F218</f>
        <v>0</v>
      </c>
      <c r="G217" s="108">
        <f t="shared" si="106"/>
        <v>0</v>
      </c>
      <c r="H217" s="91">
        <v>0</v>
      </c>
      <c r="I217" s="108">
        <f>I218</f>
        <v>8941082.5</v>
      </c>
      <c r="J217" s="108">
        <f>J218</f>
        <v>-114552.58</v>
      </c>
      <c r="K217" s="91"/>
      <c r="L217" s="108"/>
      <c r="M217" s="108"/>
      <c r="N217" s="118">
        <f t="shared" ref="N217:N224" si="107">G217+J217</f>
        <v>-114552.58</v>
      </c>
      <c r="O217" s="156" t="s">
        <v>433</v>
      </c>
      <c r="P217" s="157"/>
    </row>
    <row r="218" spans="1:27" s="38" customFormat="1" ht="62.25" thickTop="1" thickBot="1" x14ac:dyDescent="0.25">
      <c r="A218" s="57"/>
      <c r="B218" s="109" t="s">
        <v>439</v>
      </c>
      <c r="C218" s="107"/>
      <c r="D218" s="86" t="s">
        <v>442</v>
      </c>
      <c r="E218" s="110">
        <f>E219+E224+E222</f>
        <v>790000</v>
      </c>
      <c r="F218" s="110">
        <f t="shared" ref="F218:G218" si="108">F219+F224+F222</f>
        <v>0</v>
      </c>
      <c r="G218" s="110">
        <f t="shared" si="108"/>
        <v>0</v>
      </c>
      <c r="H218" s="90">
        <v>0</v>
      </c>
      <c r="I218" s="110">
        <f>I219+I224+I222</f>
        <v>8941082.5</v>
      </c>
      <c r="J218" s="110">
        <f>J219+J224+J222</f>
        <v>-114552.58</v>
      </c>
      <c r="K218" s="90"/>
      <c r="L218" s="110"/>
      <c r="M218" s="110"/>
      <c r="N218" s="119">
        <f t="shared" si="107"/>
        <v>-114552.58</v>
      </c>
      <c r="O218" s="156" t="s">
        <v>433</v>
      </c>
      <c r="P218" s="157"/>
    </row>
    <row r="219" spans="1:27" s="38" customFormat="1" ht="184.5" thickTop="1" thickBot="1" x14ac:dyDescent="0.25">
      <c r="A219" s="60"/>
      <c r="B219" s="76" t="s">
        <v>440</v>
      </c>
      <c r="C219" s="107"/>
      <c r="D219" s="83" t="s">
        <v>443</v>
      </c>
      <c r="E219" s="111">
        <f>E220+E221</f>
        <v>790000</v>
      </c>
      <c r="F219" s="111">
        <f>F220+F221</f>
        <v>0</v>
      </c>
      <c r="G219" s="111">
        <f>G220+G221</f>
        <v>0</v>
      </c>
      <c r="H219" s="89">
        <v>0</v>
      </c>
      <c r="I219" s="111">
        <f>I220+I221</f>
        <v>0</v>
      </c>
      <c r="J219" s="111">
        <f>J220+J221</f>
        <v>-48129.7</v>
      </c>
      <c r="K219" s="88"/>
      <c r="L219" s="111"/>
      <c r="M219" s="111"/>
      <c r="N219" s="120">
        <f t="shared" si="107"/>
        <v>-48129.7</v>
      </c>
      <c r="O219" s="156" t="s">
        <v>433</v>
      </c>
      <c r="P219" s="157"/>
    </row>
    <row r="220" spans="1:27" s="38" customFormat="1" ht="184.5" customHeight="1" thickTop="1" thickBot="1" x14ac:dyDescent="0.25">
      <c r="A220" s="60"/>
      <c r="B220" s="112" t="s">
        <v>437</v>
      </c>
      <c r="C220" s="112" t="s">
        <v>88</v>
      </c>
      <c r="D220" s="113" t="s">
        <v>444</v>
      </c>
      <c r="E220" s="114">
        <v>790000</v>
      </c>
      <c r="F220" s="114">
        <v>0</v>
      </c>
      <c r="G220" s="114">
        <v>0</v>
      </c>
      <c r="H220" s="88">
        <v>0</v>
      </c>
      <c r="I220" s="114">
        <v>260000</v>
      </c>
      <c r="J220" s="114">
        <v>0</v>
      </c>
      <c r="K220" s="88">
        <f>J220/I220</f>
        <v>0</v>
      </c>
      <c r="L220" s="108"/>
      <c r="M220" s="108"/>
      <c r="N220" s="115">
        <f>G220+J220</f>
        <v>0</v>
      </c>
      <c r="O220" s="156" t="s">
        <v>433</v>
      </c>
      <c r="P220" s="157"/>
    </row>
    <row r="221" spans="1:27" s="38" customFormat="1" ht="184.5" thickTop="1" thickBot="1" x14ac:dyDescent="1.2">
      <c r="A221" s="60"/>
      <c r="B221" s="112" t="s">
        <v>438</v>
      </c>
      <c r="C221" s="112" t="s">
        <v>88</v>
      </c>
      <c r="D221" s="113" t="s">
        <v>445</v>
      </c>
      <c r="E221" s="108"/>
      <c r="F221" s="108"/>
      <c r="G221" s="108"/>
      <c r="H221" s="90"/>
      <c r="I221" s="114">
        <v>-260000</v>
      </c>
      <c r="J221" s="114">
        <v>-48129.7</v>
      </c>
      <c r="K221" s="88">
        <f>J221/I221</f>
        <v>0.18511423076923075</v>
      </c>
      <c r="L221" s="108"/>
      <c r="M221" s="108"/>
      <c r="N221" s="115">
        <f t="shared" si="107"/>
        <v>-48129.7</v>
      </c>
      <c r="O221" s="84"/>
      <c r="P221" s="51"/>
      <c r="AA221" s="56"/>
    </row>
    <row r="222" spans="1:27" s="38" customFormat="1" ht="138.75" thickTop="1" thickBot="1" x14ac:dyDescent="1.2">
      <c r="A222" s="60"/>
      <c r="B222" s="116" t="s">
        <v>562</v>
      </c>
      <c r="C222" s="116"/>
      <c r="D222" s="117" t="s">
        <v>561</v>
      </c>
      <c r="E222" s="111">
        <f>E223</f>
        <v>0</v>
      </c>
      <c r="F222" s="111">
        <f>F223</f>
        <v>0</v>
      </c>
      <c r="G222" s="111">
        <f>G223</f>
        <v>0</v>
      </c>
      <c r="H222" s="89">
        <v>0</v>
      </c>
      <c r="I222" s="111">
        <f>I223</f>
        <v>0</v>
      </c>
      <c r="J222" s="111">
        <f>J223</f>
        <v>-66422.880000000005</v>
      </c>
      <c r="K222" s="89"/>
      <c r="L222" s="111"/>
      <c r="M222" s="111"/>
      <c r="N222" s="120">
        <f t="shared" ref="N222" si="109">G222+J222</f>
        <v>-66422.880000000005</v>
      </c>
      <c r="O222" s="156" t="s">
        <v>433</v>
      </c>
      <c r="P222" s="157"/>
      <c r="AA222" s="56"/>
    </row>
    <row r="223" spans="1:27" s="38" customFormat="1" ht="138.75" thickTop="1" thickBot="1" x14ac:dyDescent="1.2">
      <c r="A223" s="60"/>
      <c r="B223" s="112" t="s">
        <v>563</v>
      </c>
      <c r="C223" s="112" t="s">
        <v>88</v>
      </c>
      <c r="D223" s="113" t="s">
        <v>564</v>
      </c>
      <c r="E223" s="114"/>
      <c r="F223" s="114"/>
      <c r="G223" s="114"/>
      <c r="H223" s="88"/>
      <c r="I223" s="114">
        <v>0</v>
      </c>
      <c r="J223" s="114">
        <v>-66422.880000000005</v>
      </c>
      <c r="K223" s="88"/>
      <c r="L223" s="108"/>
      <c r="M223" s="108"/>
      <c r="N223" s="115">
        <f>G223+J223</f>
        <v>-66422.880000000005</v>
      </c>
      <c r="O223" s="84"/>
      <c r="P223" s="51"/>
      <c r="AA223" s="56"/>
    </row>
    <row r="224" spans="1:27" s="38" customFormat="1" ht="138.75" thickTop="1" thickBot="1" x14ac:dyDescent="1.2">
      <c r="A224" s="60"/>
      <c r="B224" s="116" t="s">
        <v>556</v>
      </c>
      <c r="C224" s="107"/>
      <c r="D224" s="83" t="s">
        <v>553</v>
      </c>
      <c r="E224" s="111">
        <f>E225</f>
        <v>0</v>
      </c>
      <c r="F224" s="111">
        <f t="shared" ref="F224:G224" si="110">F225</f>
        <v>0</v>
      </c>
      <c r="G224" s="111">
        <f t="shared" si="110"/>
        <v>0</v>
      </c>
      <c r="H224" s="89">
        <v>0</v>
      </c>
      <c r="I224" s="111">
        <f t="shared" ref="I224" si="111">I225</f>
        <v>8941082.5</v>
      </c>
      <c r="J224" s="111">
        <f t="shared" ref="J224" si="112">J225</f>
        <v>0</v>
      </c>
      <c r="K224" s="89">
        <f>J224/I224</f>
        <v>0</v>
      </c>
      <c r="L224" s="111"/>
      <c r="M224" s="111"/>
      <c r="N224" s="120">
        <f t="shared" si="107"/>
        <v>0</v>
      </c>
      <c r="O224" s="156" t="s">
        <v>433</v>
      </c>
      <c r="P224" s="157"/>
      <c r="AA224" s="56"/>
    </row>
    <row r="225" spans="1:27" s="38" customFormat="1" ht="138.75" thickTop="1" thickBot="1" x14ac:dyDescent="1.2">
      <c r="A225" s="60"/>
      <c r="B225" s="112" t="s">
        <v>555</v>
      </c>
      <c r="C225" s="112" t="s">
        <v>39</v>
      </c>
      <c r="D225" s="113" t="s">
        <v>554</v>
      </c>
      <c r="E225" s="108"/>
      <c r="F225" s="108"/>
      <c r="G225" s="108"/>
      <c r="H225" s="90"/>
      <c r="I225" s="114">
        <v>8941082.5</v>
      </c>
      <c r="J225" s="114">
        <v>0</v>
      </c>
      <c r="K225" s="89">
        <f>J225/I225</f>
        <v>0</v>
      </c>
      <c r="L225" s="108"/>
      <c r="M225" s="108"/>
      <c r="N225" s="115">
        <f>G225+J225</f>
        <v>0</v>
      </c>
      <c r="O225" s="84"/>
      <c r="P225" s="51"/>
      <c r="AA225" s="56"/>
    </row>
    <row r="226" spans="1:27" s="38" customFormat="1" ht="119.25" customHeight="1" thickTop="1" thickBot="1" x14ac:dyDescent="0.25">
      <c r="A226" s="60"/>
      <c r="B226" s="63" t="s">
        <v>427</v>
      </c>
      <c r="C226" s="63" t="s">
        <v>427</v>
      </c>
      <c r="D226" s="64" t="s">
        <v>428</v>
      </c>
      <c r="E226" s="65">
        <f>E216+E217</f>
        <v>4288408795.5899992</v>
      </c>
      <c r="F226" s="65">
        <f>F216+F217</f>
        <v>3240604993.2300005</v>
      </c>
      <c r="G226" s="65">
        <f>G216+G217</f>
        <v>2859784872.8800001</v>
      </c>
      <c r="H226" s="66">
        <f>G226/F226</f>
        <v>0.88248486898416256</v>
      </c>
      <c r="I226" s="65">
        <f>I216+I217</f>
        <v>1747100875.8200002</v>
      </c>
      <c r="J226" s="65">
        <f>J216+J217</f>
        <v>714413677.77999997</v>
      </c>
      <c r="K226" s="66">
        <f>J226/I226</f>
        <v>0.40891381125585585</v>
      </c>
      <c r="L226" s="65" t="e">
        <f>#REF!+#REF!+#REF!+#REF!+#REF!+#REF!++L137+L146+L210+L176+L190+#REF!+L156+#REF!+#REF!</f>
        <v>#REF!</v>
      </c>
      <c r="M226" s="65" t="e">
        <f>#REF!+#REF!+#REF!+#REF!+#REF!+#REF!++M137+M146+M210+M176+M190+#REF!+M156+#REF!+#REF!</f>
        <v>#REF!</v>
      </c>
      <c r="N226" s="65">
        <f>N216+N217</f>
        <v>3574198550.6600008</v>
      </c>
      <c r="O226" s="53" t="b">
        <f>N226=J226+G226</f>
        <v>1</v>
      </c>
      <c r="P226" s="51"/>
      <c r="S226" s="65">
        <f>N226/(I226+E226)*100</f>
        <v>59.219498356383312</v>
      </c>
      <c r="T226" s="65">
        <f>G226/E226*100</f>
        <v>66.686386704105033</v>
      </c>
    </row>
    <row r="227" spans="1:27" ht="46.5" thickTop="1" x14ac:dyDescent="0.2">
      <c r="A227" s="191" t="s">
        <v>535</v>
      </c>
      <c r="B227" s="191"/>
      <c r="C227" s="191"/>
      <c r="D227" s="191"/>
      <c r="E227" s="191"/>
      <c r="F227" s="191"/>
      <c r="G227" s="191"/>
      <c r="H227" s="191"/>
      <c r="I227" s="191"/>
      <c r="J227" s="191"/>
      <c r="K227" s="191"/>
      <c r="L227" s="191"/>
      <c r="M227" s="191"/>
      <c r="N227" s="191"/>
      <c r="O227" s="40"/>
    </row>
    <row r="228" spans="1:27" ht="45.75" x14ac:dyDescent="0.65">
      <c r="A228" s="41"/>
      <c r="B228" s="42"/>
      <c r="C228" s="42"/>
      <c r="D228" s="43" t="s">
        <v>571</v>
      </c>
      <c r="E228"/>
      <c r="F228"/>
      <c r="G228" s="43"/>
      <c r="H228" s="45"/>
      <c r="I228" s="43" t="s">
        <v>572</v>
      </c>
      <c r="J228" s="45"/>
      <c r="K228" s="45"/>
      <c r="L228" s="45"/>
      <c r="M228" s="45"/>
      <c r="N228" s="45"/>
      <c r="O228" s="40"/>
    </row>
    <row r="229" spans="1:27" ht="45.75" x14ac:dyDescent="0.65">
      <c r="A229" s="61"/>
      <c r="B229" s="62"/>
      <c r="C229" s="6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40"/>
    </row>
    <row r="230" spans="1:27" ht="45.75" x14ac:dyDescent="0.65">
      <c r="A230" s="41"/>
      <c r="B230" s="42"/>
      <c r="C230" s="42"/>
      <c r="D230" s="43" t="s">
        <v>569</v>
      </c>
      <c r="E230" s="44"/>
      <c r="F230" s="44"/>
      <c r="G230" s="43"/>
      <c r="H230" s="45"/>
      <c r="I230" s="43" t="s">
        <v>570</v>
      </c>
      <c r="J230" s="45"/>
      <c r="K230" s="45"/>
      <c r="L230" s="45"/>
      <c r="M230" s="45"/>
      <c r="N230" s="45"/>
      <c r="O230" s="40"/>
    </row>
    <row r="231" spans="1:27" ht="45.75" x14ac:dyDescent="0.65">
      <c r="A231" s="2"/>
      <c r="B231" s="2"/>
      <c r="C231" s="2"/>
      <c r="D231" s="184"/>
      <c r="E231" s="184"/>
      <c r="F231" s="184"/>
      <c r="G231" s="184"/>
      <c r="H231" s="184"/>
      <c r="I231" s="184"/>
      <c r="J231" s="184"/>
      <c r="K231" s="184"/>
      <c r="L231" s="184"/>
      <c r="M231" s="184"/>
      <c r="N231" s="184"/>
      <c r="O231" s="46"/>
    </row>
    <row r="248" spans="5:9" ht="105" hidden="1" customHeight="1" thickTop="1" thickBot="1" x14ac:dyDescent="0.25">
      <c r="E248" s="55">
        <f>E216-E208-E206</f>
        <v>3788953874.5699987</v>
      </c>
      <c r="F248" s="55">
        <f>F216-F208-F206</f>
        <v>2867115005.7600002</v>
      </c>
      <c r="I248" s="55">
        <f>I216-I208-I206</f>
        <v>1561696058.96</v>
      </c>
    </row>
    <row r="257" ht="312" customHeight="1" x14ac:dyDescent="0.2"/>
    <row r="258" ht="183" customHeight="1" x14ac:dyDescent="0.2"/>
    <row r="259" ht="228" customHeight="1" x14ac:dyDescent="0.2"/>
    <row r="260" ht="294" customHeight="1" x14ac:dyDescent="0.2"/>
    <row r="261" ht="258" customHeight="1" x14ac:dyDescent="0.2"/>
    <row r="262" ht="180" customHeight="1" x14ac:dyDescent="0.2"/>
    <row r="263" ht="249" customHeight="1" x14ac:dyDescent="0.2"/>
  </sheetData>
  <mergeCells count="111">
    <mergeCell ref="K2:N2"/>
    <mergeCell ref="J3:N3"/>
    <mergeCell ref="A8:B8"/>
    <mergeCell ref="A4:N4"/>
    <mergeCell ref="N10:N12"/>
    <mergeCell ref="E11:E12"/>
    <mergeCell ref="H11:H12"/>
    <mergeCell ref="I11:I12"/>
    <mergeCell ref="J11:J12"/>
    <mergeCell ref="E10:H10"/>
    <mergeCell ref="A10:A12"/>
    <mergeCell ref="B10:B12"/>
    <mergeCell ref="C10:C12"/>
    <mergeCell ref="D10:D12"/>
    <mergeCell ref="M11:M12"/>
    <mergeCell ref="I10:M10"/>
    <mergeCell ref="A5:N5"/>
    <mergeCell ref="A7:B7"/>
    <mergeCell ref="D231:N231"/>
    <mergeCell ref="F11:F12"/>
    <mergeCell ref="G11:G12"/>
    <mergeCell ref="K11:K12"/>
    <mergeCell ref="L190:L191"/>
    <mergeCell ref="M190:M191"/>
    <mergeCell ref="N190:N191"/>
    <mergeCell ref="L28:L29"/>
    <mergeCell ref="M28:M29"/>
    <mergeCell ref="N28:N29"/>
    <mergeCell ref="G28:G29"/>
    <mergeCell ref="I28:I29"/>
    <mergeCell ref="J28:J29"/>
    <mergeCell ref="K28:K29"/>
    <mergeCell ref="A227:N227"/>
    <mergeCell ref="D229:N229"/>
    <mergeCell ref="A28:A29"/>
    <mergeCell ref="B106:B108"/>
    <mergeCell ref="C106:C108"/>
    <mergeCell ref="E96:E98"/>
    <mergeCell ref="K96:K98"/>
    <mergeCell ref="F96:F98"/>
    <mergeCell ref="B28:B29"/>
    <mergeCell ref="C28:C29"/>
    <mergeCell ref="E28:E29"/>
    <mergeCell ref="F28:F29"/>
    <mergeCell ref="N99:N102"/>
    <mergeCell ref="F103:F105"/>
    <mergeCell ref="G103:G105"/>
    <mergeCell ref="O151:P151"/>
    <mergeCell ref="O152:P152"/>
    <mergeCell ref="H96:H98"/>
    <mergeCell ref="H99:H102"/>
    <mergeCell ref="H103:H105"/>
    <mergeCell ref="H106:H108"/>
    <mergeCell ref="N103:N105"/>
    <mergeCell ref="G96:G98"/>
    <mergeCell ref="I96:I98"/>
    <mergeCell ref="J96:J98"/>
    <mergeCell ref="N96:N98"/>
    <mergeCell ref="B96:B98"/>
    <mergeCell ref="C96:C98"/>
    <mergeCell ref="B99:B102"/>
    <mergeCell ref="C99:C102"/>
    <mergeCell ref="B103:B105"/>
    <mergeCell ref="C103:C105"/>
    <mergeCell ref="K106:K108"/>
    <mergeCell ref="N106:N108"/>
    <mergeCell ref="F106:F108"/>
    <mergeCell ref="G106:G108"/>
    <mergeCell ref="F99:F102"/>
    <mergeCell ref="G99:G102"/>
    <mergeCell ref="K103:K105"/>
    <mergeCell ref="K99:K102"/>
    <mergeCell ref="O185:P185"/>
    <mergeCell ref="I103:I105"/>
    <mergeCell ref="J103:J105"/>
    <mergeCell ref="I99:I102"/>
    <mergeCell ref="J99:J102"/>
    <mergeCell ref="C190:C191"/>
    <mergeCell ref="E190:E191"/>
    <mergeCell ref="F190:F191"/>
    <mergeCell ref="G190:G191"/>
    <mergeCell ref="H190:H191"/>
    <mergeCell ref="I190:I191"/>
    <mergeCell ref="J190:J191"/>
    <mergeCell ref="E106:E108"/>
    <mergeCell ref="I106:I108"/>
    <mergeCell ref="J106:J108"/>
    <mergeCell ref="E99:E102"/>
    <mergeCell ref="E103:E105"/>
    <mergeCell ref="O194:P194"/>
    <mergeCell ref="O201:P201"/>
    <mergeCell ref="O203:P203"/>
    <mergeCell ref="O209:P209"/>
    <mergeCell ref="O156:P156"/>
    <mergeCell ref="O168:P168"/>
    <mergeCell ref="O205:P205"/>
    <mergeCell ref="O182:P182"/>
    <mergeCell ref="B190:B191"/>
    <mergeCell ref="K190:K191"/>
    <mergeCell ref="O224:P224"/>
    <mergeCell ref="O220:P220"/>
    <mergeCell ref="O219:P219"/>
    <mergeCell ref="O218:P218"/>
    <mergeCell ref="O217:P217"/>
    <mergeCell ref="O195:P195"/>
    <mergeCell ref="O207:P207"/>
    <mergeCell ref="O206:P206"/>
    <mergeCell ref="O197:P197"/>
    <mergeCell ref="O222:P222"/>
    <mergeCell ref="O211:P211"/>
    <mergeCell ref="P208:Q208"/>
  </mergeCells>
  <pageMargins left="0.23622047244094491" right="0.27559055118110237" top="0.27559055118110237" bottom="0.15748031496062992" header="0.23622047244094491" footer="0.27559055118110237"/>
  <pageSetup paperSize="9" scale="18" orientation="landscape" r:id="rId1"/>
  <headerFooter alignWithMargins="0">
    <oddFooter>&amp;C&amp;"Times New Roman Cyr,курсив"Сторінка &amp;P 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d2</vt:lpstr>
      <vt:lpstr>'d2'!Заголовки_для_друку</vt:lpstr>
      <vt:lpstr>'d2'!Область_друку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Ковтун Денис Леонідович</dc:creator>
  <cp:lastModifiedBy>Ковтун Денис Леонідович</cp:lastModifiedBy>
  <cp:lastPrinted>2023-08-04T10:59:15Z</cp:lastPrinted>
  <dcterms:created xsi:type="dcterms:W3CDTF">2021-05-18T12:47:38Z</dcterms:created>
  <dcterms:modified xsi:type="dcterms:W3CDTF">2023-11-06T06:56:58Z</dcterms:modified>
</cp:coreProperties>
</file>